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iTech\Downloads\"/>
    </mc:Choice>
  </mc:AlternateContent>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28800" windowHeight="12135" firstSheet="2" activeTab="17"/>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7" l="1"/>
  <c r="H151" i="2" l="1"/>
  <c r="H152" i="2"/>
  <c r="E97" i="5"/>
  <c r="E96" i="5"/>
  <c r="E95" i="5"/>
  <c r="E93" i="5"/>
  <c r="E91" i="5"/>
  <c r="E80" i="5"/>
  <c r="E73" i="5"/>
  <c r="E72" i="5"/>
  <c r="E45" i="5"/>
  <c r="E37" i="5"/>
  <c r="E36" i="5" s="1"/>
  <c r="E30" i="5"/>
  <c r="E29" i="5"/>
  <c r="E25" i="5"/>
  <c r="E18" i="5"/>
  <c r="E11" i="5"/>
  <c r="G10" i="4"/>
  <c r="C51" i="4"/>
  <c r="C39" i="4"/>
  <c r="C10" i="4"/>
  <c r="D166" i="2"/>
  <c r="D162" i="2"/>
  <c r="D158" i="2"/>
  <c r="H149" i="2"/>
  <c r="H52" i="2"/>
  <c r="H49" i="2"/>
  <c r="H31" i="2"/>
  <c r="H24" i="2"/>
  <c r="H17" i="2"/>
  <c r="H11" i="2"/>
  <c r="D90" i="2"/>
  <c r="D77" i="2"/>
  <c r="D61" i="2"/>
  <c r="D62" i="2"/>
  <c r="D43" i="2"/>
  <c r="D34" i="2"/>
  <c r="D22" i="2"/>
  <c r="D11" i="2"/>
  <c r="H10" i="2" l="1"/>
  <c r="L10" i="7" l="1"/>
  <c r="M11" i="7"/>
  <c r="K45" i="6"/>
  <c r="K13" i="6"/>
  <c r="J8" i="6"/>
  <c r="J47" i="6" l="1"/>
  <c r="J62" i="6"/>
  <c r="J63" i="6"/>
  <c r="N73" i="6" l="1"/>
  <c r="M73" i="6"/>
  <c r="L73" i="6"/>
  <c r="N57" i="6"/>
  <c r="M57" i="6"/>
  <c r="L64" i="6"/>
  <c r="F57" i="6"/>
  <c r="F58" i="6"/>
  <c r="F73" i="6"/>
  <c r="F64" i="6"/>
  <c r="F29" i="6"/>
  <c r="F50" i="6"/>
  <c r="K57" i="6"/>
  <c r="I57" i="6"/>
  <c r="H57" i="6"/>
  <c r="G57" i="6"/>
  <c r="E57" i="6"/>
  <c r="D57" i="6"/>
  <c r="C57" i="6"/>
  <c r="B57" i="6"/>
  <c r="C51" i="12" l="1"/>
  <c r="D51" i="12"/>
  <c r="D52" i="11"/>
  <c r="J53" i="10"/>
  <c r="I53" i="10"/>
  <c r="C53" i="10"/>
  <c r="I57" i="7" l="1"/>
  <c r="I56" i="7"/>
  <c r="I44" i="7"/>
  <c r="I31" i="7"/>
  <c r="I30" i="7"/>
  <c r="I18" i="7"/>
  <c r="H57" i="7"/>
  <c r="H31" i="7"/>
  <c r="H30" i="7"/>
  <c r="H56" i="7"/>
  <c r="I50" i="6"/>
  <c r="H50" i="6"/>
  <c r="G50" i="6"/>
  <c r="E50" i="6"/>
  <c r="D50" i="6"/>
  <c r="F69" i="6"/>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9" i="6"/>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H47" i="7" l="1"/>
  <c r="H48" i="7"/>
  <c r="H49" i="7"/>
  <c r="H50" i="7"/>
  <c r="H51" i="7"/>
  <c r="H52" i="7"/>
  <c r="H53" i="7"/>
  <c r="H54" i="7"/>
  <c r="H55" i="7"/>
  <c r="H46" i="7"/>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44" i="7"/>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K13" i="13"/>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F19" i="14"/>
  <c r="D18" i="7"/>
  <c r="C18" i="7"/>
  <c r="C31" i="7" s="1"/>
  <c r="E18" i="7"/>
  <c r="I8" i="7" s="1"/>
  <c r="F18" i="7"/>
  <c r="J18" i="7"/>
  <c r="K18" i="7"/>
  <c r="C30" i="7"/>
  <c r="D30" i="7"/>
  <c r="E30" i="7"/>
  <c r="F30" i="7"/>
  <c r="J58" i="6"/>
  <c r="I58" i="6"/>
  <c r="G58" i="6"/>
  <c r="E58" i="6"/>
  <c r="D58" i="6"/>
  <c r="C58" i="6"/>
  <c r="B58" i="6"/>
  <c r="K64" i="6"/>
  <c r="J64" i="6"/>
  <c r="I64" i="6"/>
  <c r="G64" i="6"/>
  <c r="E64" i="6"/>
  <c r="D64" i="6"/>
  <c r="C64" i="6"/>
  <c r="B64" i="6"/>
  <c r="E34" i="5"/>
  <c r="E35" i="5"/>
  <c r="L58" i="6" l="1"/>
  <c r="J57" i="6"/>
  <c r="L57" i="6" s="1"/>
  <c r="E31" i="7"/>
  <c r="F31" i="7"/>
  <c r="I20" i="7"/>
  <c r="D31" i="7"/>
  <c r="M18" i="7"/>
  <c r="L18" i="7"/>
  <c r="A8" i="14"/>
  <c r="A5" i="14"/>
  <c r="F24" i="14"/>
  <c r="F23" i="14"/>
  <c r="F22" i="14"/>
  <c r="F20" i="14"/>
  <c r="H8" i="14"/>
  <c r="A6" i="14"/>
  <c r="J66" i="7"/>
  <c r="F66" i="7"/>
  <c r="E16" i="13"/>
  <c r="F16" i="13"/>
  <c r="G16" i="13"/>
  <c r="H16" i="13"/>
  <c r="I16" i="13"/>
  <c r="J16" i="13"/>
  <c r="D16" i="13"/>
  <c r="K15" i="13"/>
  <c r="A8" i="13"/>
  <c r="A5" i="13"/>
  <c r="J24" i="13"/>
  <c r="I24" i="13"/>
  <c r="H24" i="13"/>
  <c r="G24" i="13"/>
  <c r="F24" i="13"/>
  <c r="E24" i="13"/>
  <c r="D24" i="13"/>
  <c r="K23" i="13"/>
  <c r="K22" i="13"/>
  <c r="K21" i="13"/>
  <c r="K20" i="13"/>
  <c r="K19" i="13"/>
  <c r="K14" i="13"/>
  <c r="A5" i="12"/>
  <c r="A8" i="12"/>
  <c r="C52" i="12"/>
  <c r="F21" i="14" l="1"/>
  <c r="F18" i="14" s="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D56" i="7"/>
  <c r="C56" i="7"/>
  <c r="O30" i="7"/>
  <c r="N30" i="7"/>
  <c r="K30" i="7"/>
  <c r="K31" i="7" s="1"/>
  <c r="J30" i="7"/>
  <c r="J31" i="7" s="1"/>
  <c r="K44" i="7"/>
  <c r="O44" i="7"/>
  <c r="N44" i="7"/>
  <c r="J44" i="7"/>
  <c r="F44" i="7"/>
  <c r="E44" i="7"/>
  <c r="D44" i="7"/>
  <c r="C44" i="7"/>
  <c r="O18" i="7"/>
  <c r="N18" i="7"/>
  <c r="A5" i="7"/>
  <c r="A3" i="7"/>
  <c r="K57" i="7" l="1"/>
  <c r="F57" i="7"/>
  <c r="D57" i="7"/>
  <c r="C57" i="7"/>
  <c r="J57" i="7"/>
  <c r="D23" i="14"/>
  <c r="D22" i="14"/>
  <c r="D20" i="14"/>
  <c r="D24" i="14"/>
  <c r="D19" i="14"/>
  <c r="D21" i="14"/>
  <c r="E57" i="7"/>
  <c r="L30" i="7"/>
  <c r="L31" i="7" s="1"/>
  <c r="I14" i="8"/>
  <c r="L56" i="7"/>
  <c r="I34" i="7"/>
  <c r="M30" i="7"/>
  <c r="M31" i="7" s="1"/>
  <c r="I46" i="7"/>
  <c r="M56" i="7"/>
  <c r="M44" i="7"/>
  <c r="L44" i="7"/>
  <c r="M57" i="7" l="1"/>
  <c r="L57" i="7"/>
  <c r="A5" i="6"/>
  <c r="A5" i="5"/>
  <c r="J29" i="6" l="1"/>
  <c r="L29" i="6" s="1"/>
  <c r="M8" i="6"/>
  <c r="I8" i="6"/>
  <c r="G8" i="6"/>
  <c r="E8" i="6"/>
  <c r="E69" i="6" s="1"/>
  <c r="D8" i="6"/>
  <c r="D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46" i="5"/>
  <c r="E39" i="5"/>
  <c r="E40" i="5"/>
  <c r="E41" i="5"/>
  <c r="E42" i="5"/>
  <c r="E43" i="5"/>
  <c r="E44" i="5"/>
  <c r="E38" i="5"/>
  <c r="E33" i="5"/>
  <c r="E32" i="5"/>
  <c r="E31" i="5"/>
  <c r="E28" i="5"/>
  <c r="E27" i="5"/>
  <c r="E26" i="5"/>
  <c r="C19" i="16" s="1"/>
  <c r="E23" i="5"/>
  <c r="E21" i="5"/>
  <c r="E20" i="5"/>
  <c r="E19" i="5"/>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G36" i="4"/>
  <c r="C29" i="15" s="1"/>
  <c r="K69" i="6"/>
  <c r="P68" i="6" s="1"/>
  <c r="I69" i="6"/>
  <c r="B69" i="6"/>
  <c r="G69" i="6"/>
  <c r="D54" i="12"/>
  <c r="D24" i="17"/>
  <c r="C36" i="15"/>
  <c r="C32" i="15"/>
  <c r="C34" i="15"/>
  <c r="C18" i="16"/>
  <c r="F8" i="6"/>
  <c r="C11" i="16"/>
  <c r="C12" i="16"/>
  <c r="G29" i="4"/>
  <c r="G14" i="4"/>
  <c r="C51" i="3"/>
  <c r="D60" i="3" s="1"/>
  <c r="A7" i="2"/>
  <c r="A5" i="2"/>
  <c r="H72" i="2"/>
  <c r="H85" i="2"/>
  <c r="H71" i="2" s="1"/>
  <c r="H79" i="2"/>
  <c r="H61" i="2"/>
  <c r="H68" i="2"/>
  <c r="H58" i="2"/>
  <c r="G43" i="4" s="1"/>
  <c r="C33" i="15" s="1"/>
  <c r="H53" i="2"/>
  <c r="G25" i="4"/>
  <c r="H45" i="2"/>
  <c r="G26" i="4" s="1"/>
  <c r="H43" i="2"/>
  <c r="G27" i="4" s="1"/>
  <c r="H32" i="2"/>
  <c r="H28" i="2"/>
  <c r="H25" i="2"/>
  <c r="H21" i="2"/>
  <c r="H18" i="2"/>
  <c r="H12" i="2"/>
  <c r="G12" i="4" s="1"/>
  <c r="P31" i="7" s="1"/>
  <c r="H15" i="2"/>
  <c r="G13" i="4" s="1"/>
  <c r="P57" i="7" s="1"/>
  <c r="D97" i="2"/>
  <c r="D91" i="2"/>
  <c r="D147" i="2"/>
  <c r="E92" i="5" s="1"/>
  <c r="D136" i="2"/>
  <c r="D109" i="2"/>
  <c r="D101" i="2"/>
  <c r="D86" i="2"/>
  <c r="C47" i="4" s="1"/>
  <c r="C46" i="4" s="1"/>
  <c r="D84" i="2"/>
  <c r="C45" i="4" s="1"/>
  <c r="D78" i="2"/>
  <c r="D71" i="2"/>
  <c r="D63" i="2"/>
  <c r="C41" i="4" s="1"/>
  <c r="D56" i="2"/>
  <c r="C28" i="4" s="1"/>
  <c r="C26" i="4" s="1"/>
  <c r="C16" i="15" s="1"/>
  <c r="D54" i="2"/>
  <c r="D44" i="2"/>
  <c r="D38" i="2"/>
  <c r="D41" i="2"/>
  <c r="C38" i="4" s="1"/>
  <c r="G19" i="14" s="1"/>
  <c r="H19" i="14" s="1"/>
  <c r="D35" i="2"/>
  <c r="C16" i="4" s="1"/>
  <c r="C15" i="4" s="1"/>
  <c r="D28" i="2"/>
  <c r="C23" i="4" s="1"/>
  <c r="C16" i="14" s="1"/>
  <c r="D30" i="2"/>
  <c r="C24" i="4" s="1"/>
  <c r="C17" i="14" s="1"/>
  <c r="D32" i="2"/>
  <c r="C25" i="4" s="1"/>
  <c r="G12" i="14" s="1"/>
  <c r="D26" i="2"/>
  <c r="C22" i="4" s="1"/>
  <c r="C15" i="14" s="1"/>
  <c r="D24" i="2"/>
  <c r="C19" i="4"/>
  <c r="C12" i="14" s="1"/>
  <c r="D12" i="2"/>
  <c r="D18" i="2"/>
  <c r="C14" i="4" s="1"/>
  <c r="L13" i="13" s="1"/>
  <c r="D15" i="2"/>
  <c r="D37" i="2" l="1"/>
  <c r="D11" i="17"/>
  <c r="C20" i="4"/>
  <c r="C13" i="14" s="1"/>
  <c r="F13" i="14" s="1"/>
  <c r="D21" i="2"/>
  <c r="D10" i="2" s="1"/>
  <c r="C13" i="15"/>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12" i="12"/>
  <c r="D16" i="12"/>
  <c r="D20" i="12"/>
  <c r="D24" i="12"/>
  <c r="D28" i="12"/>
  <c r="D32" i="12"/>
  <c r="D36" i="12"/>
  <c r="D40" i="12"/>
  <c r="D44" i="12"/>
  <c r="D48" i="12"/>
  <c r="D65" i="3"/>
  <c r="G11" i="4"/>
  <c r="C21" i="15" s="1"/>
  <c r="C14" i="16"/>
  <c r="J55" i="11"/>
  <c r="F12" i="14"/>
  <c r="F17" i="14"/>
  <c r="C18" i="13"/>
  <c r="C24" i="13" s="1"/>
  <c r="C16" i="18"/>
  <c r="G19" i="4"/>
  <c r="L23" i="13" s="1"/>
  <c r="C12" i="18"/>
  <c r="C11" i="15"/>
  <c r="C14" i="14"/>
  <c r="C11" i="14" s="1"/>
  <c r="F16" i="14"/>
  <c r="C13" i="16"/>
  <c r="C13" i="18"/>
  <c r="C12" i="15"/>
  <c r="F15" i="14"/>
  <c r="C10" i="16"/>
  <c r="C37" i="4"/>
  <c r="C42" i="4"/>
  <c r="C40" i="4" s="1"/>
  <c r="C17" i="15" s="1"/>
  <c r="C21" i="4"/>
  <c r="C35" i="4"/>
  <c r="C29" i="4" s="1"/>
  <c r="C18" i="15" s="1"/>
  <c r="C44" i="4"/>
  <c r="C43" i="4" s="1"/>
  <c r="C19" i="15" s="1"/>
  <c r="E24" i="5"/>
  <c r="H153" i="2"/>
  <c r="C36" i="4" l="1"/>
  <c r="C15" i="15" s="1"/>
  <c r="I18" i="14"/>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D14" i="14"/>
  <c r="D17" i="14"/>
  <c r="D13" i="14"/>
  <c r="D12" i="14"/>
  <c r="D16" i="14"/>
  <c r="D15" i="14"/>
  <c r="C27" i="15"/>
  <c r="C20" i="15" s="1"/>
  <c r="C20" i="18"/>
  <c r="C15" i="18" s="1"/>
  <c r="C18" i="4"/>
  <c r="C11" i="18"/>
  <c r="C10" i="18" s="1"/>
  <c r="C10" i="15"/>
  <c r="F11" i="14"/>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D12" i="17" s="1"/>
  <c r="G12" i="17" s="1"/>
  <c r="L14" i="13"/>
  <c r="L18" i="13"/>
  <c r="I11" i="14"/>
  <c r="D20" i="17"/>
  <c r="G20" i="17" s="1"/>
  <c r="C54" i="15"/>
  <c r="H12" i="14"/>
  <c r="C11" i="17"/>
  <c r="C24" i="18"/>
  <c r="C25" i="18" s="1"/>
  <c r="I33" i="13"/>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G28" i="14" l="1"/>
  <c r="C22" i="17"/>
  <c r="G22" i="17" s="1"/>
  <c r="C15" i="16"/>
  <c r="D28" i="17"/>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O68" i="6"/>
  <c r="J69" i="6"/>
  <c r="O69" i="6" s="1"/>
  <c r="L69" i="6"/>
  <c r="D149" i="2"/>
  <c r="I149" i="2"/>
  <c r="H154" i="2"/>
  <c r="G49" i="4"/>
  <c r="G48" i="4" s="1"/>
  <c r="C38" i="15" s="1"/>
  <c r="G41" i="4" l="1"/>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<sst xmlns="http://schemas.openxmlformats.org/spreadsheetml/2006/main" count="1280" uniqueCount="849">
  <si>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</si>
  <si>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</si>
  <si>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</si>
  <si>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</si>
  <si>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</si>
  <si>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</si>
  <si>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</si>
  <si>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</si>
  <si>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</si>
  <si>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</si>
  <si>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</si>
  <si>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</si>
  <si>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</si>
  <si>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</si>
  <si>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</si>
  <si>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</si>
  <si>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</si>
  <si>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</si>
  <si>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</si>
  <si>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</si>
  <si>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</si>
  <si>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</si>
  <si>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</si>
  <si>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</si>
  <si>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</si>
  <si>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</si>
  <si>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</si>
  <si>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</si>
  <si>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</si>
  <si>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</si>
  <si>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</si>
  <si>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</si>
  <si>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</si>
  <si>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</si>
  <si>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</si>
  <si>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</si>
  <si>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</si>
  <si>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</si>
  <si>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</si>
  <si>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</si>
  <si>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</si>
  <si>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</si>
  <si>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</si>
  <si>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</si>
  <si>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</si>
  <si>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</si>
  <si>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</si>
  <si>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</si>
  <si>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</si>
  <si>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</si>
  <si>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</si>
  <si>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</si>
  <si>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</si>
  <si>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</si>
  <si>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</si>
  <si>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</si>
  <si>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</si>
  <si>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</si>
  <si>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</si>
  <si>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</si>
  <si>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</si>
  <si>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</si>
  <si>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</si>
  <si>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</si>
  <si>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</si>
  <si>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</si>
  <si>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</si>
  <si>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</si>
  <si>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</si>
  <si>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</si>
  <si>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</si>
  <si>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</si>
  <si>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</si>
  <si>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</si>
  <si>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</si>
  <si>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</si>
  <si>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</si>
  <si>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</si>
  <si>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</si>
  <si>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</si>
  <si>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</si>
  <si>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</si>
  <si>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</si>
  <si>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</si>
  <si>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</si>
  <si>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</si>
  <si>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</si>
  <si>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</si>
  <si>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</si>
  <si>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</si>
  <si>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</si>
  <si>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</si>
  <si>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</si>
  <si>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</si>
  <si>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</si>
  <si>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</si>
  <si>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</si>
  <si>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</si>
  <si>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</si>
  <si>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</si>
  <si>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</si>
  <si>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</si>
  <si>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</si>
  <si>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</si>
  <si>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</si>
  <si>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</si>
  <si>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</si>
  <si>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</si>
  <si>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</si>
  <si>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</si>
  <si>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</si>
  <si>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</si>
  <si>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</si>
  <si>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</si>
  <si>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</si>
  <si>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</si>
  <si>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</si>
  <si>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</si>
  <si>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</si>
  <si>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</si>
  <si>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</si>
  <si>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</si>
  <si>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</si>
  <si>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</si>
  <si>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</si>
  <si>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</si>
  <si>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</si>
  <si>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</si>
  <si>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</si>
  <si>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</si>
  <si>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</si>
  <si>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</si>
  <si>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</si>
  <si>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</si>
  <si>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</si>
  <si>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</si>
  <si>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</si>
  <si>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</si>
  <si>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</si>
  <si>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</si>
  <si>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</si>
  <si>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</si>
  <si>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</si>
  <si>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</si>
  <si>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</si>
  <si>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</si>
  <si>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</si>
  <si>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</si>
  <si>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</si>
  <si>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</si>
  <si>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</si>
  <si>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</si>
  <si>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</si>
  <si>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</si>
  <si>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</si>
  <si>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</si>
  <si>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</si>
  <si>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</si>
  <si>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</si>
  <si>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</si>
  <si>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</si>
  <si>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</si>
  <si>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</si>
  <si>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</si>
  <si>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</si>
  <si>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</si>
  <si>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</si>
  <si>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</si>
  <si>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</si>
  <si>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</si>
  <si>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</si>
  <si>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</si>
  <si>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</si>
  <si>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</si>
  <si>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</si>
  <si>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</si>
  <si>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</si>
  <si>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</si>
  <si>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</si>
  <si>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</si>
  <si>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</si>
  <si>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</si>
  <si>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</si>
  <si>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</si>
  <si>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</si>
  <si>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</si>
  <si>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</si>
  <si>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</si>
  <si>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</si>
  <si>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</si>
  <si>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</si>
  <si>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</si>
  <si>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</si>
  <si>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</si>
  <si>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</si>
  <si>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</si>
  <si>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</si>
  <si>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</si>
  <si>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</si>
  <si>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</si>
  <si>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</si>
  <si>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</si>
  <si>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</si>
  <si>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</si>
  <si>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</si>
  <si>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</si>
  <si>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</si>
  <si>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</si>
  <si>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</si>
  <si>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</si>
  <si>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</si>
  <si>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</si>
  <si>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</si>
  <si>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</si>
  <si>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</si>
  <si>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</si>
  <si>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</si>
  <si>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</si>
  <si>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</si>
  <si>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</si>
  <si>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</si>
  <si>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</si>
  <si>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</si>
  <si>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</si>
  <si>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</si>
  <si>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</si>
  <si>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</si>
  <si>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</si>
  <si>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</si>
  <si>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</si>
  <si>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</si>
  <si>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</si>
  <si>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</si>
  <si>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</si>
  <si>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</si>
  <si>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</si>
  <si>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</si>
  <si>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</si>
  <si>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</si>
  <si>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</si>
  <si>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</si>
  <si>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</si>
  <si>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</si>
  <si>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</si>
  <si>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</si>
  <si>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</si>
  <si>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</si>
  <si>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</si>
  <si>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</si>
  <si>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</si>
  <si>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</si>
  <si>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</si>
  <si>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</si>
  <si>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</si>
  <si>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</si>
  <si>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</si>
  <si>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</si>
  <si>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</si>
  <si>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</si>
  <si>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</si>
  <si>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</si>
  <si>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</si>
  <si>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</si>
  <si>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</si>
  <si>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</si>
  <si>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</si>
  <si>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</si>
  <si>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</si>
  <si>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</si>
  <si>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</si>
  <si>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</si>
  <si>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</si>
  <si>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</si>
  <si>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</si>
  <si>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</si>
  <si>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</si>
  <si>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</si>
  <si>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</si>
  <si>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</si>
  <si>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</si>
  <si>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</si>
  <si>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</si>
  <si>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</si>
  <si>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</si>
  <si>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</si>
  <si>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</si>
  <si>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</si>
  <si>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</si>
  <si>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</si>
  <si>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</si>
  <si>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</si>
  <si>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</si>
  <si>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</si>
  <si>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</si>
  <si>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</si>
  <si>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</si>
  <si>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</si>
  <si>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</si>
  <si>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</si>
  <si>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</si>
  <si>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</si>
  <si>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</si>
  <si>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</si>
  <si>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</si>
  <si>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</si>
  <si>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</si>
  <si>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</si>
  <si>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</si>
  <si>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</si>
  <si>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</si>
  <si>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</si>
  <si>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</si>
  <si>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</si>
  <si>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</si>
  <si>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</si>
  <si>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</si>
  <si>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</si>
  <si>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</si>
  <si>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</si>
  <si>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</si>
  <si>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</si>
  <si>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</si>
  <si>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</si>
  <si>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</si>
  <si>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</si>
  <si>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</si>
  <si>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</si>
  <si>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</si>
  <si>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</si>
  <si>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</si>
  <si>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</si>
  <si>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</si>
  <si>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</si>
  <si>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</si>
  <si>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</si>
  <si>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</si>
  <si>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</si>
  <si>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</si>
  <si>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</si>
  <si>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</si>
  <si>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</si>
  <si>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</si>
  <si>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</si>
  <si>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</si>
  <si>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</si>
  <si>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</si>
  <si>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</si>
  <si>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</si>
  <si>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</si>
  <si>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</si>
  <si>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</si>
  <si>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</si>
  <si>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</si>
  <si>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</si>
  <si>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</si>
  <si>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</si>
  <si>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</si>
  <si>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</si>
  <si>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</si>
  <si>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</si>
  <si>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</si>
  <si>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</si>
  <si>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</si>
  <si>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</si>
  <si>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</si>
  <si>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</si>
  <si>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</si>
  <si>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</si>
  <si>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</si>
  <si>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</si>
  <si>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</si>
  <si>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</si>
  <si>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</si>
  <si>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</si>
  <si>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</si>
  <si>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</si>
  <si>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</si>
  <si>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</si>
  <si>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</si>
  <si>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</si>
  <si>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</si>
  <si>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</si>
  <si>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</si>
  <si>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</si>
  <si>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</si>
  <si>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</si>
  <si>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</si>
  <si>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</si>
  <si>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</si>
  <si>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</si>
  <si>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</si>
  <si>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</si>
  <si>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</si>
  <si>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</si>
  <si>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</si>
  <si>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</si>
  <si>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</si>
  <si>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</si>
  <si>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</si>
  <si>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</si>
  <si>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</si>
  <si>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</si>
  <si>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</si>
  <si>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</si>
  <si>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</si>
  <si>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</si>
  <si>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</si>
  <si>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</si>
  <si>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</si>
  <si>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</si>
  <si>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</si>
  <si>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</si>
  <si>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</si>
  <si>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</si>
  <si>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</si>
  <si>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</si>
  <si>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</si>
  <si>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</si>
  <si>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</si>
  <si>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</si>
  <si>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</si>
  <si>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</si>
  <si>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</si>
  <si>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</si>
  <si>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</si>
  <si>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</si>
  <si>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</si>
  <si>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</si>
  <si>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</si>
  <si>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</si>
  <si>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</si>
  <si>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</si>
  <si>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</si>
  <si>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</si>
  <si>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</si>
  <si>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</si>
  <si>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</si>
  <si>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</si>
  <si>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</si>
  <si>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</si>
  <si>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</si>
  <si>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</si>
  <si>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</si>
  <si>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</si>
  <si>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</si>
  <si>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</si>
  <si>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</si>
  <si>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</si>
  <si>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</si>
  <si>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</si>
  <si>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</si>
  <si>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</si>
  <si>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</si>
  <si>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</si>
  <si>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</si>
  <si>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</si>
  <si>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</si>
  <si>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</si>
  <si>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</si>
  <si>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</si>
  <si>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</si>
  <si>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</si>
  <si>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</si>
  <si>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</si>
  <si>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</si>
  <si>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</si>
  <si>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</si>
  <si>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</si>
  <si>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</si>
  <si>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</si>
  <si>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</si>
  <si>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</si>
  <si>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</si>
  <si>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</si>
  <si>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</si>
  <si>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</si>
  <si>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</si>
  <si>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</si>
  <si>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</si>
  <si>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</si>
  <si>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</si>
  <si>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</si>
  <si>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</si>
  <si>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</si>
  <si>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</si>
  <si>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</si>
  <si>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</si>
  <si>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</si>
  <si>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</si>
  <si>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</si>
  <si>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</si>
  <si>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</si>
  <si>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</si>
  <si>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</si>
  <si>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</si>
  <si>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</si>
  <si>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</si>
  <si>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</si>
  <si>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</si>
  <si>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</si>
  <si>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</si>
  <si>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</si>
  <si>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</si>
  <si>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</si>
  <si>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</si>
  <si>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</si>
  <si>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</si>
  <si>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</si>
  <si>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</si>
  <si>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</si>
  <si>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</si>
  <si>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</si>
  <si>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</si>
  <si>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</si>
  <si>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</si>
  <si>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</si>
  <si>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</si>
  <si>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</si>
  <si>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</si>
  <si>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</si>
  <si>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</si>
  <si>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</si>
  <si>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</si>
  <si>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</si>
  <si>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</si>
  <si>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</si>
  <si>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</si>
  <si>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</si>
  <si>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</si>
  <si>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</si>
  <si>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</si>
  <si>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</si>
  <si>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</si>
  <si>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</si>
  <si>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</si>
  <si>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</si>
  <si>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</si>
  <si>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</si>
  <si>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</si>
  <si>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</si>
  <si>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</si>
  <si>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</si>
  <si>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</si>
  <si>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</si>
  <si>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</si>
  <si>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</si>
  <si>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</si>
  <si>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</si>
  <si>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</si>
  <si>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</si>
  <si>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</si>
  <si>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</si>
  <si>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</si>
  <si>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</si>
  <si>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</si>
  <si>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</si>
  <si>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</si>
  <si>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</si>
  <si>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</si>
  <si>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</si>
  <si>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</si>
  <si>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</si>
  <si>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</si>
  <si>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</si>
  <si>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</si>
  <si>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</si>
  <si>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</si>
  <si>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</si>
  <si>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</si>
  <si>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</si>
  <si>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</si>
  <si>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</si>
  <si>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</si>
  <si>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</si>
  <si>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</si>
  <si>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</si>
  <si>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</si>
  <si>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</si>
  <si>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</si>
  <si>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</si>
  <si>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</si>
  <si>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</si>
  <si>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</si>
  <si>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</si>
  <si>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</si>
  <si>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</si>
  <si>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</si>
  <si>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</si>
  <si>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</si>
  <si>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</si>
  <si>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</si>
  <si>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</si>
  <si>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</si>
  <si>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</si>
  <si>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</si>
  <si>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</si>
  <si>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</si>
  <si>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</si>
  <si>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</si>
  <si>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</si>
  <si>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</si>
  <si>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</si>
  <si>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</si>
  <si>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</si>
  <si>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</si>
  <si>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</si>
  <si>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</si>
  <si>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</si>
  <si>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</si>
  <si>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</si>
  <si>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</si>
  <si>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</si>
  <si>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</si>
  <si>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</si>
  <si>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</si>
  <si>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</si>
  <si>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</si>
  <si>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</si>
  <si>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</si>
  <si>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</si>
  <si>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</si>
  <si>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</si>
  <si>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</si>
  <si>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</si>
  <si>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</si>
  <si>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</si>
  <si>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</si>
  <si>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</si>
  <si>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</si>
  <si>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</si>
  <si>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</si>
  <si>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</si>
  <si>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</si>
  <si>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</si>
  <si>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</si>
  <si>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</si>
  <si>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</si>
  <si>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</si>
  <si>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</si>
  <si>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</si>
  <si>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</si>
  <si>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</si>
  <si>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</si>
  <si>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</si>
  <si>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</si>
  <si>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</si>
  <si>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</si>
  <si>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</si>
  <si>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</si>
  <si>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</si>
  <si>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</si>
  <si>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</si>
  <si>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</si>
  <si>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</si>
  <si>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</si>
  <si>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</si>
  <si>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</si>
  <si>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</si>
  <si>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</si>
  <si>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</si>
  <si>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</si>
  <si>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</si>
  <si>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</si>
  <si>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</si>
  <si>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</si>
  <si>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</si>
  <si>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</si>
  <si>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</si>
  <si>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</si>
  <si>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</si>
  <si>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</si>
  <si>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</si>
  <si>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</si>
  <si>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</si>
  <si>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</si>
  <si>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</si>
  <si>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</si>
  <si>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</si>
  <si>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</si>
  <si>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</si>
  <si>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</si>
  <si>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</si>
  <si>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</si>
  <si>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</si>
  <si>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</si>
  <si>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</si>
  <si>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</si>
  <si>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</si>
  <si>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</si>
  <si>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</si>
  <si>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</si>
  <si>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</si>
  <si>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</si>
  <si>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</si>
  <si>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</si>
  <si>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</si>
  <si>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</si>
  <si>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</si>
  <si>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</si>
  <si>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</si>
  <si>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</si>
  <si>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</si>
  <si>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</si>
  <si>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</si>
  <si>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</si>
  <si>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</si>
  <si>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</si>
  <si>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</si>
  <si>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</si>
  <si>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</si>
  <si>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</si>
  <si>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</si>
  <si>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</si>
  <si>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</si>
  <si>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</si>
  <si>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</si>
  <si>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</si>
  <si>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</si>
  <si>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</si>
  <si>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</si>
  <si>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</si>
  <si>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</si>
  <si>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</si>
  <si>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</si>
  <si>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</si>
  <si>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</si>
  <si>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</si>
  <si>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</si>
  <si>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</si>
  <si>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</si>
  <si>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</si>
  <si>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</si>
  <si>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</si>
  <si>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</si>
  <si>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</si>
  <si>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</si>
  <si>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</si>
  <si>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</si>
  <si>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</si>
  <si>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</si>
  <si>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</si>
  <si>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</si>
  <si>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</si>
  <si>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</si>
  <si>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</si>
  <si>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</si>
  <si>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</si>
  <si>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</si>
  <si>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</si>
  <si>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</si>
  <si>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</si>
  <si>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</si>
  <si>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</si>
  <si>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</si>
  <si>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</si>
  <si>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</si>
  <si>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</si>
  <si>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</si>
  <si>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</si>
  <si>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</si>
  <si>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</si>
  <si>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</si>
  <si>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</si>
  <si>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</si>
  <si>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</si>
  <si>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</si>
  <si>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</si>
  <si>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</si>
  <si>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</si>
  <si>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</si>
  <si>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</si>
  <si>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</si>
  <si>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</si>
  <si>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</si>
  <si>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</si>
  <si>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</si>
  <si>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</si>
  <si>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</si>
  <si>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</si>
  <si>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</si>
  <si>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</si>
  <si>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</si>
  <si>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</si>
  <si>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</si>
  <si>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</si>
  <si>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</si>
  <si>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</si>
  <si>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</si>
  <si>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</si>
  <si>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</si>
  <si>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</si>
  <si>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</si>
  <si>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</si>
  <si>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</si>
  <si>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</si>
  <si>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</si>
  <si>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</si>
  <si>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</si>
  <si>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</si>
  <si>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</si>
  <si>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</si>
  <si>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</si>
  <si>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</si>
  <si>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</si>
  <si>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</si>
  <si>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</si>
  <si>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</si>
  <si>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</si>
  <si>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</si>
  <si>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</si>
  <si>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</si>
  <si>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</si>
  <si>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</si>
  <si>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</si>
  <si>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</si>
  <si>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</si>
  <si>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</si>
  <si>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</si>
  <si>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</si>
  <si>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Огноо</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</si>
  <si>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</si>
  <si>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</si>
  <si>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</si>
  <si>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</si>
  <si>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</si>
  <si>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</si>
  <si>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</si>
  <si>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</si>
  <si>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</si>
  <si>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</si>
  <si>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</si>
  <si>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</si>
  <si>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</si>
  <si>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</si>
  <si>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</si>
  <si>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</si>
  <si>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</si>
  <si>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</si>
  <si>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</si>
  <si>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</si>
  <si>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</si>
  <si>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</si>
  <si>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</si>
  <si>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</si>
  <si>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</si>
  <si>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</si>
  <si>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</si>
  <si>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t>
  </si>
  <si>
    <t>Мастерфайлыг нэрлэхдээ SCCNXXXXXXXq042020 зөвхөн XXXXXXX-ын оронд регистрийн дугаар оруулан нэрлэнэ. Жишээ: SCCN1234567q042020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</si>
</sst>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 #,##0_₮_-;\-* #,##0_₮_-;_-* &quot;-&quot;_₮_-;_-@_-"/>
    <numFmt numFmtId="165" formatCode="_-* #,##0.00_₮_-;\-* #,##0.00_₮_-;_-* &quot;-&quot;??_₮_-;_-@_-"/>
    <numFmt numFmtId="166" formatCode="_ * #,##0.00_ ;_ * \-#,##0.00_ ;_ * &quot;-&quot;??_ ;_ @_ "/>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s>
  <fonts count="65">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thin">
        <color rgb="FF000000"/>
      </left>
      <right style="thin">
        <color indexed="64"/>
      </right>
      <top style="medium">
        <color indexed="64"/>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9" fontId="26" fillId="0" borderId="0" applyFont="0" applyFill="0" applyBorder="0" applyAlignment="0" applyProtection="0"/>
    <xf numFmtId="165"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49">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6" fontId="10" fillId="0" borderId="117" xfId="0" applyNumberFormat="1" applyFont="1" applyFill="1" applyBorder="1" applyAlignment="1">
      <alignment horizontal="center" vertical="center" wrapText="1"/>
    </xf>
    <xf numFmtId="166"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6"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4" fontId="8" fillId="0" borderId="13" xfId="0" applyNumberFormat="1" applyFont="1" applyBorder="1" applyAlignment="1" applyProtection="1">
      <alignment horizontal="center" vertical="center"/>
      <protection locked="0"/>
    </xf>
    <xf numFmtId="164" fontId="8" fillId="0" borderId="57" xfId="0" applyNumberFormat="1" applyFont="1" applyBorder="1" applyAlignment="1" applyProtection="1">
      <alignment horizontal="center" vertical="center"/>
      <protection locked="0"/>
    </xf>
    <xf numFmtId="164" fontId="8" fillId="0" borderId="55" xfId="0" applyNumberFormat="1" applyFont="1" applyBorder="1" applyAlignment="1" applyProtection="1">
      <alignment horizontal="center" vertical="center"/>
      <protection locked="0"/>
    </xf>
    <xf numFmtId="164" fontId="8" fillId="0" borderId="43" xfId="0" applyNumberFormat="1" applyFont="1" applyBorder="1" applyAlignment="1" applyProtection="1">
      <alignment horizontal="center" vertical="center"/>
      <protection locked="0"/>
    </xf>
    <xf numFmtId="164" fontId="8" fillId="0" borderId="14" xfId="0" applyNumberFormat="1"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164" fontId="8" fillId="0" borderId="7" xfId="0" applyNumberFormat="1" applyFont="1" applyBorder="1" applyAlignment="1" applyProtection="1">
      <alignment horizontal="center" vertical="center"/>
      <protection locked="0"/>
    </xf>
    <xf numFmtId="164" fontId="10" fillId="3" borderId="11" xfId="0" applyNumberFormat="1" applyFont="1" applyFill="1" applyBorder="1" applyAlignment="1" applyProtection="1">
      <alignment horizontal="center" vertical="center"/>
      <protection locked="0"/>
    </xf>
    <xf numFmtId="164"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4" fontId="23" fillId="3" borderId="57" xfId="0" applyNumberFormat="1" applyFont="1" applyFill="1" applyBorder="1" applyProtection="1">
      <protection locked="0"/>
    </xf>
    <xf numFmtId="165"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4"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4"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4"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4" fontId="8" fillId="6" borderId="41" xfId="0" applyNumberFormat="1" applyFont="1" applyFill="1" applyBorder="1" applyAlignment="1" applyProtection="1">
      <alignment horizontal="center" vertical="center"/>
    </xf>
    <xf numFmtId="164"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6" fontId="8" fillId="0" borderId="13" xfId="0" applyNumberFormat="1" applyFont="1" applyBorder="1" applyAlignment="1" applyProtection="1">
      <alignment vertical="center"/>
      <protection locked="0"/>
    </xf>
    <xf numFmtId="166" fontId="8" fillId="0" borderId="4" xfId="0" applyNumberFormat="1" applyFont="1" applyBorder="1" applyAlignment="1" applyProtection="1">
      <alignment vertical="center"/>
      <protection locked="0"/>
    </xf>
    <xf numFmtId="166" fontId="8" fillId="0" borderId="7" xfId="0" applyNumberFormat="1" applyFont="1" applyBorder="1" applyAlignment="1" applyProtection="1">
      <alignment vertical="center"/>
      <protection locked="0"/>
    </xf>
    <xf numFmtId="166" fontId="8" fillId="0" borderId="23" xfId="0" applyNumberFormat="1" applyFont="1" applyBorder="1" applyAlignment="1" applyProtection="1">
      <alignment vertical="center"/>
      <protection locked="0"/>
    </xf>
    <xf numFmtId="166" fontId="8" fillId="0" borderId="24" xfId="0" applyNumberFormat="1" applyFont="1" applyBorder="1" applyAlignment="1" applyProtection="1">
      <alignment vertical="center"/>
      <protection locked="0"/>
    </xf>
    <xf numFmtId="166" fontId="8" fillId="0" borderId="17" xfId="0" applyNumberFormat="1" applyFont="1" applyBorder="1" applyAlignment="1" applyProtection="1">
      <alignment vertical="center"/>
      <protection locked="0"/>
    </xf>
    <xf numFmtId="166" fontId="8" fillId="0" borderId="26" xfId="0" applyNumberFormat="1" applyFont="1" applyBorder="1" applyAlignment="1" applyProtection="1">
      <alignment vertical="center"/>
      <protection locked="0"/>
    </xf>
    <xf numFmtId="166" fontId="7" fillId="0" borderId="13" xfId="0" applyNumberFormat="1" applyFont="1" applyBorder="1" applyAlignment="1" applyProtection="1">
      <alignment vertical="center"/>
      <protection locked="0"/>
    </xf>
    <xf numFmtId="166"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6" fontId="8" fillId="0" borderId="14" xfId="0" applyNumberFormat="1" applyFont="1" applyBorder="1" applyAlignment="1" applyProtection="1">
      <alignment vertical="center"/>
      <protection locked="0"/>
    </xf>
    <xf numFmtId="166" fontId="8" fillId="0" borderId="3" xfId="0" applyNumberFormat="1" applyFont="1" applyBorder="1" applyAlignment="1" applyProtection="1">
      <alignment vertical="center"/>
      <protection locked="0"/>
    </xf>
    <xf numFmtId="166"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6" fontId="10" fillId="2" borderId="10" xfId="0" applyNumberFormat="1" applyFont="1" applyFill="1" applyBorder="1" applyAlignment="1" applyProtection="1">
      <alignment horizontal="center" vertical="center"/>
    </xf>
    <xf numFmtId="166"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6"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6"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6" fontId="8" fillId="2" borderId="11" xfId="0" applyNumberFormat="1" applyFont="1" applyFill="1" applyBorder="1" applyAlignment="1" applyProtection="1">
      <alignment vertical="center"/>
    </xf>
    <xf numFmtId="166"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6"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6"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6"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6"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6"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6" fontId="10" fillId="2" borderId="8" xfId="0" applyNumberFormat="1" applyFont="1" applyFill="1" applyBorder="1" applyAlignment="1" applyProtection="1">
      <alignment horizontal="left" vertical="center"/>
    </xf>
    <xf numFmtId="166"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6"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6" fontId="13" fillId="0" borderId="0" xfId="0" applyNumberFormat="1" applyFont="1" applyAlignment="1" applyProtection="1">
      <alignment vertical="center"/>
    </xf>
    <xf numFmtId="0" fontId="10" fillId="0" borderId="0" xfId="0" applyFont="1" applyAlignment="1" applyProtection="1">
      <alignment vertical="center"/>
    </xf>
    <xf numFmtId="166" fontId="10" fillId="0" borderId="14" xfId="0" applyNumberFormat="1" applyFont="1" applyBorder="1" applyAlignment="1" applyProtection="1">
      <alignment vertical="center"/>
    </xf>
    <xf numFmtId="0" fontId="8" fillId="0" borderId="0" xfId="0" applyFont="1" applyAlignment="1" applyProtection="1">
      <alignment vertical="center" wrapText="1"/>
    </xf>
    <xf numFmtId="166" fontId="8" fillId="0" borderId="14" xfId="0" applyNumberFormat="1" applyFont="1" applyBorder="1" applyAlignment="1" applyProtection="1">
      <alignment vertical="center"/>
    </xf>
    <xf numFmtId="166"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6"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28" fillId="0" borderId="0" xfId="0" applyFont="1" applyProtection="1">
      <protection locked="0"/>
    </xf>
    <xf numFmtId="0" fontId="0" fillId="0" borderId="0" xfId="0" applyFont="1" applyAlignment="1" applyProtection="1">
      <protection locked="0"/>
    </xf>
    <xf numFmtId="0" fontId="7" fillId="0" borderId="0" xfId="0" applyFont="1" applyAlignment="1" applyProtection="1">
      <alignment vertical="center"/>
      <protection locked="0"/>
    </xf>
    <xf numFmtId="166" fontId="8" fillId="0" borderId="13" xfId="0" applyNumberFormat="1" applyFont="1" applyBorder="1" applyAlignment="1" applyProtection="1">
      <alignment horizontal="right" vertical="center"/>
      <protection locked="0"/>
    </xf>
    <xf numFmtId="166" fontId="8" fillId="3" borderId="14" xfId="0" applyNumberFormat="1" applyFont="1" applyFill="1" applyBorder="1" applyAlignment="1" applyProtection="1">
      <alignment vertical="center"/>
      <protection locked="0"/>
    </xf>
    <xf numFmtId="166" fontId="8" fillId="3" borderId="4" xfId="0" applyNumberFormat="1" applyFont="1" applyFill="1" applyBorder="1" applyAlignment="1" applyProtection="1">
      <alignment vertical="center"/>
      <protection locked="0"/>
    </xf>
    <xf numFmtId="166" fontId="8" fillId="3" borderId="13" xfId="0" applyNumberFormat="1" applyFont="1" applyFill="1" applyBorder="1" applyAlignment="1" applyProtection="1">
      <alignment vertical="center"/>
      <protection locked="0"/>
    </xf>
    <xf numFmtId="166" fontId="8" fillId="0" borderId="4" xfId="0" applyNumberFormat="1" applyFont="1" applyBorder="1" applyAlignment="1" applyProtection="1">
      <alignment horizontal="right" vertical="center"/>
      <protection locked="0"/>
    </xf>
    <xf numFmtId="166" fontId="8" fillId="0" borderId="6" xfId="0" applyNumberFormat="1" applyFont="1" applyBorder="1" applyAlignment="1" applyProtection="1">
      <alignment horizontal="right" vertical="center"/>
      <protection locked="0"/>
    </xf>
    <xf numFmtId="166" fontId="8" fillId="3" borderId="7" xfId="0" applyNumberFormat="1" applyFont="1" applyFill="1" applyBorder="1" applyAlignment="1" applyProtection="1">
      <alignment vertical="center"/>
      <protection locked="0"/>
    </xf>
    <xf numFmtId="166" fontId="8" fillId="3" borderId="3" xfId="0" applyNumberFormat="1" applyFont="1" applyFill="1" applyBorder="1" applyAlignment="1" applyProtection="1">
      <alignment vertical="center"/>
      <protection locked="0"/>
    </xf>
    <xf numFmtId="0" fontId="6" fillId="0" borderId="0" xfId="0" applyFont="1" applyAlignment="1" applyProtection="1">
      <alignment vertical="center"/>
      <protection locked="0"/>
    </xf>
    <xf numFmtId="166" fontId="8" fillId="3" borderId="11" xfId="0" applyNumberFormat="1" applyFont="1" applyFill="1" applyBorder="1" applyAlignment="1" applyProtection="1">
      <alignment vertical="center"/>
      <protection locked="0"/>
    </xf>
    <xf numFmtId="166" fontId="8" fillId="0" borderId="3" xfId="0" applyNumberFormat="1" applyFont="1" applyBorder="1" applyAlignment="1" applyProtection="1">
      <alignment horizontal="right" vertical="center"/>
      <protection locked="0"/>
    </xf>
    <xf numFmtId="166" fontId="8" fillId="0" borderId="7" xfId="0" applyNumberFormat="1" applyFont="1" applyBorder="1" applyAlignment="1" applyProtection="1">
      <alignment horizontal="righ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6"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8" fillId="0" borderId="12" xfId="0" applyFont="1" applyBorder="1" applyAlignment="1" applyProtection="1">
      <alignment horizontal="center"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6"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6"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6"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6"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6"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6"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6"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6" fontId="10" fillId="2" borderId="7" xfId="0" applyNumberFormat="1" applyFont="1" applyFill="1" applyBorder="1" applyAlignment="1" applyProtection="1">
      <alignment horizontal="right" vertical="center"/>
    </xf>
    <xf numFmtId="166"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6" fontId="31" fillId="7" borderId="13" xfId="0" applyNumberFormat="1" applyFont="1" applyFill="1" applyBorder="1" applyAlignment="1" applyProtection="1">
      <alignment vertical="center"/>
    </xf>
    <xf numFmtId="166"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6"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6" fontId="35" fillId="0" borderId="0" xfId="0" applyNumberFormat="1" applyFont="1" applyAlignment="1" applyProtection="1">
      <alignment vertical="center"/>
    </xf>
    <xf numFmtId="166"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166" fontId="8" fillId="0" borderId="62" xfId="0" applyNumberFormat="1" applyFont="1" applyBorder="1" applyAlignment="1" applyProtection="1">
      <alignment vertical="center"/>
      <protection locked="0"/>
    </xf>
    <xf numFmtId="166" fontId="8" fillId="0" borderId="43" xfId="0" applyNumberFormat="1" applyFont="1" applyBorder="1" applyAlignment="1" applyProtection="1">
      <alignment vertical="center"/>
      <protection locked="0"/>
    </xf>
    <xf numFmtId="166" fontId="8" fillId="0" borderId="63" xfId="0" applyNumberFormat="1" applyFont="1" applyBorder="1" applyAlignment="1" applyProtection="1">
      <alignment vertical="center"/>
      <protection locked="0"/>
    </xf>
    <xf numFmtId="166" fontId="8" fillId="3" borderId="63" xfId="0" applyNumberFormat="1" applyFont="1" applyFill="1" applyBorder="1" applyAlignment="1" applyProtection="1">
      <alignment vertical="center"/>
      <protection locked="0"/>
    </xf>
    <xf numFmtId="166" fontId="8" fillId="3" borderId="64" xfId="0" applyNumberFormat="1" applyFont="1" applyFill="1" applyBorder="1" applyAlignment="1" applyProtection="1">
      <alignment vertical="center"/>
      <protection locked="0"/>
    </xf>
    <xf numFmtId="166" fontId="8" fillId="3" borderId="72" xfId="0" applyNumberFormat="1" applyFont="1" applyFill="1" applyBorder="1" applyAlignment="1" applyProtection="1">
      <alignment vertical="center"/>
      <protection locked="0"/>
    </xf>
    <xf numFmtId="166" fontId="8" fillId="3" borderId="73" xfId="0" applyNumberFormat="1" applyFont="1" applyFill="1" applyBorder="1" applyAlignment="1" applyProtection="1">
      <alignment vertical="center"/>
      <protection locked="0"/>
    </xf>
    <xf numFmtId="0" fontId="11" fillId="0" borderId="0" xfId="0" applyFont="1" applyAlignment="1" applyProtection="1">
      <alignment vertical="center"/>
      <protection locked="0"/>
    </xf>
    <xf numFmtId="166" fontId="8" fillId="3" borderId="48" xfId="0" applyNumberFormat="1" applyFont="1" applyFill="1" applyBorder="1" applyAlignment="1" applyProtection="1">
      <alignment vertical="center"/>
      <protection locked="0"/>
    </xf>
    <xf numFmtId="0" fontId="8" fillId="0" borderId="48" xfId="0" applyFont="1" applyBorder="1" applyAlignment="1" applyProtection="1">
      <alignment vertical="center"/>
      <protection locked="0"/>
    </xf>
    <xf numFmtId="166" fontId="8" fillId="3" borderId="65" xfId="0" applyNumberFormat="1" applyFont="1" applyFill="1" applyBorder="1" applyAlignment="1" applyProtection="1">
      <alignment vertical="center"/>
      <protection locked="0"/>
    </xf>
    <xf numFmtId="166" fontId="8" fillId="3" borderId="42" xfId="0" applyNumberFormat="1" applyFont="1" applyFill="1" applyBorder="1" applyAlignment="1" applyProtection="1">
      <alignment vertical="center"/>
      <protection locked="0"/>
    </xf>
    <xf numFmtId="166" fontId="8" fillId="3" borderId="70" xfId="0" applyNumberFormat="1" applyFont="1" applyFill="1" applyBorder="1" applyAlignment="1" applyProtection="1">
      <alignment horizontal="right" vertical="center"/>
      <protection locked="0"/>
    </xf>
    <xf numFmtId="0" fontId="8" fillId="0" borderId="74" xfId="0" applyFont="1" applyBorder="1" applyAlignment="1" applyProtection="1">
      <alignment vertical="center"/>
      <protection locked="0"/>
    </xf>
    <xf numFmtId="166" fontId="8" fillId="0" borderId="14" xfId="0" applyNumberFormat="1" applyFont="1" applyFill="1" applyBorder="1" applyAlignment="1" applyProtection="1">
      <alignment horizontal="right" vertical="center"/>
      <protection locked="0"/>
    </xf>
    <xf numFmtId="166" fontId="8" fillId="0" borderId="69" xfId="0" applyNumberFormat="1" applyFont="1" applyFill="1" applyBorder="1" applyAlignment="1" applyProtection="1">
      <alignment horizontal="right" vertical="center"/>
      <protection locked="0"/>
    </xf>
    <xf numFmtId="166" fontId="8" fillId="0" borderId="68" xfId="0" applyNumberFormat="1" applyFont="1" applyFill="1" applyBorder="1" applyAlignment="1" applyProtection="1">
      <alignment horizontal="right" vertical="center"/>
      <protection locked="0"/>
    </xf>
    <xf numFmtId="166" fontId="8" fillId="0" borderId="21" xfId="0" applyNumberFormat="1" applyFont="1" applyFill="1" applyBorder="1" applyAlignment="1" applyProtection="1">
      <alignment horizontal="right" vertical="center"/>
      <protection locked="0"/>
    </xf>
    <xf numFmtId="166" fontId="8" fillId="0" borderId="71" xfId="0" applyNumberFormat="1" applyFont="1" applyFill="1" applyBorder="1" applyAlignment="1" applyProtection="1">
      <alignment horizontal="right" vertical="center"/>
      <protection locked="0"/>
    </xf>
    <xf numFmtId="166" fontId="8" fillId="0" borderId="67" xfId="0" applyNumberFormat="1" applyFont="1" applyFill="1" applyBorder="1" applyAlignment="1" applyProtection="1">
      <alignment horizontal="right" vertical="center"/>
      <protection locked="0"/>
    </xf>
    <xf numFmtId="166" fontId="8" fillId="0" borderId="0" xfId="0" applyNumberFormat="1" applyFont="1" applyBorder="1" applyAlignment="1" applyProtection="1">
      <alignment vertical="center"/>
      <protection locked="0"/>
    </xf>
    <xf numFmtId="166" fontId="8" fillId="0" borderId="1" xfId="0" applyNumberFormat="1"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0" fontId="10" fillId="2" borderId="5" xfId="0" applyFont="1" applyFill="1" applyBorder="1" applyAlignment="1" applyProtection="1">
      <alignment horizontal="center" vertical="center"/>
    </xf>
    <xf numFmtId="166"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0" fontId="10" fillId="2" borderId="9" xfId="0" applyFont="1" applyFill="1" applyBorder="1" applyAlignment="1" applyProtection="1">
      <alignment vertical="center"/>
    </xf>
    <xf numFmtId="166"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6" fontId="10" fillId="2" borderId="66" xfId="0" applyNumberFormat="1" applyFont="1" applyFill="1" applyBorder="1" applyAlignment="1" applyProtection="1">
      <alignment vertical="center"/>
    </xf>
    <xf numFmtId="166"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6" fontId="10" fillId="2" borderId="55" xfId="0" applyNumberFormat="1" applyFont="1" applyFill="1" applyBorder="1" applyAlignment="1" applyProtection="1">
      <alignment vertical="center"/>
    </xf>
    <xf numFmtId="166"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6" fontId="10" fillId="2" borderId="5" xfId="0" applyNumberFormat="1" applyFont="1" applyFill="1" applyBorder="1" applyAlignment="1" applyProtection="1">
      <alignment vertical="center"/>
    </xf>
    <xf numFmtId="166"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66" fontId="10" fillId="2" borderId="8" xfId="0" applyNumberFormat="1" applyFont="1" applyFill="1" applyBorder="1" applyAlignment="1" applyProtection="1">
      <alignment horizontal="center"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66" fontId="8" fillId="0" borderId="0" xfId="0" applyNumberFormat="1" applyFont="1" applyAlignment="1" applyProtection="1">
      <alignment horizontal="center"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6"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6"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6" fontId="10" fillId="6" borderId="110" xfId="0" applyNumberFormat="1" applyFont="1" applyFill="1" applyBorder="1" applyAlignment="1" applyProtection="1">
      <alignment horizontal="center" vertical="center" wrapText="1"/>
    </xf>
    <xf numFmtId="164" fontId="10" fillId="6" borderId="94" xfId="0" applyNumberFormat="1" applyFont="1" applyFill="1" applyBorder="1" applyAlignment="1" applyProtection="1">
      <alignment horizontal="center" vertical="center"/>
    </xf>
    <xf numFmtId="165"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5"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6" fontId="10" fillId="6" borderId="98" xfId="0" applyNumberFormat="1" applyFont="1" applyFill="1" applyBorder="1" applyAlignment="1" applyProtection="1">
      <alignment horizontal="center" vertical="center"/>
    </xf>
    <xf numFmtId="166"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6"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6" fontId="16" fillId="0" borderId="135" xfId="0" applyNumberFormat="1" applyFont="1" applyBorder="1" applyAlignment="1" applyProtection="1">
      <alignment horizontal="center" vertical="center"/>
      <protection locked="0"/>
    </xf>
    <xf numFmtId="1" fontId="16" fillId="0" borderId="136" xfId="0" applyNumberFormat="1" applyFont="1" applyBorder="1" applyAlignment="1" applyProtection="1">
      <alignment horizontal="center" vertical="center"/>
      <protection locked="0"/>
    </xf>
    <xf numFmtId="1" fontId="16" fillId="0" borderId="120" xfId="0" applyNumberFormat="1" applyFont="1" applyBorder="1" applyAlignment="1" applyProtection="1">
      <alignment horizontal="center" vertical="center"/>
      <protection locked="0"/>
    </xf>
    <xf numFmtId="166" fontId="16" fillId="0" borderId="128" xfId="0" applyNumberFormat="1" applyFont="1" applyFill="1" applyBorder="1" applyAlignment="1" applyProtection="1">
      <alignment horizontal="center" vertical="center"/>
      <protection locked="0"/>
    </xf>
    <xf numFmtId="1" fontId="16" fillId="0" borderId="130" xfId="0" applyNumberFormat="1" applyFont="1" applyBorder="1" applyAlignment="1" applyProtection="1">
      <alignment horizontal="center" vertical="center"/>
      <protection locked="0"/>
    </xf>
    <xf numFmtId="1" fontId="16" fillId="0" borderId="120" xfId="0" applyNumberFormat="1" applyFont="1" applyFill="1" applyBorder="1" applyAlignment="1" applyProtection="1">
      <alignment horizontal="center" vertical="center"/>
      <protection locked="0"/>
    </xf>
    <xf numFmtId="166" fontId="16" fillId="0" borderId="131" xfId="0" applyNumberFormat="1" applyFont="1" applyBorder="1" applyAlignment="1" applyProtection="1">
      <alignment horizontal="center" vertical="center"/>
      <protection locked="0"/>
    </xf>
    <xf numFmtId="1" fontId="16" fillId="0" borderId="132" xfId="0" applyNumberFormat="1" applyFont="1" applyBorder="1" applyAlignment="1" applyProtection="1">
      <alignment horizontal="center" vertical="center"/>
      <protection locked="0"/>
    </xf>
    <xf numFmtId="1" fontId="16" fillId="0" borderId="117" xfId="0" applyNumberFormat="1" applyFont="1" applyFill="1" applyBorder="1" applyAlignment="1" applyProtection="1">
      <alignment horizontal="center" vertical="center"/>
      <protection locked="0"/>
    </xf>
    <xf numFmtId="166"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6" fontId="16" fillId="0" borderId="133" xfId="0" applyNumberFormat="1" applyFont="1" applyBorder="1" applyAlignment="1" applyProtection="1">
      <alignment horizontal="center" vertical="center"/>
      <protection locked="0"/>
    </xf>
    <xf numFmtId="1" fontId="16" fillId="0" borderId="134" xfId="0" applyNumberFormat="1" applyFont="1" applyBorder="1" applyAlignment="1" applyProtection="1">
      <alignment horizontal="center" vertical="center"/>
      <protection locked="0"/>
    </xf>
    <xf numFmtId="166" fontId="16" fillId="0" borderId="135" xfId="0" applyNumberFormat="1" applyFont="1" applyFill="1" applyBorder="1" applyAlignment="1" applyProtection="1">
      <alignment horizontal="center" vertical="center"/>
      <protection locked="0"/>
    </xf>
    <xf numFmtId="1" fontId="16" fillId="0" borderId="136" xfId="0" applyNumberFormat="1" applyFont="1" applyFill="1" applyBorder="1" applyAlignment="1" applyProtection="1">
      <alignment horizontal="center" vertical="center"/>
      <protection locked="0"/>
    </xf>
    <xf numFmtId="1" fontId="16" fillId="0" borderId="132" xfId="0" applyNumberFormat="1" applyFont="1" applyFill="1" applyBorder="1" applyAlignment="1" applyProtection="1">
      <alignment horizontal="center" vertical="center"/>
      <protection locked="0"/>
    </xf>
    <xf numFmtId="166" fontId="16" fillId="0" borderId="133" xfId="0" applyNumberFormat="1" applyFont="1" applyFill="1" applyBorder="1" applyAlignment="1" applyProtection="1">
      <alignment horizontal="center" vertical="center"/>
      <protection locked="0"/>
    </xf>
    <xf numFmtId="174" fontId="16" fillId="0" borderId="130" xfId="0" applyNumberFormat="1" applyFont="1" applyFill="1" applyBorder="1" applyAlignment="1" applyProtection="1">
      <alignment horizontal="center" vertical="center"/>
      <protection locked="0"/>
    </xf>
    <xf numFmtId="174" fontId="16" fillId="0" borderId="132" xfId="0" applyNumberFormat="1" applyFont="1" applyFill="1" applyBorder="1" applyAlignment="1" applyProtection="1">
      <alignment horizontal="center" vertical="center"/>
      <protection locked="0"/>
    </xf>
    <xf numFmtId="166" fontId="16" fillId="0" borderId="137" xfId="0" applyNumberFormat="1" applyFont="1" applyFill="1" applyBorder="1" applyAlignment="1" applyProtection="1">
      <alignment horizontal="center" vertical="center"/>
      <protection locked="0"/>
    </xf>
    <xf numFmtId="174" fontId="16" fillId="0" borderId="139"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6" fontId="16" fillId="17" borderId="121" xfId="0" applyNumberFormat="1" applyFont="1" applyFill="1" applyBorder="1" applyAlignment="1" applyProtection="1">
      <alignment horizontal="center" vertical="center"/>
    </xf>
    <xf numFmtId="1" fontId="16" fillId="17" borderId="37" xfId="0" applyNumberFormat="1" applyFont="1" applyFill="1" applyBorder="1" applyAlignment="1" applyProtection="1">
      <alignment horizontal="center" vertical="center"/>
    </xf>
    <xf numFmtId="1" fontId="16" fillId="17" borderId="52"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6" fontId="16" fillId="17" borderId="122" xfId="0" applyNumberFormat="1" applyFont="1" applyFill="1" applyBorder="1" applyAlignment="1" applyProtection="1">
      <alignment horizontal="center" vertical="center"/>
    </xf>
    <xf numFmtId="1" fontId="16" fillId="17" borderId="123" xfId="0" applyNumberFormat="1" applyFont="1" applyFill="1" applyBorder="1" applyAlignment="1" applyProtection="1">
      <alignment horizontal="center" vertical="center"/>
    </xf>
    <xf numFmtId="166" fontId="16" fillId="17" borderId="125" xfId="0" applyNumberFormat="1" applyFont="1" applyFill="1" applyBorder="1" applyAlignment="1" applyProtection="1">
      <alignment horizontal="center" vertical="center"/>
    </xf>
    <xf numFmtId="1" fontId="16" fillId="17" borderId="122"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6" fontId="16" fillId="17" borderId="151" xfId="0" applyNumberFormat="1" applyFont="1" applyFill="1" applyBorder="1" applyAlignment="1" applyProtection="1">
      <alignment horizontal="center" vertical="center"/>
    </xf>
    <xf numFmtId="1" fontId="16" fillId="17" borderId="51" xfId="0" applyNumberFormat="1" applyFont="1" applyFill="1" applyBorder="1" applyAlignment="1" applyProtection="1">
      <alignment horizontal="center" vertical="center"/>
    </xf>
    <xf numFmtId="1" fontId="16" fillId="17" borderId="90"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6" fontId="16" fillId="17" borderId="153" xfId="0" applyNumberFormat="1" applyFont="1" applyFill="1" applyBorder="1" applyAlignment="1" applyProtection="1">
      <alignment horizontal="center" vertical="center"/>
    </xf>
    <xf numFmtId="1" fontId="16" fillId="17" borderId="152" xfId="0" applyNumberFormat="1" applyFont="1" applyFill="1" applyBorder="1" applyAlignment="1" applyProtection="1">
      <alignment horizontal="center" vertical="center"/>
    </xf>
    <xf numFmtId="166" fontId="16" fillId="17" borderId="154" xfId="0" applyNumberFormat="1" applyFont="1" applyFill="1" applyBorder="1" applyAlignment="1" applyProtection="1">
      <alignment horizontal="center" vertical="center"/>
    </xf>
    <xf numFmtId="1" fontId="16" fillId="17" borderId="153"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6" fontId="0" fillId="4" borderId="167" xfId="0" applyNumberFormat="1" applyFill="1" applyBorder="1" applyAlignment="1" applyProtection="1">
      <alignment horizontal="center" vertical="center"/>
    </xf>
    <xf numFmtId="174" fontId="0" fillId="4" borderId="148"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6" fontId="16" fillId="0" borderId="124" xfId="0" applyNumberFormat="1" applyFont="1" applyBorder="1" applyAlignment="1" applyProtection="1">
      <alignment horizontal="center" vertical="center"/>
      <protection locked="0"/>
    </xf>
    <xf numFmtId="166" fontId="16" fillId="0" borderId="117" xfId="0" applyNumberFormat="1" applyFont="1" applyBorder="1" applyAlignment="1" applyProtection="1">
      <alignment horizontal="center" vertical="center"/>
      <protection locked="0"/>
    </xf>
    <xf numFmtId="166" fontId="43" fillId="0" borderId="31" xfId="0" applyNumberFormat="1" applyFont="1" applyFill="1" applyBorder="1" applyAlignment="1" applyProtection="1">
      <alignment horizontal="center" vertical="center"/>
      <protection locked="0"/>
    </xf>
    <xf numFmtId="166"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6" fontId="16" fillId="0" borderId="174" xfId="0" applyNumberFormat="1" applyFont="1" applyBorder="1" applyAlignment="1" applyProtection="1">
      <alignment horizontal="center" vertical="center"/>
      <protection locked="0"/>
    </xf>
    <xf numFmtId="166"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6"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6"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5" fontId="1" fillId="0" borderId="120" xfId="0" applyNumberFormat="1" applyFont="1" applyBorder="1" applyAlignment="1" applyProtection="1">
      <alignment horizontal="right" vertical="center" wrapText="1"/>
      <protection locked="0"/>
    </xf>
    <xf numFmtId="165"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5"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5"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5"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6"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66" fontId="1" fillId="4" borderId="122" xfId="0" applyNumberFormat="1" applyFont="1" applyFill="1" applyBorder="1" applyAlignment="1" applyProtection="1">
      <alignment horizontal="center" vertical="center" wrapText="1"/>
      <protection locked="0"/>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6"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6"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0" fillId="4" borderId="121" xfId="0" applyFont="1" applyFill="1" applyBorder="1" applyAlignment="1" applyProtection="1">
      <alignment horizontal="center" vertical="center" wrapText="1"/>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4" fontId="8" fillId="0" borderId="190" xfId="0" applyNumberFormat="1" applyFont="1" applyBorder="1" applyAlignment="1" applyProtection="1">
      <alignment horizontal="center" vertical="center"/>
      <protection locked="0"/>
    </xf>
    <xf numFmtId="164" fontId="8" fillId="0" borderId="192" xfId="0" applyNumberFormat="1" applyFont="1" applyBorder="1" applyAlignment="1" applyProtection="1">
      <alignment horizontal="center" vertical="center"/>
      <protection locked="0"/>
    </xf>
    <xf numFmtId="4" fontId="23" fillId="3" borderId="191" xfId="0" applyNumberFormat="1" applyFont="1" applyFill="1" applyBorder="1" applyAlignment="1" applyProtection="1">
      <alignment horizontal="left"/>
    </xf>
    <xf numFmtId="164" fontId="8" fillId="0" borderId="44" xfId="0" applyNumberFormat="1" applyFont="1" applyBorder="1" applyAlignment="1" applyProtection="1">
      <alignment horizontal="center" vertical="center"/>
      <protection locked="0"/>
    </xf>
    <xf numFmtId="4" fontId="3" fillId="19" borderId="190" xfId="0" applyNumberFormat="1" applyFont="1" applyFill="1" applyBorder="1" applyAlignment="1" applyProtection="1">
      <alignment horizontal="left"/>
    </xf>
    <xf numFmtId="164" fontId="8" fillId="20" borderId="13" xfId="0" applyNumberFormat="1" applyFont="1" applyFill="1" applyBorder="1" applyAlignment="1" applyProtection="1">
      <alignment horizontal="center" vertical="center"/>
    </xf>
    <xf numFmtId="4" fontId="3" fillId="19" borderId="189"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6" fontId="1" fillId="0" borderId="95" xfId="0" applyNumberFormat="1" applyFont="1" applyBorder="1" applyProtection="1">
      <protection locked="0"/>
    </xf>
    <xf numFmtId="174" fontId="1" fillId="0" borderId="94" xfId="0" applyNumberFormat="1" applyFont="1" applyBorder="1" applyProtection="1">
      <protection locked="0"/>
    </xf>
    <xf numFmtId="166" fontId="1" fillId="0" borderId="179" xfId="0" applyNumberFormat="1" applyFont="1" applyBorder="1" applyProtection="1">
      <protection locked="0"/>
    </xf>
    <xf numFmtId="174" fontId="1" fillId="0" borderId="96" xfId="0" applyNumberFormat="1" applyFont="1" applyBorder="1" applyProtection="1">
      <protection locked="0"/>
    </xf>
    <xf numFmtId="166" fontId="1" fillId="0" borderId="86" xfId="0" applyNumberFormat="1" applyFont="1" applyBorder="1" applyProtection="1">
      <protection locked="0"/>
    </xf>
    <xf numFmtId="174" fontId="1" fillId="0" borderId="35" xfId="0" applyNumberFormat="1" applyFont="1" applyBorder="1" applyProtection="1">
      <protection locked="0"/>
    </xf>
    <xf numFmtId="166" fontId="1" fillId="0" borderId="180" xfId="0" applyNumberFormat="1" applyFont="1" applyBorder="1" applyProtection="1">
      <protection locked="0"/>
    </xf>
    <xf numFmtId="174" fontId="1" fillId="0" borderId="87" xfId="0" applyNumberFormat="1" applyFont="1" applyBorder="1" applyProtection="1">
      <protection locked="0"/>
    </xf>
    <xf numFmtId="166" fontId="1" fillId="0" borderId="92" xfId="0" applyNumberFormat="1" applyFont="1" applyBorder="1" applyProtection="1">
      <protection locked="0"/>
    </xf>
    <xf numFmtId="174" fontId="1" fillId="0" borderId="33" xfId="0" applyNumberFormat="1" applyFont="1" applyBorder="1" applyProtection="1">
      <protection locked="0"/>
    </xf>
    <xf numFmtId="166"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4"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4"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6" fontId="1" fillId="3" borderId="28" xfId="0" applyNumberFormat="1" applyFont="1" applyFill="1" applyBorder="1" applyAlignment="1" applyProtection="1">
      <alignment horizontal="center" vertical="center"/>
      <protection locked="0"/>
    </xf>
    <xf numFmtId="165" fontId="1" fillId="3" borderId="28" xfId="0" applyNumberFormat="1" applyFont="1" applyFill="1" applyBorder="1" applyAlignment="1" applyProtection="1">
      <alignment horizontal="center" vertical="center"/>
      <protection locked="0"/>
    </xf>
    <xf numFmtId="165" fontId="1" fillId="3" borderId="75"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6" fontId="1" fillId="10" borderId="75" xfId="0" applyNumberFormat="1" applyFont="1" applyFill="1" applyBorder="1" applyAlignment="1" applyProtection="1">
      <alignment horizontal="center" vertical="center"/>
      <protection locked="0"/>
    </xf>
    <xf numFmtId="166" fontId="1" fillId="10" borderId="28" xfId="0" applyNumberFormat="1" applyFont="1" applyFill="1" applyBorder="1" applyAlignment="1" applyProtection="1">
      <alignment horizontal="center" vertical="center"/>
      <protection locked="0"/>
    </xf>
    <xf numFmtId="166" fontId="10" fillId="6" borderId="28" xfId="0" applyNumberFormat="1" applyFont="1" applyFill="1" applyBorder="1" applyAlignment="1" applyProtection="1">
      <alignment horizontal="center" vertical="center"/>
    </xf>
    <xf numFmtId="166"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6"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6" fontId="1" fillId="3" borderId="29" xfId="0" applyNumberFormat="1" applyFont="1" applyFill="1" applyBorder="1" applyAlignment="1" applyProtection="1">
      <alignment horizontal="center" vertical="center"/>
      <protection locked="0"/>
    </xf>
    <xf numFmtId="166" fontId="1" fillId="10" borderId="29" xfId="0" applyNumberFormat="1" applyFont="1" applyFill="1" applyBorder="1" applyAlignment="1" applyProtection="1">
      <alignment horizontal="center" vertical="center"/>
      <protection locked="0"/>
    </xf>
    <xf numFmtId="166" fontId="1" fillId="10" borderId="79" xfId="0" applyNumberFormat="1" applyFont="1" applyFill="1" applyBorder="1" applyAlignment="1" applyProtection="1">
      <alignment horizontal="center" vertical="center"/>
      <protection locked="0"/>
    </xf>
    <xf numFmtId="166" fontId="1" fillId="0" borderId="131" xfId="0" applyNumberFormat="1" applyFont="1" applyFill="1" applyBorder="1" applyAlignment="1" applyProtection="1">
      <alignment horizontal="center" vertical="center" wrapText="1"/>
      <protection locked="0"/>
    </xf>
    <xf numFmtId="166" fontId="1" fillId="0" borderId="131" xfId="0" applyNumberFormat="1" applyFont="1" applyFill="1" applyBorder="1" applyAlignment="1" applyProtection="1">
      <alignment horizontal="center" vertical="center"/>
      <protection locked="0"/>
    </xf>
    <xf numFmtId="166"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6" fontId="1" fillId="11" borderId="131" xfId="0" applyNumberFormat="1" applyFont="1" applyFill="1" applyBorder="1" applyAlignment="1" applyProtection="1">
      <alignment horizontal="center" vertical="center"/>
    </xf>
    <xf numFmtId="166" fontId="1" fillId="11" borderId="124" xfId="0" applyNumberFormat="1" applyFont="1" applyFill="1" applyBorder="1" applyAlignment="1" applyProtection="1">
      <alignment horizontal="center" vertical="center"/>
    </xf>
    <xf numFmtId="166" fontId="1" fillId="11" borderId="117" xfId="0" applyNumberFormat="1" applyFont="1" applyFill="1" applyBorder="1" applyAlignment="1" applyProtection="1">
      <alignment horizontal="center" vertical="center"/>
    </xf>
    <xf numFmtId="166" fontId="1" fillId="0" borderId="95" xfId="0" applyNumberFormat="1" applyFont="1" applyFill="1" applyBorder="1" applyAlignment="1" applyProtection="1">
      <alignment horizontal="center" vertical="center"/>
      <protection locked="0"/>
    </xf>
    <xf numFmtId="166" fontId="1" fillId="0" borderId="80" xfId="0" applyNumberFormat="1" applyFont="1" applyFill="1" applyBorder="1" applyAlignment="1" applyProtection="1">
      <alignment horizontal="center" vertical="center"/>
      <protection locked="0"/>
    </xf>
    <xf numFmtId="166" fontId="1" fillId="0" borderId="86" xfId="0" applyNumberFormat="1" applyFont="1" applyFill="1" applyBorder="1" applyAlignment="1" applyProtection="1">
      <alignment horizontal="center" vertical="center"/>
      <protection locked="0"/>
    </xf>
    <xf numFmtId="166" fontId="1" fillId="0" borderId="31" xfId="0" applyNumberFormat="1" applyFont="1" applyFill="1" applyBorder="1" applyAlignment="1" applyProtection="1">
      <alignment horizontal="center" vertical="center"/>
      <protection locked="0"/>
    </xf>
    <xf numFmtId="166" fontId="1" fillId="0" borderId="181" xfId="0" applyNumberFormat="1" applyFont="1" applyFill="1" applyBorder="1" applyAlignment="1" applyProtection="1">
      <alignment horizontal="center" vertical="center"/>
      <protection locked="0"/>
    </xf>
    <xf numFmtId="166"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6" fontId="1" fillId="0" borderId="128" xfId="0" applyNumberFormat="1" applyFont="1" applyFill="1" applyBorder="1" applyAlignment="1" applyProtection="1">
      <alignment horizontal="center" vertical="center"/>
    </xf>
    <xf numFmtId="166" fontId="1" fillId="0" borderId="130" xfId="0" applyNumberFormat="1" applyFont="1" applyFill="1" applyBorder="1" applyAlignment="1" applyProtection="1">
      <alignment horizontal="center" vertical="center"/>
    </xf>
    <xf numFmtId="166" fontId="1" fillId="0" borderId="143" xfId="0" applyNumberFormat="1" applyFont="1" applyFill="1" applyBorder="1" applyAlignment="1" applyProtection="1">
      <alignment horizontal="center" vertical="center"/>
    </xf>
    <xf numFmtId="166"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6" fontId="1" fillId="0" borderId="184" xfId="0" applyNumberFormat="1" applyFont="1" applyFill="1" applyBorder="1" applyAlignment="1" applyProtection="1">
      <alignment horizontal="center" vertical="center"/>
    </xf>
    <xf numFmtId="166"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6"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6"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6" fontId="1" fillId="0" borderId="120" xfId="0" applyNumberFormat="1" applyFont="1" applyBorder="1" applyAlignment="1" applyProtection="1">
      <alignment horizontal="center" vertical="center" wrapText="1"/>
      <protection locked="0"/>
    </xf>
    <xf numFmtId="166"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6" fontId="1" fillId="0" borderId="117" xfId="0" applyNumberFormat="1" applyFont="1" applyBorder="1" applyAlignment="1" applyProtection="1">
      <alignment horizontal="center" vertical="center" wrapText="1"/>
      <protection locked="0"/>
    </xf>
    <xf numFmtId="166"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6"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6"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6"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6"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5"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4" fontId="1" fillId="0" borderId="120"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4" fontId="1" fillId="0" borderId="117"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4"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6" fontId="16" fillId="0" borderId="141" xfId="0" applyNumberFormat="1" applyFont="1" applyFill="1" applyBorder="1" applyAlignment="1" applyProtection="1">
      <alignment horizontal="center" vertical="center"/>
    </xf>
    <xf numFmtId="166" fontId="43" fillId="0" borderId="130" xfId="0" applyNumberFormat="1" applyFont="1" applyFill="1" applyBorder="1" applyAlignment="1" applyProtection="1">
      <alignment horizontal="center" vertical="center"/>
    </xf>
    <xf numFmtId="166" fontId="16" fillId="0" borderId="126" xfId="0" applyNumberFormat="1" applyFont="1" applyFill="1" applyBorder="1" applyAlignment="1" applyProtection="1">
      <alignment horizontal="center" vertical="center"/>
    </xf>
    <xf numFmtId="166"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6" fontId="43" fillId="0" borderId="132" xfId="0" applyNumberFormat="1" applyFont="1" applyFill="1" applyBorder="1" applyAlignment="1" applyProtection="1">
      <alignment horizontal="center" vertical="center"/>
    </xf>
    <xf numFmtId="166" fontId="43" fillId="0" borderId="134" xfId="0" applyNumberFormat="1" applyFont="1" applyFill="1" applyBorder="1" applyAlignment="1" applyProtection="1">
      <alignment horizontal="center" vertical="center"/>
    </xf>
    <xf numFmtId="166" fontId="43" fillId="4" borderId="38" xfId="0" applyNumberFormat="1" applyFont="1" applyFill="1" applyBorder="1" applyAlignment="1" applyProtection="1">
      <alignment horizontal="center" vertical="center"/>
    </xf>
    <xf numFmtId="166" fontId="43" fillId="4" borderId="125" xfId="0" applyNumberFormat="1" applyFont="1" applyFill="1" applyBorder="1" applyAlignment="1" applyProtection="1">
      <alignment horizontal="center" vertical="center"/>
    </xf>
    <xf numFmtId="166" fontId="43" fillId="4" borderId="123" xfId="0" applyNumberFormat="1" applyFont="1" applyFill="1" applyBorder="1" applyAlignment="1" applyProtection="1">
      <alignment horizontal="center" vertical="center"/>
    </xf>
    <xf numFmtId="166"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6" fontId="43" fillId="4" borderId="122" xfId="0" applyNumberFormat="1" applyFont="1" applyFill="1" applyBorder="1" applyAlignment="1" applyProtection="1">
      <alignment horizontal="center" vertical="center"/>
    </xf>
    <xf numFmtId="166" fontId="16" fillId="0" borderId="120" xfId="0" applyNumberFormat="1" applyFont="1" applyFill="1" applyBorder="1" applyAlignment="1" applyProtection="1">
      <alignment horizontal="center" vertical="center"/>
    </xf>
    <xf numFmtId="166" fontId="16" fillId="0" borderId="124" xfId="0" applyNumberFormat="1" applyFont="1" applyFill="1" applyBorder="1" applyAlignment="1" applyProtection="1">
      <alignment horizontal="center" vertical="center"/>
    </xf>
    <xf numFmtId="166" fontId="16" fillId="0" borderId="117" xfId="0" applyNumberFormat="1" applyFont="1" applyFill="1" applyBorder="1" applyAlignment="1" applyProtection="1">
      <alignment horizontal="center" vertical="center"/>
    </xf>
    <xf numFmtId="166" fontId="16" fillId="0" borderId="132" xfId="0" applyNumberFormat="1" applyFont="1" applyFill="1" applyBorder="1" applyAlignment="1" applyProtection="1">
      <alignment horizontal="center" vertical="center"/>
    </xf>
    <xf numFmtId="166" fontId="18" fillId="4" borderId="122" xfId="0" applyNumberFormat="1" applyFont="1" applyFill="1" applyBorder="1" applyAlignment="1" applyProtection="1">
      <alignment horizontal="center" vertical="center" wrapText="1"/>
    </xf>
    <xf numFmtId="166" fontId="1" fillId="12" borderId="120"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xf>
    <xf numFmtId="166" fontId="1" fillId="12" borderId="118" xfId="0" applyNumberFormat="1" applyFont="1" applyFill="1" applyBorder="1" applyAlignment="1" applyProtection="1">
      <alignment horizontal="center" vertical="center" wrapText="1"/>
    </xf>
    <xf numFmtId="166" fontId="1" fillId="4" borderId="122" xfId="0" applyNumberFormat="1" applyFont="1" applyFill="1" applyBorder="1" applyAlignment="1" applyProtection="1">
      <alignment horizontal="center" vertical="center" wrapText="1"/>
    </xf>
    <xf numFmtId="166" fontId="10" fillId="4" borderId="122" xfId="0" applyNumberFormat="1" applyFont="1" applyFill="1" applyBorder="1" applyAlignment="1" applyProtection="1">
      <alignment horizontal="center" vertical="center" wrapText="1"/>
    </xf>
    <xf numFmtId="166" fontId="18" fillId="4" borderId="122" xfId="4" applyNumberFormat="1" applyFont="1" applyFill="1" applyBorder="1" applyAlignment="1" applyProtection="1">
      <alignment horizontal="center" vertical="center"/>
      <protection locked="0"/>
    </xf>
    <xf numFmtId="166" fontId="1" fillId="12" borderId="120" xfId="0" applyNumberFormat="1" applyFont="1" applyFill="1" applyBorder="1" applyAlignment="1" applyProtection="1">
      <alignment horizontal="center" vertical="center" wrapText="1"/>
      <protection locked="0"/>
    </xf>
    <xf numFmtId="166" fontId="1" fillId="12" borderId="117" xfId="0" applyNumberFormat="1" applyFont="1" applyFill="1" applyBorder="1" applyAlignment="1" applyProtection="1">
      <alignment horizontal="center" vertical="center" wrapText="1"/>
      <protection locked="0"/>
    </xf>
    <xf numFmtId="166" fontId="10" fillId="12" borderId="117" xfId="0" applyNumberFormat="1" applyFont="1" applyFill="1" applyBorder="1" applyAlignment="1" applyProtection="1">
      <alignment horizontal="center" vertical="center" wrapText="1"/>
    </xf>
    <xf numFmtId="166" fontId="1" fillId="12" borderId="118" xfId="0" applyNumberFormat="1" applyFont="1" applyFill="1" applyBorder="1" applyAlignment="1" applyProtection="1">
      <alignment horizontal="center" vertical="center" wrapText="1"/>
      <protection locked="0"/>
    </xf>
    <xf numFmtId="166" fontId="10" fillId="4" borderId="117" xfId="0" applyNumberFormat="1" applyFont="1" applyFill="1" applyBorder="1" applyAlignment="1">
      <alignment horizontal="center" vertical="center"/>
    </xf>
    <xf numFmtId="166" fontId="1" fillId="0" borderId="124" xfId="0" applyNumberFormat="1" applyFont="1" applyFill="1" applyBorder="1" applyAlignment="1">
      <alignment horizontal="center" vertical="center"/>
    </xf>
    <xf numFmtId="166" fontId="1" fillId="0" borderId="117" xfId="0" applyNumberFormat="1" applyFont="1" applyFill="1" applyBorder="1" applyAlignment="1">
      <alignment horizontal="center" vertical="center"/>
    </xf>
    <xf numFmtId="166"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6" fontId="8" fillId="0" borderId="44" xfId="0" applyNumberFormat="1" applyFont="1" applyBorder="1" applyAlignment="1" applyProtection="1">
      <alignment vertical="center"/>
      <protection locked="0"/>
    </xf>
    <xf numFmtId="166" fontId="8" fillId="0" borderId="195" xfId="0" applyNumberFormat="1" applyFont="1" applyBorder="1" applyAlignment="1" applyProtection="1">
      <alignment vertical="center"/>
      <protection locked="0"/>
    </xf>
    <xf numFmtId="0" fontId="2" fillId="0" borderId="0" xfId="0" applyFont="1" applyProtection="1">
      <protection locked="0"/>
    </xf>
    <xf numFmtId="164" fontId="39" fillId="2" borderId="41" xfId="0" applyNumberFormat="1" applyFont="1" applyFill="1" applyBorder="1" applyAlignment="1" applyProtection="1">
      <alignment horizontal="center" vertical="center"/>
    </xf>
    <xf numFmtId="164" fontId="39" fillId="6" borderId="41" xfId="0" applyNumberFormat="1" applyFont="1" applyFill="1" applyBorder="1" applyAlignment="1" applyProtection="1">
      <alignment horizontal="center" vertical="center"/>
    </xf>
    <xf numFmtId="166"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88" xfId="0" applyNumberFormat="1" applyFont="1" applyFill="1" applyBorder="1" applyAlignment="1" applyProtection="1">
      <alignment horizontal="center" vertic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3"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6" fontId="43" fillId="4" borderId="121" xfId="0" applyNumberFormat="1" applyFont="1" applyFill="1" applyBorder="1" applyAlignment="1" applyProtection="1">
      <alignment horizontal="center" vertical="center"/>
    </xf>
    <xf numFmtId="166" fontId="16" fillId="0" borderId="12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7"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0" fontId="18" fillId="0" borderId="120" xfId="1" applyNumberFormat="1" applyFont="1" applyFill="1" applyBorder="1" applyAlignment="1" applyProtection="1">
      <alignment horizontal="center" vertical="center" wrapText="1"/>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6"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6"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6"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6"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4"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6" fontId="1" fillId="3" borderId="75" xfId="0" applyNumberFormat="1" applyFont="1" applyFill="1" applyBorder="1" applyAlignment="1" applyProtection="1">
      <alignment horizontal="center" vertical="center"/>
    </xf>
    <xf numFmtId="41" fontId="1" fillId="3" borderId="35" xfId="0" applyNumberFormat="1" applyFont="1" applyFill="1" applyBorder="1" applyAlignment="1" applyProtection="1">
      <alignment horizontal="center" vertical="center"/>
    </xf>
    <xf numFmtId="166" fontId="1" fillId="19" borderId="75" xfId="0" applyNumberFormat="1" applyFont="1" applyFill="1" applyBorder="1" applyAlignment="1" applyProtection="1">
      <alignment horizontal="center" vertical="center"/>
    </xf>
    <xf numFmtId="41" fontId="1" fillId="19" borderId="35" xfId="0" applyNumberFormat="1" applyFont="1" applyFill="1" applyBorder="1" applyAlignment="1" applyProtection="1">
      <alignment horizontal="center" vertical="center"/>
    </xf>
    <xf numFmtId="166" fontId="16" fillId="0" borderId="140" xfId="0" applyNumberFormat="1" applyFont="1" applyFill="1" applyBorder="1" applyAlignment="1" applyProtection="1">
      <alignment horizontal="center" vertical="center"/>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8" fillId="0" borderId="12" xfId="0" applyFont="1" applyBorder="1" applyAlignment="1" applyProtection="1">
      <alignment horizontal="center" vertical="center"/>
    </xf>
    <xf numFmtId="0" fontId="18" fillId="0" borderId="13" xfId="0" applyFont="1" applyBorder="1" applyProtection="1"/>
    <xf numFmtId="0" fontId="18" fillId="0" borderId="7" xfId="0" applyFont="1" applyBorder="1" applyProtection="1"/>
    <xf numFmtId="0" fontId="10" fillId="2" borderId="2" xfId="0" applyFont="1" applyFill="1" applyBorder="1" applyAlignment="1" applyProtection="1">
      <alignment horizontal="center" vertical="center"/>
    </xf>
    <xf numFmtId="0" fontId="18" fillId="0" borderId="39" xfId="0" applyFont="1" applyBorder="1" applyProtection="1"/>
    <xf numFmtId="0" fontId="8" fillId="0" borderId="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10" fillId="0" borderId="0" xfId="0" applyFont="1" applyAlignment="1" applyProtection="1">
      <alignment horizontal="center"/>
    </xf>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2" borderId="8" xfId="0" applyFont="1" applyFill="1" applyBorder="1" applyAlignment="1" applyProtection="1">
      <alignment horizontal="left" vertical="center"/>
    </xf>
    <xf numFmtId="0" fontId="18" fillId="0" borderId="10" xfId="0" applyFont="1" applyBorder="1" applyProtection="1"/>
    <xf numFmtId="0" fontId="10" fillId="2" borderId="8" xfId="0" applyFont="1" applyFill="1" applyBorder="1" applyAlignment="1" applyProtection="1">
      <alignment horizontal="center" vertical="center"/>
    </xf>
    <xf numFmtId="0" fontId="10" fillId="2" borderId="8"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0" fontId="18" fillId="0" borderId="9" xfId="0" applyFont="1" applyBorder="1" applyProtection="1"/>
    <xf numFmtId="166"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22" fillId="0" borderId="0" xfId="0" applyFont="1" applyAlignment="1" applyProtection="1">
      <alignment horizontal="right" vertical="center"/>
    </xf>
    <xf numFmtId="0" fontId="8" fillId="0" borderId="4" xfId="0" applyFont="1" applyBorder="1" applyAlignment="1" applyProtection="1">
      <alignment horizontal="center" vertical="center" wrapText="1"/>
      <protection locked="0"/>
    </xf>
    <xf numFmtId="0" fontId="18" fillId="0" borderId="7" xfId="0" applyFont="1" applyBorder="1" applyProtection="1">
      <protection locked="0"/>
    </xf>
    <xf numFmtId="166" fontId="39" fillId="0" borderId="0" xfId="0" applyNumberFormat="1" applyFont="1" applyAlignment="1" applyProtection="1">
      <alignment horizontal="center" vertical="center"/>
    </xf>
    <xf numFmtId="166" fontId="1" fillId="0" borderId="0" xfId="0" applyNumberFormat="1" applyFont="1" applyAlignment="1" applyProtection="1">
      <alignment horizontal="center"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29" fillId="0" borderId="0" xfId="0" applyFont="1" applyAlignment="1" applyProtection="1">
      <alignment wrapText="1"/>
      <protection locked="0"/>
    </xf>
    <xf numFmtId="0" fontId="0" fillId="0" borderId="0" xfId="0" applyFont="1" applyAlignment="1" applyProtection="1">
      <protection locked="0"/>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xf>
    <xf numFmtId="0" fontId="0" fillId="0" borderId="0" xfId="0" applyFont="1" applyAlignment="1" applyProtection="1"/>
    <xf numFmtId="0" fontId="18" fillId="0" borderId="1"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14" fontId="16" fillId="0" borderId="91" xfId="0" applyNumberFormat="1" applyFont="1" applyBorder="1" applyAlignment="1" applyProtection="1">
      <alignment horizontal="center"/>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left" vertical="center"/>
    </xf>
    <xf numFmtId="0" fontId="44" fillId="0" borderId="176" xfId="0" applyFont="1" applyBorder="1" applyProtection="1"/>
    <xf numFmtId="0" fontId="16" fillId="0" borderId="33" xfId="0" applyFont="1" applyBorder="1" applyAlignment="1" applyProtection="1">
      <alignment horizontal="center" vertical="center" wrapText="1"/>
    </xf>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16" fillId="0" borderId="34" xfId="0" applyFont="1" applyBorder="1" applyAlignment="1" applyProtection="1">
      <alignment horizontal="center" vertical="center"/>
    </xf>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0" borderId="0" xfId="0" applyFont="1" applyAlignment="1" applyProtection="1">
      <alignment vertical="center"/>
    </xf>
    <xf numFmtId="0" fontId="18" fillId="4" borderId="117" xfId="0" applyFont="1" applyFill="1" applyBorder="1" applyProtection="1"/>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29" xfId="0" applyFont="1" applyFill="1" applyBorder="1" applyAlignment="1" applyProtection="1">
      <alignment horizontal="center" vertical="center" wrapText="1"/>
    </xf>
    <xf numFmtId="0" fontId="10" fillId="0" borderId="0" xfId="0" applyFont="1" applyAlignment="1" applyProtection="1"/>
    <xf numFmtId="0" fontId="18" fillId="4" borderId="130" xfId="0" applyFont="1" applyFill="1" applyBorder="1" applyAlignment="1" applyProtection="1">
      <alignment horizontal="center" vertical="center" wrapText="1"/>
    </xf>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166" fontId="16" fillId="4" borderId="90" xfId="0" applyNumberFormat="1" applyFont="1" applyFill="1" applyBorder="1" applyAlignment="1" applyProtection="1">
      <alignment horizontal="center" vertical="center"/>
    </xf>
    <xf numFmtId="166" fontId="16" fillId="4" borderId="154" xfId="0" applyNumberFormat="1" applyFont="1" applyFill="1" applyBorder="1" applyAlignment="1" applyProtection="1">
      <alignment horizontal="center" vertical="center"/>
    </xf>
    <xf numFmtId="166" fontId="16" fillId="4" borderId="0" xfId="0" applyNumberFormat="1" applyFont="1" applyFill="1" applyBorder="1" applyAlignment="1" applyProtection="1">
      <alignment horizontal="center" vertical="center"/>
    </xf>
    <xf numFmtId="166"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7" xfId="0" applyFont="1" applyFill="1" applyBorder="1" applyAlignment="1" applyProtection="1">
      <alignment horizontal="left"/>
    </xf>
    <xf numFmtId="0" fontId="49" fillId="4" borderId="36" xfId="0"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166" fontId="10" fillId="12" borderId="120" xfId="0" applyNumberFormat="1" applyFont="1" applyFill="1" applyBorder="1" applyAlignment="1" applyProtection="1">
      <alignment horizontal="center" vertical="center" wrapText="1"/>
    </xf>
    <xf numFmtId="166" fontId="10" fillId="12" borderId="117" xfId="0" applyNumberFormat="1" applyFont="1" applyFill="1" applyBorder="1" applyAlignment="1" applyProtection="1">
      <alignment horizontal="center" vertical="center" wrapText="1"/>
    </xf>
    <xf numFmtId="166" fontId="10" fillId="12" borderId="118" xfId="0" applyNumberFormat="1" applyFont="1" applyFill="1" applyBorder="1" applyAlignment="1" applyProtection="1">
      <alignment horizontal="center" vertical="center" wrapText="1"/>
    </xf>
    <xf numFmtId="166" fontId="10" fillId="12" borderId="136" xfId="0" applyNumberFormat="1" applyFont="1" applyFill="1" applyBorder="1" applyAlignment="1" applyProtection="1">
      <alignment horizontal="center" vertical="center" wrapText="1"/>
    </xf>
    <xf numFmtId="166" fontId="10" fillId="12" borderId="132" xfId="0" applyNumberFormat="1" applyFont="1" applyFill="1" applyBorder="1" applyAlignment="1" applyProtection="1">
      <alignment horizontal="center" vertical="center" wrapText="1"/>
    </xf>
    <xf numFmtId="166"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0" fontId="10" fillId="4" borderId="117" xfId="0" applyFont="1" applyFill="1" applyBorder="1" applyAlignment="1" applyProtection="1">
      <alignment horizontal="center" vertical="center"/>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F27" sqref="F27"/>
    </sheetView>
  </sheetViews>
  <sheetFormatPr defaultRowHeight="12.75"/>
  <cols>
    <col min="1" max="1" width="3.5703125" style="1" customWidth="1"/>
    <col min="2" max="2" width="62.28515625" style="1" customWidth="1"/>
    <col min="3" max="16384" width="9.140625" style="1"/>
  </cols>
  <sheetData>
    <row r="1" spans="1:8" ht="50.25" customHeight="1" thickBot="1">
      <c r="A1" s="979" t="s">
        <v>0</v>
      </c>
      <c r="B1" s="979"/>
      <c r="C1" s="979"/>
      <c r="D1" s="979"/>
      <c r="E1" s="979"/>
      <c r="F1" s="979"/>
      <c r="G1" s="979"/>
      <c r="H1" s="979"/>
    </row>
    <row r="2" spans="1:8" ht="47.25" customHeight="1" thickBot="1">
      <c r="A2" s="980" t="s">
        <v>1</v>
      </c>
      <c r="B2" s="981"/>
      <c r="C2" s="981"/>
      <c r="D2" s="981"/>
      <c r="E2" s="981"/>
      <c r="F2" s="981"/>
      <c r="G2" s="981"/>
      <c r="H2" s="982"/>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823</v>
      </c>
      <c r="C7" s="6"/>
      <c r="D7" s="6"/>
      <c r="E7" s="6"/>
      <c r="F7" s="6"/>
      <c r="G7" s="6"/>
      <c r="H7" s="6"/>
    </row>
    <row r="8" spans="1:8">
      <c r="A8" s="1">
        <v>4</v>
      </c>
      <c r="B8" s="6" t="s">
        <v>791</v>
      </c>
      <c r="C8" s="6"/>
      <c r="D8" s="6"/>
      <c r="E8" s="6"/>
      <c r="F8" s="6"/>
      <c r="G8" s="6"/>
      <c r="H8" s="6"/>
    </row>
    <row r="9" spans="1:8">
      <c r="A9" s="1">
        <v>5</v>
      </c>
      <c r="B9" s="54" t="s">
        <v>846</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824</v>
      </c>
      <c r="C12" s="6"/>
      <c r="D12" s="6"/>
      <c r="E12" s="6"/>
      <c r="F12" s="6"/>
      <c r="G12" s="6"/>
      <c r="H12" s="6"/>
    </row>
    <row r="13" spans="1:8">
      <c r="A13" s="1">
        <v>9</v>
      </c>
      <c r="B13" s="1" t="s">
        <v>825</v>
      </c>
      <c r="C13" s="6"/>
      <c r="D13" s="6"/>
      <c r="E13" s="6"/>
      <c r="F13" s="6"/>
      <c r="G13" s="6"/>
      <c r="H13" s="6"/>
    </row>
    <row r="14" spans="1:8">
      <c r="A14" s="1">
        <v>10</v>
      </c>
      <c r="B14" s="1" t="s">
        <v>848</v>
      </c>
      <c r="C14" s="6"/>
      <c r="D14" s="6"/>
      <c r="E14" s="6"/>
      <c r="F14" s="6"/>
      <c r="G14" s="6"/>
      <c r="H14" s="6"/>
    </row>
    <row r="15" spans="1:8" ht="15">
      <c r="A15" s="1">
        <v>11</v>
      </c>
      <c r="B15" s="902" t="s">
        <v>822</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83" customFormat="1">
      <c r="A29" s="983">
        <v>11</v>
      </c>
    </row>
    <row r="30" spans="1:8">
      <c r="B30" s="57"/>
    </row>
    <row r="31" spans="1:8">
      <c r="B31" s="55"/>
    </row>
    <row r="33" spans="2:2">
      <c r="B33" s="56"/>
    </row>
  </sheetData>
  <sheetProtection algorithmName="SHA-512" hashValue="rmMwGnCUCrTOp+udb0Yj6p8uuu0CULf1t2KvdU9lQKRPxsHUTU+F2O4ZBY1On8YAYxTfUOra4NVuEN5hV3gH9g==" saltValue="s2hfnOu3Gv1kMN3FSEY2vw==" spinCount="100000" sheet="1" objects="1" scenarios="1"/>
  <mergeCells count="3">
    <mergeCell ref="A1:H1"/>
    <mergeCell ref="A2:H2"/>
    <mergeCell ref="A29:XFD29"/>
  </mergeCells>
  <hyperlinks>
    <hyperlink ref="B15"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C1" workbookViewId="0">
      <selection activeCell="L53" sqref="L53"/>
    </sheetView>
  </sheetViews>
  <sheetFormatPr defaultRowHeight="12.75"/>
  <cols>
    <col min="1" max="1" width="3.28515625" style="539" bestFit="1" customWidth="1"/>
    <col min="2" max="4" width="16.5703125" style="539" customWidth="1"/>
    <col min="5" max="5" width="13.42578125" style="539" bestFit="1" customWidth="1"/>
    <col min="6" max="6" width="14.85546875" style="539" bestFit="1" customWidth="1"/>
    <col min="7" max="7" width="15.28515625" style="539" bestFit="1" customWidth="1"/>
    <col min="8" max="13" width="16.5703125" style="539" customWidth="1"/>
    <col min="14" max="16384" width="9.140625" style="532"/>
  </cols>
  <sheetData>
    <row r="1" spans="1:12">
      <c r="A1" s="310"/>
      <c r="B1" s="310"/>
      <c r="C1" s="310"/>
      <c r="D1" s="310"/>
      <c r="E1" s="310"/>
      <c r="F1" s="257"/>
      <c r="G1" s="15"/>
      <c r="H1" s="15"/>
      <c r="I1" s="1029" t="s">
        <v>749</v>
      </c>
      <c r="J1" s="1029"/>
      <c r="K1" s="1029"/>
      <c r="L1" s="1029"/>
    </row>
    <row r="2" spans="1:12">
      <c r="A2" s="310"/>
      <c r="B2" s="310"/>
      <c r="C2" s="310"/>
      <c r="D2" s="310"/>
      <c r="E2" s="310"/>
      <c r="F2" s="257"/>
      <c r="G2" s="15"/>
      <c r="H2" s="15"/>
      <c r="I2" s="1029" t="s">
        <v>753</v>
      </c>
      <c r="J2" s="1029"/>
      <c r="K2" s="1029"/>
      <c r="L2" s="1029"/>
    </row>
    <row r="3" spans="1:12">
      <c r="A3" s="310"/>
      <c r="B3" s="310"/>
      <c r="C3" s="310"/>
      <c r="D3" s="310"/>
      <c r="E3" s="310"/>
      <c r="F3" s="310"/>
      <c r="G3" s="310"/>
      <c r="H3" s="310"/>
      <c r="I3" s="310"/>
      <c r="J3" s="310"/>
      <c r="K3" s="310"/>
      <c r="L3" s="310"/>
    </row>
    <row r="4" spans="1:12">
      <c r="A4" s="997" t="s">
        <v>573</v>
      </c>
      <c r="B4" s="1155"/>
      <c r="C4" s="1155"/>
      <c r="D4" s="1155"/>
      <c r="E4" s="1155"/>
      <c r="F4" s="1155"/>
      <c r="G4" s="1155"/>
      <c r="H4" s="1155"/>
      <c r="I4" s="1155"/>
      <c r="J4" s="1155"/>
      <c r="K4" s="1155"/>
      <c r="L4" s="1155"/>
    </row>
    <row r="5" spans="1:12">
      <c r="A5" s="1037" t="str">
        <f>+STATISTICS!A4</f>
        <v>ХАДГАЛАМЖ, ЗЭЭЛИЙН ХОРШООНЫ НЭР</v>
      </c>
      <c r="B5" s="1155"/>
      <c r="C5" s="1155"/>
      <c r="D5" s="1155"/>
      <c r="E5" s="1155"/>
      <c r="F5" s="1155"/>
      <c r="G5" s="1155"/>
      <c r="H5" s="1155"/>
      <c r="I5" s="1155"/>
      <c r="J5" s="1155"/>
      <c r="K5" s="1155"/>
      <c r="L5" s="1155"/>
    </row>
    <row r="6" spans="1:12">
      <c r="A6" s="997" t="s">
        <v>4</v>
      </c>
      <c r="B6" s="1155"/>
      <c r="C6" s="1155"/>
      <c r="D6" s="1155"/>
      <c r="E6" s="1155"/>
      <c r="F6" s="1155"/>
      <c r="G6" s="1155"/>
      <c r="H6" s="1155"/>
      <c r="I6" s="1155"/>
      <c r="J6" s="1155"/>
      <c r="K6" s="1155"/>
      <c r="L6" s="1155"/>
    </row>
    <row r="7" spans="1:12">
      <c r="A7" s="310"/>
      <c r="B7" s="310"/>
      <c r="C7" s="310"/>
      <c r="D7" s="310"/>
      <c r="E7" s="310"/>
      <c r="F7" s="310"/>
      <c r="G7" s="310"/>
      <c r="H7" s="310"/>
      <c r="I7" s="310"/>
      <c r="J7" s="310"/>
      <c r="K7" s="310"/>
      <c r="L7" s="310"/>
    </row>
    <row r="8" spans="1:12">
      <c r="A8" s="310"/>
      <c r="B8" s="310"/>
      <c r="C8" s="310"/>
      <c r="D8" s="310"/>
      <c r="E8" s="310"/>
      <c r="F8" s="310"/>
      <c r="G8" s="310"/>
      <c r="H8" s="310"/>
      <c r="I8" s="310"/>
      <c r="J8" s="310"/>
      <c r="K8" s="310"/>
      <c r="L8" s="310"/>
    </row>
    <row r="9" spans="1:12" ht="13.5" thickBot="1">
      <c r="A9" s="1172" t="str">
        <f>+STATISTICS!A7</f>
        <v>Огноо</v>
      </c>
      <c r="B9" s="1173"/>
      <c r="C9" s="551"/>
      <c r="D9" s="551"/>
      <c r="E9" s="551"/>
      <c r="F9" s="551"/>
      <c r="G9" s="310"/>
      <c r="H9" s="310"/>
      <c r="I9" s="310"/>
      <c r="J9" s="310"/>
      <c r="K9" s="310"/>
      <c r="L9" s="390" t="s">
        <v>5</v>
      </c>
    </row>
    <row r="10" spans="1:12">
      <c r="A10" s="1153" t="s">
        <v>237</v>
      </c>
      <c r="B10" s="1151" t="s">
        <v>554</v>
      </c>
      <c r="C10" s="1151" t="s">
        <v>555</v>
      </c>
      <c r="D10" s="1151" t="s">
        <v>556</v>
      </c>
      <c r="E10" s="1151" t="s">
        <v>557</v>
      </c>
      <c r="F10" s="1151" t="s">
        <v>558</v>
      </c>
      <c r="G10" s="1151" t="s">
        <v>559</v>
      </c>
      <c r="H10" s="1151" t="s">
        <v>560</v>
      </c>
      <c r="I10" s="1151" t="s">
        <v>561</v>
      </c>
      <c r="J10" s="1151" t="s">
        <v>562</v>
      </c>
      <c r="K10" s="1151" t="s">
        <v>563</v>
      </c>
      <c r="L10" s="1174" t="s">
        <v>564</v>
      </c>
    </row>
    <row r="11" spans="1:12">
      <c r="A11" s="1176"/>
      <c r="B11" s="1167"/>
      <c r="C11" s="1167"/>
      <c r="D11" s="1167"/>
      <c r="E11" s="1167"/>
      <c r="F11" s="1167"/>
      <c r="G11" s="1167"/>
      <c r="H11" s="1167"/>
      <c r="I11" s="1167"/>
      <c r="J11" s="1167"/>
      <c r="K11" s="1167"/>
      <c r="L11" s="1175"/>
    </row>
    <row r="12" spans="1:12" ht="40.5" customHeight="1" thickBot="1">
      <c r="A12" s="1154"/>
      <c r="B12" s="1152"/>
      <c r="C12" s="1152"/>
      <c r="D12" s="1152"/>
      <c r="E12" s="1152"/>
      <c r="F12" s="1152"/>
      <c r="G12" s="1152"/>
      <c r="H12" s="1152"/>
      <c r="I12" s="1152"/>
      <c r="J12" s="1152"/>
      <c r="K12" s="1152"/>
      <c r="L12" s="1162"/>
    </row>
    <row r="13" spans="1:12">
      <c r="A13" s="552">
        <v>1</v>
      </c>
      <c r="B13" s="548"/>
      <c r="C13" s="758"/>
      <c r="D13" s="759"/>
      <c r="E13" s="760"/>
      <c r="F13" s="760"/>
      <c r="G13" s="760"/>
      <c r="H13" s="761"/>
      <c r="I13" s="758"/>
      <c r="J13" s="758"/>
      <c r="K13" s="759"/>
      <c r="L13" s="553" t="e">
        <f>+J13/BALANCESHEET!G35</f>
        <v>#DIV/0!</v>
      </c>
    </row>
    <row r="14" spans="1:12">
      <c r="A14" s="554">
        <v>2</v>
      </c>
      <c r="B14" s="549"/>
      <c r="C14" s="762"/>
      <c r="D14" s="763"/>
      <c r="E14" s="764"/>
      <c r="F14" s="764"/>
      <c r="G14" s="764"/>
      <c r="H14" s="765"/>
      <c r="I14" s="762"/>
      <c r="J14" s="762"/>
      <c r="K14" s="763"/>
      <c r="L14" s="555" t="e">
        <f>+J14/BALANCESHEET!G35</f>
        <v>#DIV/0!</v>
      </c>
    </row>
    <row r="15" spans="1:12">
      <c r="A15" s="554">
        <v>3</v>
      </c>
      <c r="B15" s="549"/>
      <c r="C15" s="762"/>
      <c r="D15" s="763"/>
      <c r="E15" s="764"/>
      <c r="F15" s="764"/>
      <c r="G15" s="764"/>
      <c r="H15" s="765"/>
      <c r="I15" s="762"/>
      <c r="J15" s="762"/>
      <c r="K15" s="763"/>
      <c r="L15" s="555" t="e">
        <f>+J15/BALANCESHEET!G35</f>
        <v>#DIV/0!</v>
      </c>
    </row>
    <row r="16" spans="1:12">
      <c r="A16" s="554">
        <v>4</v>
      </c>
      <c r="B16" s="549"/>
      <c r="C16" s="762"/>
      <c r="D16" s="763"/>
      <c r="E16" s="764"/>
      <c r="F16" s="764"/>
      <c r="G16" s="764"/>
      <c r="H16" s="765"/>
      <c r="I16" s="762"/>
      <c r="J16" s="762"/>
      <c r="K16" s="763"/>
      <c r="L16" s="555" t="e">
        <f>+J16/BALANCESHEET!G35</f>
        <v>#DIV/0!</v>
      </c>
    </row>
    <row r="17" spans="1:12">
      <c r="A17" s="554">
        <v>5</v>
      </c>
      <c r="B17" s="549"/>
      <c r="C17" s="762"/>
      <c r="D17" s="763"/>
      <c r="E17" s="764"/>
      <c r="F17" s="764"/>
      <c r="G17" s="764"/>
      <c r="H17" s="765"/>
      <c r="I17" s="762"/>
      <c r="J17" s="762"/>
      <c r="K17" s="763"/>
      <c r="L17" s="555" t="e">
        <f>+J17/BALANCESHEET!G35</f>
        <v>#DIV/0!</v>
      </c>
    </row>
    <row r="18" spans="1:12">
      <c r="A18" s="554">
        <v>6</v>
      </c>
      <c r="B18" s="549"/>
      <c r="C18" s="762"/>
      <c r="D18" s="763"/>
      <c r="E18" s="764"/>
      <c r="F18" s="764"/>
      <c r="G18" s="764"/>
      <c r="H18" s="765"/>
      <c r="I18" s="762"/>
      <c r="J18" s="762"/>
      <c r="K18" s="763"/>
      <c r="L18" s="555" t="e">
        <f>+J18/BALANCESHEET!G35</f>
        <v>#DIV/0!</v>
      </c>
    </row>
    <row r="19" spans="1:12">
      <c r="A19" s="554">
        <v>7</v>
      </c>
      <c r="B19" s="549"/>
      <c r="C19" s="762"/>
      <c r="D19" s="763"/>
      <c r="E19" s="764"/>
      <c r="F19" s="764"/>
      <c r="G19" s="764"/>
      <c r="H19" s="765"/>
      <c r="I19" s="762"/>
      <c r="J19" s="762"/>
      <c r="K19" s="763"/>
      <c r="L19" s="555" t="e">
        <f>+J19/BALANCESHEET!G35</f>
        <v>#DIV/0!</v>
      </c>
    </row>
    <row r="20" spans="1:12">
      <c r="A20" s="554">
        <v>8</v>
      </c>
      <c r="B20" s="549"/>
      <c r="C20" s="762"/>
      <c r="D20" s="763"/>
      <c r="E20" s="764"/>
      <c r="F20" s="764"/>
      <c r="G20" s="764"/>
      <c r="H20" s="765"/>
      <c r="I20" s="762"/>
      <c r="J20" s="762"/>
      <c r="K20" s="763"/>
      <c r="L20" s="555" t="e">
        <f>+J20/BALANCESHEET!G35</f>
        <v>#DIV/0!</v>
      </c>
    </row>
    <row r="21" spans="1:12">
      <c r="A21" s="554">
        <v>9</v>
      </c>
      <c r="B21" s="549"/>
      <c r="C21" s="762"/>
      <c r="D21" s="763"/>
      <c r="E21" s="764"/>
      <c r="F21" s="764"/>
      <c r="G21" s="764"/>
      <c r="H21" s="765"/>
      <c r="I21" s="762"/>
      <c r="J21" s="762"/>
      <c r="K21" s="763"/>
      <c r="L21" s="555" t="e">
        <f>+J21/BALANCESHEET!G35</f>
        <v>#DIV/0!</v>
      </c>
    </row>
    <row r="22" spans="1:12">
      <c r="A22" s="554">
        <v>10</v>
      </c>
      <c r="B22" s="549"/>
      <c r="C22" s="762"/>
      <c r="D22" s="763"/>
      <c r="E22" s="764"/>
      <c r="F22" s="764"/>
      <c r="G22" s="764"/>
      <c r="H22" s="765"/>
      <c r="I22" s="762"/>
      <c r="J22" s="762"/>
      <c r="K22" s="763"/>
      <c r="L22" s="555" t="e">
        <f>+J22/BALANCESHEET!G35</f>
        <v>#DIV/0!</v>
      </c>
    </row>
    <row r="23" spans="1:12">
      <c r="A23" s="554">
        <v>11</v>
      </c>
      <c r="B23" s="549"/>
      <c r="C23" s="762"/>
      <c r="D23" s="763"/>
      <c r="E23" s="764"/>
      <c r="F23" s="764"/>
      <c r="G23" s="764"/>
      <c r="H23" s="765"/>
      <c r="I23" s="762"/>
      <c r="J23" s="762"/>
      <c r="K23" s="763"/>
      <c r="L23" s="555" t="e">
        <f>+J23/BALANCESHEET!G35</f>
        <v>#DIV/0!</v>
      </c>
    </row>
    <row r="24" spans="1:12">
      <c r="A24" s="554">
        <v>12</v>
      </c>
      <c r="B24" s="549"/>
      <c r="C24" s="762"/>
      <c r="D24" s="763"/>
      <c r="E24" s="764"/>
      <c r="F24" s="764"/>
      <c r="G24" s="764"/>
      <c r="H24" s="765"/>
      <c r="I24" s="762"/>
      <c r="J24" s="762"/>
      <c r="K24" s="763"/>
      <c r="L24" s="555" t="e">
        <f>+J24/BALANCESHEET!G35</f>
        <v>#DIV/0!</v>
      </c>
    </row>
    <row r="25" spans="1:12">
      <c r="A25" s="554">
        <v>13</v>
      </c>
      <c r="B25" s="549"/>
      <c r="C25" s="762"/>
      <c r="D25" s="763"/>
      <c r="E25" s="764"/>
      <c r="F25" s="764"/>
      <c r="G25" s="764"/>
      <c r="H25" s="765"/>
      <c r="I25" s="762"/>
      <c r="J25" s="762"/>
      <c r="K25" s="763"/>
      <c r="L25" s="555" t="e">
        <f>+J25/BALANCESHEET!G35</f>
        <v>#DIV/0!</v>
      </c>
    </row>
    <row r="26" spans="1:12">
      <c r="A26" s="554">
        <v>14</v>
      </c>
      <c r="B26" s="549"/>
      <c r="C26" s="762"/>
      <c r="D26" s="763"/>
      <c r="E26" s="764"/>
      <c r="F26" s="764"/>
      <c r="G26" s="764"/>
      <c r="H26" s="765"/>
      <c r="I26" s="762"/>
      <c r="J26" s="762"/>
      <c r="K26" s="763"/>
      <c r="L26" s="555" t="e">
        <f>+J26/BALANCESHEET!G35</f>
        <v>#DIV/0!</v>
      </c>
    </row>
    <row r="27" spans="1:12">
      <c r="A27" s="554">
        <v>15</v>
      </c>
      <c r="B27" s="549"/>
      <c r="C27" s="762"/>
      <c r="D27" s="763"/>
      <c r="E27" s="764"/>
      <c r="F27" s="764"/>
      <c r="G27" s="764"/>
      <c r="H27" s="765"/>
      <c r="I27" s="762"/>
      <c r="J27" s="762"/>
      <c r="K27" s="763"/>
      <c r="L27" s="555" t="e">
        <f>+J27/BALANCESHEET!G35</f>
        <v>#DIV/0!</v>
      </c>
    </row>
    <row r="28" spans="1:12">
      <c r="A28" s="554">
        <v>16</v>
      </c>
      <c r="B28" s="549"/>
      <c r="C28" s="762"/>
      <c r="D28" s="763"/>
      <c r="E28" s="764"/>
      <c r="F28" s="764"/>
      <c r="G28" s="764"/>
      <c r="H28" s="765"/>
      <c r="I28" s="762"/>
      <c r="J28" s="762"/>
      <c r="K28" s="763"/>
      <c r="L28" s="555" t="e">
        <f>+J28/BALANCESHEET!G35</f>
        <v>#DIV/0!</v>
      </c>
    </row>
    <row r="29" spans="1:12">
      <c r="A29" s="554">
        <v>17</v>
      </c>
      <c r="B29" s="549"/>
      <c r="C29" s="762"/>
      <c r="D29" s="763"/>
      <c r="E29" s="764"/>
      <c r="F29" s="764"/>
      <c r="G29" s="764"/>
      <c r="H29" s="765"/>
      <c r="I29" s="762"/>
      <c r="J29" s="762"/>
      <c r="K29" s="763"/>
      <c r="L29" s="555" t="e">
        <f>+J29/BALANCESHEET!G35</f>
        <v>#DIV/0!</v>
      </c>
    </row>
    <row r="30" spans="1:12">
      <c r="A30" s="554">
        <v>18</v>
      </c>
      <c r="B30" s="549"/>
      <c r="C30" s="762"/>
      <c r="D30" s="763"/>
      <c r="E30" s="764"/>
      <c r="F30" s="764"/>
      <c r="G30" s="764"/>
      <c r="H30" s="765"/>
      <c r="I30" s="762"/>
      <c r="J30" s="762"/>
      <c r="K30" s="763"/>
      <c r="L30" s="555" t="e">
        <f>+J30/BALANCESHEET!G35</f>
        <v>#DIV/0!</v>
      </c>
    </row>
    <row r="31" spans="1:12">
      <c r="A31" s="554">
        <v>19</v>
      </c>
      <c r="B31" s="549"/>
      <c r="C31" s="762"/>
      <c r="D31" s="763"/>
      <c r="E31" s="764"/>
      <c r="F31" s="764"/>
      <c r="G31" s="764"/>
      <c r="H31" s="765"/>
      <c r="I31" s="762"/>
      <c r="J31" s="762"/>
      <c r="K31" s="763"/>
      <c r="L31" s="555" t="e">
        <f>+J31/BALANCESHEET!G35</f>
        <v>#DIV/0!</v>
      </c>
    </row>
    <row r="32" spans="1:12">
      <c r="A32" s="556">
        <v>20</v>
      </c>
      <c r="B32" s="549"/>
      <c r="C32" s="762"/>
      <c r="D32" s="763"/>
      <c r="E32" s="764"/>
      <c r="F32" s="764"/>
      <c r="G32" s="764"/>
      <c r="H32" s="765"/>
      <c r="I32" s="762"/>
      <c r="J32" s="762"/>
      <c r="K32" s="763"/>
      <c r="L32" s="555" t="e">
        <f>+J32/BALANCESHEET!G35</f>
        <v>#DIV/0!</v>
      </c>
    </row>
    <row r="33" spans="1:12">
      <c r="A33" s="554">
        <v>21</v>
      </c>
      <c r="B33" s="549"/>
      <c r="C33" s="762"/>
      <c r="D33" s="763"/>
      <c r="E33" s="764"/>
      <c r="F33" s="764"/>
      <c r="G33" s="764"/>
      <c r="H33" s="765"/>
      <c r="I33" s="762"/>
      <c r="J33" s="762"/>
      <c r="K33" s="759"/>
      <c r="L33" s="553" t="e">
        <f>+J33/BALANCESHEET!G35</f>
        <v>#DIV/0!</v>
      </c>
    </row>
    <row r="34" spans="1:12">
      <c r="A34" s="556">
        <v>22</v>
      </c>
      <c r="B34" s="549"/>
      <c r="C34" s="762"/>
      <c r="D34" s="763"/>
      <c r="E34" s="764"/>
      <c r="F34" s="764"/>
      <c r="G34" s="764"/>
      <c r="H34" s="765"/>
      <c r="I34" s="762"/>
      <c r="J34" s="762"/>
      <c r="K34" s="763"/>
      <c r="L34" s="555" t="e">
        <f>+J34/BALANCESHEET!G35</f>
        <v>#DIV/0!</v>
      </c>
    </row>
    <row r="35" spans="1:12">
      <c r="A35" s="554">
        <v>23</v>
      </c>
      <c r="B35" s="549"/>
      <c r="C35" s="762"/>
      <c r="D35" s="763"/>
      <c r="E35" s="764"/>
      <c r="F35" s="764"/>
      <c r="G35" s="764"/>
      <c r="H35" s="765"/>
      <c r="I35" s="762"/>
      <c r="J35" s="762"/>
      <c r="K35" s="763"/>
      <c r="L35" s="555" t="e">
        <f>+J35/BALANCESHEET!G35</f>
        <v>#DIV/0!</v>
      </c>
    </row>
    <row r="36" spans="1:12">
      <c r="A36" s="556">
        <v>24</v>
      </c>
      <c r="B36" s="549"/>
      <c r="C36" s="762"/>
      <c r="D36" s="763"/>
      <c r="E36" s="764"/>
      <c r="F36" s="764"/>
      <c r="G36" s="764"/>
      <c r="H36" s="765"/>
      <c r="I36" s="762"/>
      <c r="J36" s="762"/>
      <c r="K36" s="763"/>
      <c r="L36" s="555" t="e">
        <f>+J36/BALANCESHEET!G35</f>
        <v>#DIV/0!</v>
      </c>
    </row>
    <row r="37" spans="1:12">
      <c r="A37" s="554">
        <v>25</v>
      </c>
      <c r="B37" s="549"/>
      <c r="C37" s="762"/>
      <c r="D37" s="763"/>
      <c r="E37" s="764"/>
      <c r="F37" s="764"/>
      <c r="G37" s="764"/>
      <c r="H37" s="765"/>
      <c r="I37" s="762"/>
      <c r="J37" s="762"/>
      <c r="K37" s="763"/>
      <c r="L37" s="555" t="e">
        <f>+J37/BALANCESHEET!G35</f>
        <v>#DIV/0!</v>
      </c>
    </row>
    <row r="38" spans="1:12">
      <c r="A38" s="556">
        <v>26</v>
      </c>
      <c r="B38" s="549"/>
      <c r="C38" s="762"/>
      <c r="D38" s="763"/>
      <c r="E38" s="764"/>
      <c r="F38" s="764"/>
      <c r="G38" s="764"/>
      <c r="H38" s="765"/>
      <c r="I38" s="762"/>
      <c r="J38" s="762"/>
      <c r="K38" s="763"/>
      <c r="L38" s="555" t="e">
        <f>+J38/BALANCESHEET!G35</f>
        <v>#DIV/0!</v>
      </c>
    </row>
    <row r="39" spans="1:12">
      <c r="A39" s="554">
        <v>27</v>
      </c>
      <c r="B39" s="549"/>
      <c r="C39" s="762"/>
      <c r="D39" s="763"/>
      <c r="E39" s="764"/>
      <c r="F39" s="764"/>
      <c r="G39" s="764"/>
      <c r="H39" s="765"/>
      <c r="I39" s="762"/>
      <c r="J39" s="762"/>
      <c r="K39" s="763"/>
      <c r="L39" s="555" t="e">
        <f>+J39/BALANCESHEET!G35</f>
        <v>#DIV/0!</v>
      </c>
    </row>
    <row r="40" spans="1:12">
      <c r="A40" s="556">
        <v>28</v>
      </c>
      <c r="B40" s="549"/>
      <c r="C40" s="762"/>
      <c r="D40" s="763"/>
      <c r="E40" s="764"/>
      <c r="F40" s="764"/>
      <c r="G40" s="764"/>
      <c r="H40" s="765"/>
      <c r="I40" s="762"/>
      <c r="J40" s="762"/>
      <c r="K40" s="763"/>
      <c r="L40" s="555" t="e">
        <f>+J40/BALANCESHEET!G35</f>
        <v>#DIV/0!</v>
      </c>
    </row>
    <row r="41" spans="1:12">
      <c r="A41" s="554">
        <v>29</v>
      </c>
      <c r="B41" s="549"/>
      <c r="C41" s="762"/>
      <c r="D41" s="763"/>
      <c r="E41" s="764"/>
      <c r="F41" s="764"/>
      <c r="G41" s="764"/>
      <c r="H41" s="765"/>
      <c r="I41" s="762"/>
      <c r="J41" s="762"/>
      <c r="K41" s="763"/>
      <c r="L41" s="555" t="e">
        <f>+J41/BALANCESHEET!G35</f>
        <v>#DIV/0!</v>
      </c>
    </row>
    <row r="42" spans="1:12">
      <c r="A42" s="556">
        <v>30</v>
      </c>
      <c r="B42" s="549"/>
      <c r="C42" s="762"/>
      <c r="D42" s="763"/>
      <c r="E42" s="764"/>
      <c r="F42" s="764"/>
      <c r="G42" s="764"/>
      <c r="H42" s="765"/>
      <c r="I42" s="762"/>
      <c r="J42" s="762"/>
      <c r="K42" s="763"/>
      <c r="L42" s="555" t="e">
        <f>+J42/BALANCESHEET!G35</f>
        <v>#DIV/0!</v>
      </c>
    </row>
    <row r="43" spans="1:12">
      <c r="A43" s="554">
        <v>31</v>
      </c>
      <c r="B43" s="549"/>
      <c r="C43" s="762"/>
      <c r="D43" s="763"/>
      <c r="E43" s="764"/>
      <c r="F43" s="764"/>
      <c r="G43" s="764"/>
      <c r="H43" s="765"/>
      <c r="I43" s="762"/>
      <c r="J43" s="762"/>
      <c r="K43" s="763"/>
      <c r="L43" s="555" t="e">
        <f>+J43/BALANCESHEET!G35</f>
        <v>#DIV/0!</v>
      </c>
    </row>
    <row r="44" spans="1:12">
      <c r="A44" s="556">
        <v>32</v>
      </c>
      <c r="B44" s="549"/>
      <c r="C44" s="762"/>
      <c r="D44" s="763"/>
      <c r="E44" s="764"/>
      <c r="F44" s="764"/>
      <c r="G44" s="764"/>
      <c r="H44" s="765"/>
      <c r="I44" s="762"/>
      <c r="J44" s="762"/>
      <c r="K44" s="763"/>
      <c r="L44" s="555" t="e">
        <f>+J44/BALANCESHEET!G35</f>
        <v>#DIV/0!</v>
      </c>
    </row>
    <row r="45" spans="1:12">
      <c r="A45" s="554">
        <v>33</v>
      </c>
      <c r="B45" s="549"/>
      <c r="C45" s="762"/>
      <c r="D45" s="763"/>
      <c r="E45" s="764"/>
      <c r="F45" s="764"/>
      <c r="G45" s="764"/>
      <c r="H45" s="765"/>
      <c r="I45" s="762"/>
      <c r="J45" s="762"/>
      <c r="K45" s="763"/>
      <c r="L45" s="555" t="e">
        <f>+J45/BALANCESHEET!G35</f>
        <v>#DIV/0!</v>
      </c>
    </row>
    <row r="46" spans="1:12">
      <c r="A46" s="556">
        <v>34</v>
      </c>
      <c r="B46" s="549"/>
      <c r="C46" s="762"/>
      <c r="D46" s="763"/>
      <c r="E46" s="764"/>
      <c r="F46" s="764"/>
      <c r="G46" s="764"/>
      <c r="H46" s="765"/>
      <c r="I46" s="762"/>
      <c r="J46" s="762"/>
      <c r="K46" s="763"/>
      <c r="L46" s="555" t="e">
        <f>+J46/BALANCESHEET!G35</f>
        <v>#DIV/0!</v>
      </c>
    </row>
    <row r="47" spans="1:12">
      <c r="A47" s="554">
        <v>35</v>
      </c>
      <c r="B47" s="549"/>
      <c r="C47" s="762"/>
      <c r="D47" s="763"/>
      <c r="E47" s="764"/>
      <c r="F47" s="764"/>
      <c r="G47" s="764"/>
      <c r="H47" s="765"/>
      <c r="I47" s="762"/>
      <c r="J47" s="762"/>
      <c r="K47" s="763"/>
      <c r="L47" s="555" t="e">
        <f>+J47/BALANCESHEET!G35</f>
        <v>#DIV/0!</v>
      </c>
    </row>
    <row r="48" spans="1:12">
      <c r="A48" s="556">
        <v>36</v>
      </c>
      <c r="B48" s="549"/>
      <c r="C48" s="762"/>
      <c r="D48" s="763"/>
      <c r="E48" s="764"/>
      <c r="F48" s="764"/>
      <c r="G48" s="764"/>
      <c r="H48" s="765"/>
      <c r="I48" s="762"/>
      <c r="J48" s="762"/>
      <c r="K48" s="763"/>
      <c r="L48" s="555" t="e">
        <f>+J48/BALANCESHEET!G35</f>
        <v>#DIV/0!</v>
      </c>
    </row>
    <row r="49" spans="1:12">
      <c r="A49" s="554">
        <v>37</v>
      </c>
      <c r="B49" s="549"/>
      <c r="C49" s="762"/>
      <c r="D49" s="763"/>
      <c r="E49" s="764"/>
      <c r="F49" s="764"/>
      <c r="G49" s="764"/>
      <c r="H49" s="765"/>
      <c r="I49" s="762"/>
      <c r="J49" s="762"/>
      <c r="K49" s="763"/>
      <c r="L49" s="555" t="e">
        <f>+J49/BALANCESHEET!G35</f>
        <v>#DIV/0!</v>
      </c>
    </row>
    <row r="50" spans="1:12">
      <c r="A50" s="556">
        <v>38</v>
      </c>
      <c r="B50" s="549"/>
      <c r="C50" s="762"/>
      <c r="D50" s="763"/>
      <c r="E50" s="764"/>
      <c r="F50" s="764"/>
      <c r="G50" s="764"/>
      <c r="H50" s="765"/>
      <c r="I50" s="762"/>
      <c r="J50" s="762"/>
      <c r="K50" s="763"/>
      <c r="L50" s="555" t="e">
        <f>+J50/BALANCESHEET!G35</f>
        <v>#DIV/0!</v>
      </c>
    </row>
    <row r="51" spans="1:12">
      <c r="A51" s="554">
        <v>39</v>
      </c>
      <c r="B51" s="549"/>
      <c r="C51" s="762"/>
      <c r="D51" s="763"/>
      <c r="E51" s="764"/>
      <c r="F51" s="764"/>
      <c r="G51" s="764"/>
      <c r="H51" s="765"/>
      <c r="I51" s="762"/>
      <c r="J51" s="762"/>
      <c r="K51" s="763"/>
      <c r="L51" s="555" t="e">
        <f>+J51/BALANCESHEET!G35</f>
        <v>#DIV/0!</v>
      </c>
    </row>
    <row r="52" spans="1:12" ht="13.5" thickBot="1">
      <c r="A52" s="556">
        <v>40</v>
      </c>
      <c r="B52" s="550"/>
      <c r="C52" s="766"/>
      <c r="D52" s="767"/>
      <c r="E52" s="768"/>
      <c r="F52" s="768"/>
      <c r="G52" s="768"/>
      <c r="H52" s="769"/>
      <c r="I52" s="766"/>
      <c r="J52" s="766"/>
      <c r="K52" s="763"/>
      <c r="L52" s="555" t="e">
        <f>+J52/BALANCESHEET!G35</f>
        <v>#DIV/0!</v>
      </c>
    </row>
    <row r="53" spans="1:12" ht="15.75" customHeight="1" thickBot="1">
      <c r="A53" s="1177" t="s">
        <v>468</v>
      </c>
      <c r="B53" s="1178"/>
      <c r="C53" s="770">
        <f>SUM(C13:C52)</f>
        <v>0</v>
      </c>
      <c r="D53" s="1168"/>
      <c r="E53" s="1169"/>
      <c r="F53" s="1169"/>
      <c r="G53" s="1169"/>
      <c r="H53" s="1170"/>
      <c r="I53" s="770">
        <f>SUM(I13:I52)</f>
        <v>0</v>
      </c>
      <c r="J53" s="770">
        <f>SUM(J13:J52)</f>
        <v>0</v>
      </c>
      <c r="K53" s="771"/>
      <c r="L53" s="557" t="e">
        <f>SUM(L13:L52)</f>
        <v>#DIV/0!</v>
      </c>
    </row>
    <row r="54" spans="1:12">
      <c r="A54" s="310"/>
      <c r="B54" s="310"/>
      <c r="C54" s="692"/>
      <c r="D54" s="692"/>
      <c r="E54" s="692"/>
      <c r="F54" s="692"/>
      <c r="G54" s="692"/>
      <c r="H54" s="692"/>
      <c r="I54" s="692"/>
      <c r="J54" s="1171" t="s">
        <v>574</v>
      </c>
      <c r="K54" s="1164"/>
      <c r="L54" s="547" t="e">
        <f>MAX(L13:L52)</f>
        <v>#DIV/0!</v>
      </c>
    </row>
    <row r="55" spans="1:12">
      <c r="A55" s="310"/>
      <c r="B55" s="310"/>
      <c r="C55" s="310"/>
      <c r="D55" s="310"/>
      <c r="E55" s="310"/>
      <c r="F55" s="310"/>
      <c r="G55" s="310"/>
      <c r="H55" s="310"/>
      <c r="I55" s="310"/>
      <c r="J55" s="310"/>
      <c r="K55" s="310"/>
      <c r="L55" s="558"/>
    </row>
    <row r="56" spans="1:12">
      <c r="A56" s="310"/>
      <c r="B56" s="310"/>
      <c r="C56" s="310"/>
      <c r="D56" s="310"/>
      <c r="E56" s="559"/>
      <c r="F56" s="310"/>
      <c r="G56" s="310"/>
      <c r="H56" s="310"/>
      <c r="I56" s="310"/>
      <c r="J56" s="310"/>
      <c r="K56" s="310"/>
      <c r="L56" s="310"/>
    </row>
    <row r="57" spans="1:12">
      <c r="A57" s="310"/>
      <c r="B57" s="310"/>
      <c r="C57" s="310"/>
      <c r="D57" s="310"/>
      <c r="E57" s="310"/>
      <c r="F57" s="15"/>
      <c r="G57" s="310"/>
      <c r="H57" s="310"/>
      <c r="I57" s="310"/>
      <c r="J57" s="310"/>
      <c r="K57" s="310"/>
      <c r="L57" s="537" t="str">
        <f>IF(J53&lt;=BALANCESHEET!C18,"","Балансийн дүнтэй зөрүүтэй байна")</f>
        <v/>
      </c>
    </row>
    <row r="58" spans="1:12">
      <c r="A58" s="997" t="s">
        <v>232</v>
      </c>
      <c r="B58" s="997"/>
      <c r="C58" s="997"/>
      <c r="D58" s="997"/>
      <c r="E58" s="997"/>
      <c r="F58" s="997"/>
      <c r="G58" s="997"/>
      <c r="H58" s="997"/>
      <c r="I58" s="997"/>
      <c r="J58" s="997"/>
      <c r="K58" s="997"/>
      <c r="L58" s="997"/>
    </row>
    <row r="59" spans="1:12">
      <c r="A59" s="1054" t="s">
        <v>233</v>
      </c>
      <c r="B59" s="1054"/>
      <c r="C59" s="1054"/>
      <c r="D59" s="1054"/>
      <c r="E59" s="1054"/>
      <c r="F59" s="1054"/>
      <c r="G59" s="1054"/>
      <c r="H59" s="1054"/>
      <c r="I59" s="1054"/>
      <c r="J59" s="1054"/>
      <c r="K59" s="1054"/>
      <c r="L59" s="1054"/>
    </row>
    <row r="60" spans="1:12">
      <c r="A60" s="310"/>
      <c r="B60" s="310"/>
      <c r="C60" s="310"/>
      <c r="D60" s="310"/>
      <c r="E60" s="239"/>
      <c r="F60" s="310"/>
      <c r="G60" s="310"/>
      <c r="H60" s="310"/>
      <c r="I60" s="310"/>
      <c r="J60" s="310"/>
      <c r="K60" s="310"/>
      <c r="L60" s="310"/>
    </row>
    <row r="61" spans="1:12">
      <c r="A61" s="310"/>
      <c r="B61" s="310"/>
      <c r="C61" s="310"/>
      <c r="D61" s="310"/>
      <c r="E61" s="239"/>
      <c r="F61" s="234" t="s">
        <v>234</v>
      </c>
      <c r="G61" s="310"/>
      <c r="H61" s="310" t="str">
        <f>+STATISTICS!C94</f>
        <v>/Нэр/</v>
      </c>
      <c r="I61" s="310"/>
      <c r="J61" s="1166"/>
      <c r="K61" s="1155"/>
      <c r="L61" s="310"/>
    </row>
    <row r="62" spans="1:12">
      <c r="E62" s="239"/>
      <c r="F62" s="235"/>
    </row>
    <row r="63" spans="1:12">
      <c r="E63" s="239"/>
      <c r="F63" s="234" t="s">
        <v>236</v>
      </c>
      <c r="H63" s="310" t="str">
        <f>+STATISTICS!C96</f>
        <v>/Нэр/</v>
      </c>
    </row>
  </sheetData>
  <sheetProtection algorithmName="SHA-512" hashValue="7XMcl6SLdxwg8t9MeqmuWabdFb2ev7f5M8s8MHz5jTOjQ5+wYl7KfIrjzU5RGbTtKkHc9yKeTOCFvKxqEg1jAA==" saltValue="OzsyoWCpfpM3Lo+ztfyoRQ==" spinCount="100000" sheet="1"/>
  <mergeCells count="2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 ref="J61:K61"/>
    <mergeCell ref="G10:G12"/>
    <mergeCell ref="H10:H12"/>
    <mergeCell ref="I10:I12"/>
    <mergeCell ref="J10:J12"/>
    <mergeCell ref="K10:K12"/>
    <mergeCell ref="D53:H53"/>
    <mergeCell ref="J54:K54"/>
  </mergeCells>
  <dataValidations count="1">
    <dataValidation type="date" allowBlank="1" showErrorMessage="1" sqref="E13:G52">
      <formula1>1</formula1>
      <formula2>109860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election activeCell="K52" sqref="K52"/>
    </sheetView>
  </sheetViews>
  <sheetFormatPr defaultRowHeight="15"/>
  <cols>
    <col min="1" max="1" width="3.28515625" style="80" bestFit="1" customWidth="1"/>
    <col min="2" max="2" width="20.140625" style="80" customWidth="1"/>
    <col min="3" max="3" width="22.7109375" style="80" customWidth="1"/>
    <col min="4" max="4" width="20.42578125" style="80" bestFit="1" customWidth="1"/>
    <col min="5" max="5" width="18.140625" style="80" bestFit="1" customWidth="1"/>
    <col min="6" max="6" width="16.28515625" style="80" customWidth="1"/>
    <col min="7" max="7" width="15.5703125" style="80" customWidth="1"/>
    <col min="8" max="8" width="22.28515625" style="80" customWidth="1"/>
    <col min="9" max="9" width="12.85546875" style="80" customWidth="1"/>
    <col min="10" max="10" width="15.28515625" style="80" customWidth="1"/>
    <col min="11" max="11" width="9.140625" style="80"/>
    <col min="12" max="16384" width="9.140625" style="63"/>
  </cols>
  <sheetData>
    <row r="1" spans="1:10">
      <c r="A1" s="310"/>
      <c r="B1" s="310"/>
      <c r="C1" s="310"/>
      <c r="D1" s="310"/>
      <c r="E1" s="310"/>
      <c r="F1" s="310"/>
      <c r="G1" s="1029" t="s">
        <v>749</v>
      </c>
      <c r="H1" s="1029"/>
      <c r="I1" s="1029"/>
      <c r="J1" s="1029"/>
    </row>
    <row r="2" spans="1:10">
      <c r="A2" s="310"/>
      <c r="B2" s="310"/>
      <c r="C2" s="310"/>
      <c r="D2" s="310"/>
      <c r="E2" s="310"/>
      <c r="F2" s="310"/>
      <c r="G2" s="1029" t="s">
        <v>754</v>
      </c>
      <c r="H2" s="1029"/>
      <c r="I2" s="1029"/>
      <c r="J2" s="1029"/>
    </row>
    <row r="3" spans="1:10">
      <c r="A3" s="310"/>
      <c r="B3" s="310"/>
      <c r="C3" s="310"/>
      <c r="D3" s="310"/>
      <c r="E3" s="310"/>
      <c r="F3" s="310"/>
      <c r="G3" s="310"/>
      <c r="H3" s="310"/>
      <c r="I3" s="310"/>
      <c r="J3" s="310"/>
    </row>
    <row r="4" spans="1:10">
      <c r="A4" s="997" t="s">
        <v>797</v>
      </c>
      <c r="B4" s="1181"/>
      <c r="C4" s="1181"/>
      <c r="D4" s="1181"/>
      <c r="E4" s="1181"/>
      <c r="F4" s="1181"/>
      <c r="G4" s="1181"/>
      <c r="H4" s="1181"/>
      <c r="I4" s="1181"/>
      <c r="J4" s="1181"/>
    </row>
    <row r="5" spans="1:10">
      <c r="A5" s="1037" t="str">
        <f>+STATISTICS!A4</f>
        <v>ХАДГАЛАМЖ, ЗЭЭЛИЙН ХОРШООНЫ НЭР</v>
      </c>
      <c r="B5" s="1155"/>
      <c r="C5" s="1155"/>
      <c r="D5" s="1155"/>
      <c r="E5" s="1155"/>
      <c r="F5" s="1155"/>
      <c r="G5" s="1155"/>
      <c r="H5" s="1155"/>
      <c r="I5" s="1155"/>
      <c r="J5" s="1155"/>
    </row>
    <row r="6" spans="1:10">
      <c r="A6" s="997" t="s">
        <v>4</v>
      </c>
      <c r="B6" s="1155"/>
      <c r="C6" s="1155"/>
      <c r="D6" s="1155"/>
      <c r="E6" s="1155"/>
      <c r="F6" s="1155"/>
      <c r="G6" s="1155"/>
      <c r="H6" s="1155"/>
      <c r="I6" s="1155"/>
      <c r="J6" s="1155"/>
    </row>
    <row r="7" spans="1:10">
      <c r="A7" s="310"/>
      <c r="B7" s="310"/>
      <c r="C7" s="310"/>
      <c r="D7" s="310"/>
      <c r="E7" s="310"/>
      <c r="F7" s="310"/>
      <c r="G7" s="310"/>
      <c r="H7" s="310"/>
      <c r="I7" s="310"/>
      <c r="J7" s="310"/>
    </row>
    <row r="8" spans="1:10">
      <c r="A8" s="310"/>
      <c r="B8" s="310"/>
      <c r="C8" s="310"/>
      <c r="D8" s="310"/>
      <c r="E8" s="310"/>
      <c r="F8" s="310"/>
      <c r="G8" s="310"/>
      <c r="H8" s="310"/>
      <c r="I8" s="310"/>
      <c r="J8" s="310"/>
    </row>
    <row r="9" spans="1:10" ht="15.75" thickBot="1">
      <c r="A9" s="1172" t="str">
        <f>+STATISTICS!A7</f>
        <v>Огноо</v>
      </c>
      <c r="B9" s="1173"/>
      <c r="C9" s="551"/>
      <c r="D9" s="551"/>
      <c r="E9" s="551"/>
      <c r="F9" s="551"/>
      <c r="G9" s="551"/>
      <c r="H9" s="310"/>
      <c r="I9" s="310"/>
      <c r="J9" s="390" t="s">
        <v>5</v>
      </c>
    </row>
    <row r="10" spans="1:10">
      <c r="A10" s="1153" t="s">
        <v>237</v>
      </c>
      <c r="B10" s="1151" t="s">
        <v>580</v>
      </c>
      <c r="C10" s="1151"/>
      <c r="D10" s="1151" t="s">
        <v>575</v>
      </c>
      <c r="E10" s="1180" t="s">
        <v>576</v>
      </c>
      <c r="F10" s="1151" t="s">
        <v>577</v>
      </c>
      <c r="G10" s="1151" t="s">
        <v>578</v>
      </c>
      <c r="H10" s="1180" t="s">
        <v>810</v>
      </c>
      <c r="I10" s="1151" t="s">
        <v>558</v>
      </c>
      <c r="J10" s="1174" t="s">
        <v>579</v>
      </c>
    </row>
    <row r="11" spans="1:10" ht="24" customHeight="1" thickBot="1">
      <c r="A11" s="1154"/>
      <c r="B11" s="540" t="s">
        <v>568</v>
      </c>
      <c r="C11" s="541" t="s">
        <v>565</v>
      </c>
      <c r="D11" s="1152"/>
      <c r="E11" s="1152"/>
      <c r="F11" s="1152"/>
      <c r="G11" s="1152"/>
      <c r="H11" s="1152"/>
      <c r="I11" s="1152"/>
      <c r="J11" s="1162"/>
    </row>
    <row r="12" spans="1:10">
      <c r="A12" s="564">
        <v>1</v>
      </c>
      <c r="B12" s="533"/>
      <c r="C12" s="951"/>
      <c r="D12" s="772"/>
      <c r="E12" s="773"/>
      <c r="F12" s="774"/>
      <c r="G12" s="943"/>
      <c r="H12" s="747"/>
      <c r="I12" s="747"/>
      <c r="J12" s="877" t="e">
        <f>+D12/BALANCE!$H$11</f>
        <v>#DIV/0!</v>
      </c>
    </row>
    <row r="13" spans="1:10">
      <c r="A13" s="565">
        <v>2</v>
      </c>
      <c r="B13" s="534"/>
      <c r="C13" s="952"/>
      <c r="D13" s="775"/>
      <c r="E13" s="776"/>
      <c r="F13" s="777"/>
      <c r="G13" s="944"/>
      <c r="H13" s="752"/>
      <c r="I13" s="752"/>
      <c r="J13" s="877" t="e">
        <f>+D13/BALANCE!$H$11</f>
        <v>#DIV/0!</v>
      </c>
    </row>
    <row r="14" spans="1:10">
      <c r="A14" s="565">
        <v>3</v>
      </c>
      <c r="B14" s="534"/>
      <c r="C14" s="952"/>
      <c r="D14" s="775"/>
      <c r="E14" s="776"/>
      <c r="F14" s="777"/>
      <c r="G14" s="944"/>
      <c r="H14" s="752"/>
      <c r="I14" s="752"/>
      <c r="J14" s="877" t="e">
        <f>+D14/BALANCE!$H$11</f>
        <v>#DIV/0!</v>
      </c>
    </row>
    <row r="15" spans="1:10">
      <c r="A15" s="565">
        <v>4</v>
      </c>
      <c r="B15" s="534"/>
      <c r="C15" s="952"/>
      <c r="D15" s="775"/>
      <c r="E15" s="776"/>
      <c r="F15" s="777"/>
      <c r="G15" s="944"/>
      <c r="H15" s="752"/>
      <c r="I15" s="752"/>
      <c r="J15" s="877" t="e">
        <f>+D15/BALANCE!$H$11</f>
        <v>#DIV/0!</v>
      </c>
    </row>
    <row r="16" spans="1:10">
      <c r="A16" s="565">
        <v>5</v>
      </c>
      <c r="B16" s="534"/>
      <c r="C16" s="952"/>
      <c r="D16" s="775"/>
      <c r="E16" s="776"/>
      <c r="F16" s="777"/>
      <c r="G16" s="944"/>
      <c r="H16" s="752"/>
      <c r="I16" s="752"/>
      <c r="J16" s="877" t="e">
        <f>+D16/BALANCE!$H$11</f>
        <v>#DIV/0!</v>
      </c>
    </row>
    <row r="17" spans="1:10">
      <c r="A17" s="565">
        <v>6</v>
      </c>
      <c r="B17" s="534"/>
      <c r="C17" s="952"/>
      <c r="D17" s="775"/>
      <c r="E17" s="776"/>
      <c r="F17" s="777"/>
      <c r="G17" s="944"/>
      <c r="H17" s="752"/>
      <c r="I17" s="752"/>
      <c r="J17" s="877" t="e">
        <f>+D17/BALANCE!$H$11</f>
        <v>#DIV/0!</v>
      </c>
    </row>
    <row r="18" spans="1:10">
      <c r="A18" s="565">
        <v>7</v>
      </c>
      <c r="B18" s="534"/>
      <c r="C18" s="952"/>
      <c r="D18" s="775"/>
      <c r="E18" s="776"/>
      <c r="F18" s="777"/>
      <c r="G18" s="944"/>
      <c r="H18" s="752"/>
      <c r="I18" s="752"/>
      <c r="J18" s="877" t="e">
        <f>+D18/BALANCE!$H$11</f>
        <v>#DIV/0!</v>
      </c>
    </row>
    <row r="19" spans="1:10">
      <c r="A19" s="565">
        <v>8</v>
      </c>
      <c r="B19" s="534"/>
      <c r="C19" s="952"/>
      <c r="D19" s="775"/>
      <c r="E19" s="776"/>
      <c r="F19" s="777"/>
      <c r="G19" s="944"/>
      <c r="H19" s="752"/>
      <c r="I19" s="752"/>
      <c r="J19" s="877" t="e">
        <f>+D19/BALANCE!$H$11</f>
        <v>#DIV/0!</v>
      </c>
    </row>
    <row r="20" spans="1:10">
      <c r="A20" s="565">
        <v>9</v>
      </c>
      <c r="B20" s="534"/>
      <c r="C20" s="952"/>
      <c r="D20" s="775"/>
      <c r="E20" s="776"/>
      <c r="F20" s="777"/>
      <c r="G20" s="944"/>
      <c r="H20" s="752"/>
      <c r="I20" s="752"/>
      <c r="J20" s="877" t="e">
        <f>+D20/BALANCE!$H$11</f>
        <v>#DIV/0!</v>
      </c>
    </row>
    <row r="21" spans="1:10">
      <c r="A21" s="565">
        <v>10</v>
      </c>
      <c r="B21" s="534"/>
      <c r="C21" s="952"/>
      <c r="D21" s="775"/>
      <c r="E21" s="776"/>
      <c r="F21" s="777"/>
      <c r="G21" s="944"/>
      <c r="H21" s="752"/>
      <c r="I21" s="752"/>
      <c r="J21" s="877" t="e">
        <f>+D21/BALANCE!$H$11</f>
        <v>#DIV/0!</v>
      </c>
    </row>
    <row r="22" spans="1:10">
      <c r="A22" s="565">
        <v>11</v>
      </c>
      <c r="B22" s="534"/>
      <c r="C22" s="952"/>
      <c r="D22" s="775"/>
      <c r="E22" s="776"/>
      <c r="F22" s="777"/>
      <c r="G22" s="944"/>
      <c r="H22" s="752"/>
      <c r="I22" s="752"/>
      <c r="J22" s="877" t="e">
        <f>+D22/BALANCE!$H$11</f>
        <v>#DIV/0!</v>
      </c>
    </row>
    <row r="23" spans="1:10">
      <c r="A23" s="565">
        <v>12</v>
      </c>
      <c r="B23" s="534"/>
      <c r="C23" s="952"/>
      <c r="D23" s="775"/>
      <c r="E23" s="776"/>
      <c r="F23" s="777"/>
      <c r="G23" s="944"/>
      <c r="H23" s="752"/>
      <c r="I23" s="752"/>
      <c r="J23" s="877" t="e">
        <f>+D23/BALANCE!$H$11</f>
        <v>#DIV/0!</v>
      </c>
    </row>
    <row r="24" spans="1:10">
      <c r="A24" s="565">
        <v>13</v>
      </c>
      <c r="B24" s="534"/>
      <c r="C24" s="952"/>
      <c r="D24" s="775"/>
      <c r="E24" s="776"/>
      <c r="F24" s="777"/>
      <c r="G24" s="944"/>
      <c r="H24" s="752"/>
      <c r="I24" s="752"/>
      <c r="J24" s="877" t="e">
        <f>+D24/BALANCE!$H$11</f>
        <v>#DIV/0!</v>
      </c>
    </row>
    <row r="25" spans="1:10">
      <c r="A25" s="565">
        <v>14</v>
      </c>
      <c r="B25" s="534"/>
      <c r="C25" s="952"/>
      <c r="D25" s="775"/>
      <c r="E25" s="776"/>
      <c r="F25" s="777"/>
      <c r="G25" s="944"/>
      <c r="H25" s="752"/>
      <c r="I25" s="752"/>
      <c r="J25" s="877" t="e">
        <f>+D25/BALANCE!$H$11</f>
        <v>#DIV/0!</v>
      </c>
    </row>
    <row r="26" spans="1:10">
      <c r="A26" s="565">
        <v>15</v>
      </c>
      <c r="B26" s="534"/>
      <c r="C26" s="952"/>
      <c r="D26" s="775"/>
      <c r="E26" s="776"/>
      <c r="F26" s="777"/>
      <c r="G26" s="944"/>
      <c r="H26" s="752"/>
      <c r="I26" s="752"/>
      <c r="J26" s="877" t="e">
        <f>+D26/BALANCE!$H$11</f>
        <v>#DIV/0!</v>
      </c>
    </row>
    <row r="27" spans="1:10">
      <c r="A27" s="565">
        <v>16</v>
      </c>
      <c r="B27" s="534"/>
      <c r="C27" s="952"/>
      <c r="D27" s="775"/>
      <c r="E27" s="776"/>
      <c r="F27" s="777"/>
      <c r="G27" s="944"/>
      <c r="H27" s="752"/>
      <c r="I27" s="752"/>
      <c r="J27" s="877" t="e">
        <f>+D27/BALANCE!$H$11</f>
        <v>#DIV/0!</v>
      </c>
    </row>
    <row r="28" spans="1:10">
      <c r="A28" s="565">
        <v>17</v>
      </c>
      <c r="B28" s="534"/>
      <c r="C28" s="952"/>
      <c r="D28" s="775"/>
      <c r="E28" s="776"/>
      <c r="F28" s="777"/>
      <c r="G28" s="944"/>
      <c r="H28" s="752"/>
      <c r="I28" s="752"/>
      <c r="J28" s="877" t="e">
        <f>+D28/BALANCE!$H$11</f>
        <v>#DIV/0!</v>
      </c>
    </row>
    <row r="29" spans="1:10">
      <c r="A29" s="565">
        <v>18</v>
      </c>
      <c r="B29" s="534"/>
      <c r="C29" s="952"/>
      <c r="D29" s="775"/>
      <c r="E29" s="776"/>
      <c r="F29" s="777"/>
      <c r="G29" s="944"/>
      <c r="H29" s="752"/>
      <c r="I29" s="752"/>
      <c r="J29" s="877" t="e">
        <f>+D29/BALANCE!$H$11</f>
        <v>#DIV/0!</v>
      </c>
    </row>
    <row r="30" spans="1:10">
      <c r="A30" s="565">
        <v>19</v>
      </c>
      <c r="B30" s="534"/>
      <c r="C30" s="952"/>
      <c r="D30" s="775"/>
      <c r="E30" s="776"/>
      <c r="F30" s="777"/>
      <c r="G30" s="944"/>
      <c r="H30" s="752"/>
      <c r="I30" s="752"/>
      <c r="J30" s="877" t="e">
        <f>+D30/BALANCE!$H$11</f>
        <v>#DIV/0!</v>
      </c>
    </row>
    <row r="31" spans="1:10">
      <c r="A31" s="566">
        <v>20</v>
      </c>
      <c r="B31" s="534"/>
      <c r="C31" s="952"/>
      <c r="D31" s="775"/>
      <c r="E31" s="776"/>
      <c r="F31" s="777"/>
      <c r="G31" s="944"/>
      <c r="H31" s="752"/>
      <c r="I31" s="752"/>
      <c r="J31" s="877" t="e">
        <f>+D31/BALANCE!$H$11</f>
        <v>#DIV/0!</v>
      </c>
    </row>
    <row r="32" spans="1:10">
      <c r="A32" s="565">
        <v>21</v>
      </c>
      <c r="B32" s="534"/>
      <c r="C32" s="952"/>
      <c r="D32" s="775"/>
      <c r="E32" s="776"/>
      <c r="F32" s="777"/>
      <c r="G32" s="944"/>
      <c r="H32" s="752"/>
      <c r="I32" s="752"/>
      <c r="J32" s="877" t="e">
        <f>+D32/BALANCE!$H$11</f>
        <v>#DIV/0!</v>
      </c>
    </row>
    <row r="33" spans="1:10">
      <c r="A33" s="566">
        <v>22</v>
      </c>
      <c r="B33" s="534"/>
      <c r="C33" s="952"/>
      <c r="D33" s="775"/>
      <c r="E33" s="776"/>
      <c r="F33" s="777"/>
      <c r="G33" s="944"/>
      <c r="H33" s="752"/>
      <c r="I33" s="752"/>
      <c r="J33" s="877" t="e">
        <f>+D33/BALANCE!$H$11</f>
        <v>#DIV/0!</v>
      </c>
    </row>
    <row r="34" spans="1:10">
      <c r="A34" s="565">
        <v>23</v>
      </c>
      <c r="B34" s="534"/>
      <c r="C34" s="952"/>
      <c r="D34" s="775"/>
      <c r="E34" s="776"/>
      <c r="F34" s="777"/>
      <c r="G34" s="944"/>
      <c r="H34" s="752"/>
      <c r="I34" s="752"/>
      <c r="J34" s="877" t="e">
        <f>+D34/BALANCE!$H$11</f>
        <v>#DIV/0!</v>
      </c>
    </row>
    <row r="35" spans="1:10">
      <c r="A35" s="566">
        <v>24</v>
      </c>
      <c r="B35" s="534"/>
      <c r="C35" s="952"/>
      <c r="D35" s="775"/>
      <c r="E35" s="776"/>
      <c r="F35" s="777"/>
      <c r="G35" s="944"/>
      <c r="H35" s="752"/>
      <c r="I35" s="752"/>
      <c r="J35" s="877" t="e">
        <f>+D35/BALANCE!$H$11</f>
        <v>#DIV/0!</v>
      </c>
    </row>
    <row r="36" spans="1:10">
      <c r="A36" s="565">
        <v>25</v>
      </c>
      <c r="B36" s="534"/>
      <c r="C36" s="952"/>
      <c r="D36" s="775"/>
      <c r="E36" s="776"/>
      <c r="F36" s="777"/>
      <c r="G36" s="944"/>
      <c r="H36" s="752"/>
      <c r="I36" s="752"/>
      <c r="J36" s="877" t="e">
        <f>+D36/BALANCE!$H$11</f>
        <v>#DIV/0!</v>
      </c>
    </row>
    <row r="37" spans="1:10">
      <c r="A37" s="566">
        <v>26</v>
      </c>
      <c r="B37" s="534"/>
      <c r="C37" s="952"/>
      <c r="D37" s="775"/>
      <c r="E37" s="776"/>
      <c r="F37" s="777"/>
      <c r="G37" s="944"/>
      <c r="H37" s="752"/>
      <c r="I37" s="752"/>
      <c r="J37" s="877" t="e">
        <f>+D37/BALANCE!$H$11</f>
        <v>#DIV/0!</v>
      </c>
    </row>
    <row r="38" spans="1:10">
      <c r="A38" s="565">
        <v>27</v>
      </c>
      <c r="B38" s="534"/>
      <c r="C38" s="952"/>
      <c r="D38" s="775"/>
      <c r="E38" s="776"/>
      <c r="F38" s="777"/>
      <c r="G38" s="944"/>
      <c r="H38" s="752"/>
      <c r="I38" s="752"/>
      <c r="J38" s="877" t="e">
        <f>+D38/BALANCE!$H$11</f>
        <v>#DIV/0!</v>
      </c>
    </row>
    <row r="39" spans="1:10">
      <c r="A39" s="566">
        <v>28</v>
      </c>
      <c r="B39" s="534"/>
      <c r="C39" s="952"/>
      <c r="D39" s="775"/>
      <c r="E39" s="776"/>
      <c r="F39" s="777"/>
      <c r="G39" s="944"/>
      <c r="H39" s="752"/>
      <c r="I39" s="752"/>
      <c r="J39" s="877" t="e">
        <f>+D39/BALANCE!$H$11</f>
        <v>#DIV/0!</v>
      </c>
    </row>
    <row r="40" spans="1:10">
      <c r="A40" s="565">
        <v>29</v>
      </c>
      <c r="B40" s="534"/>
      <c r="C40" s="952"/>
      <c r="D40" s="775"/>
      <c r="E40" s="776"/>
      <c r="F40" s="777"/>
      <c r="G40" s="944"/>
      <c r="H40" s="752"/>
      <c r="I40" s="752"/>
      <c r="J40" s="877" t="e">
        <f>+D40/BALANCE!$H$11</f>
        <v>#DIV/0!</v>
      </c>
    </row>
    <row r="41" spans="1:10">
      <c r="A41" s="566">
        <v>30</v>
      </c>
      <c r="B41" s="534"/>
      <c r="C41" s="952"/>
      <c r="D41" s="775"/>
      <c r="E41" s="776"/>
      <c r="F41" s="777"/>
      <c r="G41" s="944"/>
      <c r="H41" s="752"/>
      <c r="I41" s="752"/>
      <c r="J41" s="877" t="e">
        <f>+D41/BALANCE!$H$11</f>
        <v>#DIV/0!</v>
      </c>
    </row>
    <row r="42" spans="1:10">
      <c r="A42" s="565">
        <v>31</v>
      </c>
      <c r="B42" s="534"/>
      <c r="C42" s="952"/>
      <c r="D42" s="775"/>
      <c r="E42" s="776"/>
      <c r="F42" s="777"/>
      <c r="G42" s="944"/>
      <c r="H42" s="752"/>
      <c r="I42" s="752"/>
      <c r="J42" s="877" t="e">
        <f>+D42/BALANCE!$H$11</f>
        <v>#DIV/0!</v>
      </c>
    </row>
    <row r="43" spans="1:10">
      <c r="A43" s="566">
        <v>32</v>
      </c>
      <c r="B43" s="534"/>
      <c r="C43" s="952"/>
      <c r="D43" s="775"/>
      <c r="E43" s="776"/>
      <c r="F43" s="777"/>
      <c r="G43" s="944"/>
      <c r="H43" s="752"/>
      <c r="I43" s="752"/>
      <c r="J43" s="877" t="e">
        <f>+D43/BALANCE!$H$11</f>
        <v>#DIV/0!</v>
      </c>
    </row>
    <row r="44" spans="1:10">
      <c r="A44" s="565">
        <v>33</v>
      </c>
      <c r="B44" s="534"/>
      <c r="C44" s="952"/>
      <c r="D44" s="775"/>
      <c r="E44" s="776"/>
      <c r="F44" s="777"/>
      <c r="G44" s="944"/>
      <c r="H44" s="752"/>
      <c r="I44" s="752"/>
      <c r="J44" s="877" t="e">
        <f>+D44/BALANCE!$H$11</f>
        <v>#DIV/0!</v>
      </c>
    </row>
    <row r="45" spans="1:10">
      <c r="A45" s="566">
        <v>34</v>
      </c>
      <c r="B45" s="534"/>
      <c r="C45" s="952"/>
      <c r="D45" s="775"/>
      <c r="E45" s="776"/>
      <c r="F45" s="777"/>
      <c r="G45" s="944"/>
      <c r="H45" s="752"/>
      <c r="I45" s="752"/>
      <c r="J45" s="877" t="e">
        <f>+D45/BALANCE!$H$11</f>
        <v>#DIV/0!</v>
      </c>
    </row>
    <row r="46" spans="1:10">
      <c r="A46" s="565">
        <v>35</v>
      </c>
      <c r="B46" s="534"/>
      <c r="C46" s="952"/>
      <c r="D46" s="775"/>
      <c r="E46" s="776"/>
      <c r="F46" s="777"/>
      <c r="G46" s="944"/>
      <c r="H46" s="752"/>
      <c r="I46" s="752"/>
      <c r="J46" s="877" t="e">
        <f>+D46/BALANCE!$H$11</f>
        <v>#DIV/0!</v>
      </c>
    </row>
    <row r="47" spans="1:10">
      <c r="A47" s="566">
        <v>36</v>
      </c>
      <c r="B47" s="534"/>
      <c r="C47" s="952"/>
      <c r="D47" s="775"/>
      <c r="E47" s="776"/>
      <c r="F47" s="777"/>
      <c r="G47" s="944"/>
      <c r="H47" s="752"/>
      <c r="I47" s="752"/>
      <c r="J47" s="877" t="e">
        <f>+D47/BALANCE!$H$11</f>
        <v>#DIV/0!</v>
      </c>
    </row>
    <row r="48" spans="1:10">
      <c r="A48" s="565">
        <v>37</v>
      </c>
      <c r="B48" s="534"/>
      <c r="C48" s="952"/>
      <c r="D48" s="775"/>
      <c r="E48" s="776"/>
      <c r="F48" s="777"/>
      <c r="G48" s="944"/>
      <c r="H48" s="752"/>
      <c r="I48" s="752"/>
      <c r="J48" s="877" t="e">
        <f>+D48/BALANCE!$H$11</f>
        <v>#DIV/0!</v>
      </c>
    </row>
    <row r="49" spans="1:10">
      <c r="A49" s="566">
        <v>38</v>
      </c>
      <c r="B49" s="534"/>
      <c r="C49" s="952"/>
      <c r="D49" s="775"/>
      <c r="E49" s="776"/>
      <c r="F49" s="777"/>
      <c r="G49" s="944"/>
      <c r="H49" s="752"/>
      <c r="I49" s="752"/>
      <c r="J49" s="877" t="e">
        <f>+D49/BALANCE!$H$11</f>
        <v>#DIV/0!</v>
      </c>
    </row>
    <row r="50" spans="1:10">
      <c r="A50" s="565">
        <v>39</v>
      </c>
      <c r="B50" s="534"/>
      <c r="C50" s="952"/>
      <c r="D50" s="775"/>
      <c r="E50" s="776"/>
      <c r="F50" s="777"/>
      <c r="G50" s="944"/>
      <c r="H50" s="752"/>
      <c r="I50" s="752"/>
      <c r="J50" s="877" t="e">
        <f>+D50/BALANCE!$H$11</f>
        <v>#DIV/0!</v>
      </c>
    </row>
    <row r="51" spans="1:10" ht="15.75" thickBot="1">
      <c r="A51" s="566">
        <v>40</v>
      </c>
      <c r="B51" s="562"/>
      <c r="C51" s="953"/>
      <c r="D51" s="778"/>
      <c r="E51" s="779"/>
      <c r="F51" s="780"/>
      <c r="G51" s="945"/>
      <c r="H51" s="781"/>
      <c r="I51" s="781"/>
      <c r="J51" s="877" t="e">
        <f>+D51/BALANCE!$H$11</f>
        <v>#DIV/0!</v>
      </c>
    </row>
    <row r="52" spans="1:10" ht="15.75" thickBot="1">
      <c r="A52" s="1179" t="s">
        <v>566</v>
      </c>
      <c r="B52" s="1170"/>
      <c r="C52" s="567"/>
      <c r="D52" s="782">
        <f>SUM(D12:D51)</f>
        <v>0</v>
      </c>
      <c r="E52" s="782"/>
      <c r="F52" s="783"/>
      <c r="G52" s="783"/>
      <c r="H52" s="783"/>
      <c r="I52" s="783"/>
      <c r="J52" s="878" t="e">
        <f>SUM(J12:J51)</f>
        <v>#DIV/0!</v>
      </c>
    </row>
    <row r="53" spans="1:10">
      <c r="A53" s="310"/>
      <c r="B53" s="310"/>
      <c r="C53" s="310"/>
      <c r="D53" s="692"/>
      <c r="E53" s="692"/>
      <c r="F53" s="692"/>
      <c r="G53" s="692"/>
      <c r="H53" s="1163" t="s">
        <v>581</v>
      </c>
      <c r="I53" s="1163"/>
      <c r="J53" s="879" t="e">
        <f>MAX(J12:J51)</f>
        <v>#DIV/0!</v>
      </c>
    </row>
    <row r="54" spans="1:10">
      <c r="A54" s="310"/>
      <c r="B54" s="219"/>
      <c r="C54" s="15"/>
      <c r="D54" s="15"/>
      <c r="E54" s="15"/>
      <c r="F54" s="15"/>
      <c r="G54" s="310"/>
      <c r="H54" s="310"/>
      <c r="I54" s="310"/>
      <c r="J54" s="310"/>
    </row>
    <row r="55" spans="1:10">
      <c r="A55" s="310"/>
      <c r="B55" s="310"/>
      <c r="C55" s="15"/>
      <c r="D55" s="15"/>
      <c r="E55" s="568"/>
      <c r="F55" s="310"/>
      <c r="G55" s="310"/>
      <c r="H55" s="310"/>
      <c r="I55" s="310"/>
      <c r="J55" s="537" t="str">
        <f>IF(D52&lt;=BALANCESHEET!G11,"","Балансийн дүнтэй зөрүүтэй байна")</f>
        <v/>
      </c>
    </row>
    <row r="56" spans="1:10">
      <c r="A56" s="997" t="s">
        <v>232</v>
      </c>
      <c r="B56" s="997"/>
      <c r="C56" s="997"/>
      <c r="D56" s="997"/>
      <c r="E56" s="997"/>
      <c r="F56" s="997"/>
      <c r="G56" s="997"/>
      <c r="H56" s="997"/>
      <c r="I56" s="997"/>
      <c r="J56" s="997"/>
    </row>
    <row r="57" spans="1:10">
      <c r="A57" s="1054" t="s">
        <v>233</v>
      </c>
      <c r="B57" s="1054"/>
      <c r="C57" s="1054"/>
      <c r="D57" s="1054"/>
      <c r="E57" s="1054"/>
      <c r="F57" s="1054"/>
      <c r="G57" s="1054"/>
      <c r="H57" s="1054"/>
      <c r="I57" s="1054"/>
      <c r="J57" s="1054"/>
    </row>
    <row r="58" spans="1:10">
      <c r="A58" s="310"/>
      <c r="B58" s="310"/>
      <c r="C58" s="310"/>
      <c r="D58" s="239"/>
      <c r="E58" s="310"/>
      <c r="F58" s="310"/>
      <c r="G58" s="310"/>
      <c r="H58" s="310"/>
      <c r="I58" s="310"/>
      <c r="J58" s="310"/>
    </row>
    <row r="59" spans="1:10">
      <c r="A59" s="310"/>
      <c r="B59" s="310"/>
      <c r="C59" s="310"/>
      <c r="D59" s="239"/>
      <c r="E59" s="234" t="s">
        <v>234</v>
      </c>
      <c r="F59" s="310"/>
      <c r="G59" s="310" t="str">
        <f>+STATISTICS!C94</f>
        <v>/Нэр/</v>
      </c>
      <c r="H59" s="310"/>
      <c r="I59" s="310"/>
      <c r="J59" s="311"/>
    </row>
    <row r="60" spans="1:10">
      <c r="A60" s="310"/>
      <c r="B60" s="310"/>
      <c r="C60" s="310"/>
      <c r="D60" s="239"/>
      <c r="E60" s="235"/>
      <c r="F60" s="310"/>
      <c r="G60" s="310"/>
      <c r="H60" s="310"/>
      <c r="I60" s="310"/>
      <c r="J60" s="310"/>
    </row>
    <row r="61" spans="1:10">
      <c r="D61" s="239"/>
      <c r="E61" s="234" t="s">
        <v>236</v>
      </c>
      <c r="G61" s="310" t="str">
        <f>+STATISTICS!C96</f>
        <v>/Нэр/</v>
      </c>
    </row>
  </sheetData>
  <sheetProtection algorithmName="SHA-512" hashValue="puT6EDg/7qYsWVvWxmLmGUtbZOufKgODuN7fLpIeSyq0uxZzq+s+h/1EKTCIVG/Z/lfV1onmQbhuClGchsFsdw==" saltValue="/ntu9lrl6Jp7sqdIcTke7g==" spinCount="100000" sheet="1"/>
  <mergeCells count="19">
    <mergeCell ref="G1:J1"/>
    <mergeCell ref="G2:J2"/>
    <mergeCell ref="A4:J4"/>
    <mergeCell ref="A5:J5"/>
    <mergeCell ref="A6:J6"/>
    <mergeCell ref="A9:B9"/>
    <mergeCell ref="A10:A11"/>
    <mergeCell ref="D10:D11"/>
    <mergeCell ref="E10:E11"/>
    <mergeCell ref="F10:F11"/>
    <mergeCell ref="B10:C10"/>
    <mergeCell ref="J10:J11"/>
    <mergeCell ref="A56:J56"/>
    <mergeCell ref="A57:J57"/>
    <mergeCell ref="H53:I53"/>
    <mergeCell ref="A52:B52"/>
    <mergeCell ref="G10:G11"/>
    <mergeCell ref="H10:H11"/>
    <mergeCell ref="I10:I11"/>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 workbookViewId="0">
      <selection activeCell="D51" sqref="D51"/>
    </sheetView>
  </sheetViews>
  <sheetFormatPr defaultRowHeight="12.75"/>
  <cols>
    <col min="1" max="1" width="4.85546875" style="539" customWidth="1"/>
    <col min="2" max="2" width="43.7109375" style="539" customWidth="1"/>
    <col min="3" max="3" width="28.28515625" style="539" customWidth="1"/>
    <col min="4" max="4" width="30.28515625" style="539" customWidth="1"/>
    <col min="5" max="5" width="9.140625" style="539"/>
    <col min="6" max="16384" width="9.140625" style="532"/>
  </cols>
  <sheetData>
    <row r="1" spans="1:6">
      <c r="A1" s="310"/>
      <c r="B1" s="310"/>
      <c r="D1" s="137" t="s">
        <v>749</v>
      </c>
      <c r="E1" s="450"/>
      <c r="F1" s="428"/>
    </row>
    <row r="2" spans="1:6">
      <c r="A2" s="310"/>
      <c r="B2" s="310"/>
      <c r="D2" s="137" t="s">
        <v>755</v>
      </c>
      <c r="E2" s="450"/>
      <c r="F2" s="428"/>
    </row>
    <row r="3" spans="1:6">
      <c r="A3" s="310"/>
      <c r="B3" s="310"/>
      <c r="C3" s="310"/>
      <c r="D3" s="310"/>
    </row>
    <row r="4" spans="1:6">
      <c r="A4" s="997" t="s">
        <v>582</v>
      </c>
      <c r="B4" s="1155"/>
      <c r="C4" s="1155"/>
      <c r="D4" s="1155"/>
    </row>
    <row r="5" spans="1:6">
      <c r="A5" s="1037" t="str">
        <f>+STATISTICS!A4</f>
        <v>ХАДГАЛАМЖ, ЗЭЭЛИЙН ХОРШООНЫ НЭР</v>
      </c>
      <c r="B5" s="1155"/>
      <c r="C5" s="1155"/>
      <c r="D5" s="1155"/>
    </row>
    <row r="6" spans="1:6">
      <c r="A6" s="997" t="s">
        <v>4</v>
      </c>
      <c r="B6" s="1155"/>
      <c r="C6" s="1155"/>
      <c r="D6" s="1155"/>
    </row>
    <row r="7" spans="1:6">
      <c r="A7" s="310"/>
      <c r="B7" s="310"/>
      <c r="C7" s="310"/>
      <c r="D7" s="310"/>
    </row>
    <row r="8" spans="1:6" ht="13.5" thickBot="1">
      <c r="A8" s="1172" t="str">
        <f>+STATISTICS!A7</f>
        <v>Огноо</v>
      </c>
      <c r="B8" s="1173"/>
      <c r="C8" s="551"/>
      <c r="D8" s="390" t="s">
        <v>5</v>
      </c>
    </row>
    <row r="9" spans="1:6">
      <c r="A9" s="1153" t="s">
        <v>237</v>
      </c>
      <c r="B9" s="1151" t="s">
        <v>587</v>
      </c>
      <c r="C9" s="1151" t="s">
        <v>583</v>
      </c>
      <c r="D9" s="1182" t="s">
        <v>584</v>
      </c>
    </row>
    <row r="10" spans="1:6" ht="13.5" thickBot="1">
      <c r="A10" s="1154"/>
      <c r="B10" s="1152"/>
      <c r="C10" s="1152"/>
      <c r="D10" s="1162"/>
    </row>
    <row r="11" spans="1:6">
      <c r="A11" s="564">
        <v>1</v>
      </c>
      <c r="B11" s="533"/>
      <c r="C11" s="560"/>
      <c r="D11" s="569" t="e">
        <f>+C11/BALANCE!$H$53</f>
        <v>#DIV/0!</v>
      </c>
    </row>
    <row r="12" spans="1:6">
      <c r="A12" s="565">
        <v>2</v>
      </c>
      <c r="B12" s="534"/>
      <c r="C12" s="561"/>
      <c r="D12" s="569" t="e">
        <f>+C12/BALANCE!$H$53</f>
        <v>#DIV/0!</v>
      </c>
    </row>
    <row r="13" spans="1:6">
      <c r="A13" s="565">
        <v>3</v>
      </c>
      <c r="B13" s="534"/>
      <c r="C13" s="561"/>
      <c r="D13" s="569" t="e">
        <f>+C13/BALANCE!$H$53</f>
        <v>#DIV/0!</v>
      </c>
    </row>
    <row r="14" spans="1:6">
      <c r="A14" s="565">
        <v>4</v>
      </c>
      <c r="B14" s="534"/>
      <c r="C14" s="561"/>
      <c r="D14" s="569" t="e">
        <f>+C14/BALANCE!$H$53</f>
        <v>#DIV/0!</v>
      </c>
    </row>
    <row r="15" spans="1:6">
      <c r="A15" s="565">
        <v>5</v>
      </c>
      <c r="B15" s="534"/>
      <c r="C15" s="561"/>
      <c r="D15" s="569" t="e">
        <f>+C15/BALANCE!$H$53</f>
        <v>#DIV/0!</v>
      </c>
    </row>
    <row r="16" spans="1:6">
      <c r="A16" s="565">
        <v>6</v>
      </c>
      <c r="B16" s="534"/>
      <c r="C16" s="561"/>
      <c r="D16" s="569" t="e">
        <f>+C16/BALANCE!$H$53</f>
        <v>#DIV/0!</v>
      </c>
    </row>
    <row r="17" spans="1:4">
      <c r="A17" s="565">
        <v>7</v>
      </c>
      <c r="B17" s="534"/>
      <c r="C17" s="561"/>
      <c r="D17" s="569" t="e">
        <f>+C17/BALANCE!$H$53</f>
        <v>#DIV/0!</v>
      </c>
    </row>
    <row r="18" spans="1:4">
      <c r="A18" s="565">
        <v>8</v>
      </c>
      <c r="B18" s="534"/>
      <c r="C18" s="561"/>
      <c r="D18" s="569" t="e">
        <f>+C18/BALANCE!$H$53</f>
        <v>#DIV/0!</v>
      </c>
    </row>
    <row r="19" spans="1:4">
      <c r="A19" s="565">
        <v>9</v>
      </c>
      <c r="B19" s="534"/>
      <c r="C19" s="561"/>
      <c r="D19" s="569" t="e">
        <f>+C19/BALANCE!$H$53</f>
        <v>#DIV/0!</v>
      </c>
    </row>
    <row r="20" spans="1:4">
      <c r="A20" s="565">
        <v>10</v>
      </c>
      <c r="B20" s="534"/>
      <c r="C20" s="561"/>
      <c r="D20" s="569" t="e">
        <f>+C20/BALANCE!$H$53</f>
        <v>#DIV/0!</v>
      </c>
    </row>
    <row r="21" spans="1:4">
      <c r="A21" s="565">
        <v>11</v>
      </c>
      <c r="B21" s="534"/>
      <c r="C21" s="561"/>
      <c r="D21" s="569" t="e">
        <f>+C21/BALANCE!$H$53</f>
        <v>#DIV/0!</v>
      </c>
    </row>
    <row r="22" spans="1:4">
      <c r="A22" s="565">
        <v>12</v>
      </c>
      <c r="B22" s="534"/>
      <c r="C22" s="561"/>
      <c r="D22" s="569" t="e">
        <f>+C22/BALANCE!$H$53</f>
        <v>#DIV/0!</v>
      </c>
    </row>
    <row r="23" spans="1:4">
      <c r="A23" s="565">
        <v>13</v>
      </c>
      <c r="B23" s="534"/>
      <c r="C23" s="561"/>
      <c r="D23" s="569" t="e">
        <f>+C23/BALANCE!$H$53</f>
        <v>#DIV/0!</v>
      </c>
    </row>
    <row r="24" spans="1:4">
      <c r="A24" s="565">
        <v>14</v>
      </c>
      <c r="B24" s="534"/>
      <c r="C24" s="561"/>
      <c r="D24" s="569" t="e">
        <f>+C24/BALANCE!$H$53</f>
        <v>#DIV/0!</v>
      </c>
    </row>
    <row r="25" spans="1:4">
      <c r="A25" s="565">
        <v>15</v>
      </c>
      <c r="B25" s="534"/>
      <c r="C25" s="561"/>
      <c r="D25" s="569" t="e">
        <f>+C25/BALANCE!$H$53</f>
        <v>#DIV/0!</v>
      </c>
    </row>
    <row r="26" spans="1:4">
      <c r="A26" s="565">
        <v>16</v>
      </c>
      <c r="B26" s="534"/>
      <c r="C26" s="561"/>
      <c r="D26" s="569" t="e">
        <f>+C26/BALANCE!$H$53</f>
        <v>#DIV/0!</v>
      </c>
    </row>
    <row r="27" spans="1:4">
      <c r="A27" s="565">
        <v>17</v>
      </c>
      <c r="B27" s="534"/>
      <c r="C27" s="561"/>
      <c r="D27" s="569" t="e">
        <f>+C27/BALANCE!$H$53</f>
        <v>#DIV/0!</v>
      </c>
    </row>
    <row r="28" spans="1:4">
      <c r="A28" s="565">
        <v>18</v>
      </c>
      <c r="B28" s="534"/>
      <c r="C28" s="561"/>
      <c r="D28" s="569" t="e">
        <f>+C28/BALANCE!$H$53</f>
        <v>#DIV/0!</v>
      </c>
    </row>
    <row r="29" spans="1:4">
      <c r="A29" s="565">
        <v>19</v>
      </c>
      <c r="B29" s="534"/>
      <c r="C29" s="561"/>
      <c r="D29" s="569" t="e">
        <f>+C29/BALANCE!$H$53</f>
        <v>#DIV/0!</v>
      </c>
    </row>
    <row r="30" spans="1:4">
      <c r="A30" s="565">
        <v>20</v>
      </c>
      <c r="B30" s="534"/>
      <c r="C30" s="561"/>
      <c r="D30" s="569" t="e">
        <f>+C30/BALANCE!$H$53</f>
        <v>#DIV/0!</v>
      </c>
    </row>
    <row r="31" spans="1:4">
      <c r="A31" s="565">
        <v>21</v>
      </c>
      <c r="B31" s="534"/>
      <c r="C31" s="561"/>
      <c r="D31" s="569" t="e">
        <f>+C31/BALANCE!$H$53</f>
        <v>#DIV/0!</v>
      </c>
    </row>
    <row r="32" spans="1:4">
      <c r="A32" s="566">
        <v>22</v>
      </c>
      <c r="B32" s="534"/>
      <c r="C32" s="561"/>
      <c r="D32" s="569" t="e">
        <f>+C32/BALANCE!$H$53</f>
        <v>#DIV/0!</v>
      </c>
    </row>
    <row r="33" spans="1:4">
      <c r="A33" s="565">
        <v>23</v>
      </c>
      <c r="B33" s="534"/>
      <c r="C33" s="561"/>
      <c r="D33" s="569" t="e">
        <f>+C33/BALANCE!$H$53</f>
        <v>#DIV/0!</v>
      </c>
    </row>
    <row r="34" spans="1:4">
      <c r="A34" s="566">
        <v>24</v>
      </c>
      <c r="B34" s="534"/>
      <c r="C34" s="561"/>
      <c r="D34" s="569" t="e">
        <f>+C34/BALANCE!$H$53</f>
        <v>#DIV/0!</v>
      </c>
    </row>
    <row r="35" spans="1:4">
      <c r="A35" s="565">
        <v>25</v>
      </c>
      <c r="B35" s="534"/>
      <c r="C35" s="561"/>
      <c r="D35" s="569" t="e">
        <f>+C35/BALANCE!$H$53</f>
        <v>#DIV/0!</v>
      </c>
    </row>
    <row r="36" spans="1:4">
      <c r="A36" s="566">
        <v>26</v>
      </c>
      <c r="B36" s="534"/>
      <c r="C36" s="561"/>
      <c r="D36" s="569" t="e">
        <f>+C36/BALANCE!$H$53</f>
        <v>#DIV/0!</v>
      </c>
    </row>
    <row r="37" spans="1:4">
      <c r="A37" s="565">
        <v>27</v>
      </c>
      <c r="B37" s="534"/>
      <c r="C37" s="561"/>
      <c r="D37" s="569" t="e">
        <f>+C37/BALANCE!$H$53</f>
        <v>#DIV/0!</v>
      </c>
    </row>
    <row r="38" spans="1:4">
      <c r="A38" s="566">
        <v>28</v>
      </c>
      <c r="B38" s="534"/>
      <c r="C38" s="561"/>
      <c r="D38" s="569" t="e">
        <f>+C38/BALANCE!$H$53</f>
        <v>#DIV/0!</v>
      </c>
    </row>
    <row r="39" spans="1:4">
      <c r="A39" s="565">
        <v>29</v>
      </c>
      <c r="B39" s="534"/>
      <c r="C39" s="561"/>
      <c r="D39" s="569" t="e">
        <f>+C39/BALANCE!$H$53</f>
        <v>#DIV/0!</v>
      </c>
    </row>
    <row r="40" spans="1:4">
      <c r="A40" s="566">
        <v>30</v>
      </c>
      <c r="B40" s="534"/>
      <c r="C40" s="561"/>
      <c r="D40" s="569" t="e">
        <f>+C40/BALANCE!$H$53</f>
        <v>#DIV/0!</v>
      </c>
    </row>
    <row r="41" spans="1:4">
      <c r="A41" s="565">
        <v>31</v>
      </c>
      <c r="B41" s="534"/>
      <c r="C41" s="561"/>
      <c r="D41" s="569" t="e">
        <f>+C41/BALANCE!$H$53</f>
        <v>#DIV/0!</v>
      </c>
    </row>
    <row r="42" spans="1:4">
      <c r="A42" s="566">
        <v>32</v>
      </c>
      <c r="B42" s="534"/>
      <c r="C42" s="561"/>
      <c r="D42" s="569" t="e">
        <f>+C42/BALANCE!$H$53</f>
        <v>#DIV/0!</v>
      </c>
    </row>
    <row r="43" spans="1:4">
      <c r="A43" s="565">
        <v>33</v>
      </c>
      <c r="B43" s="534"/>
      <c r="C43" s="561"/>
      <c r="D43" s="569" t="e">
        <f>+C43/BALANCE!$H$53</f>
        <v>#DIV/0!</v>
      </c>
    </row>
    <row r="44" spans="1:4">
      <c r="A44" s="566">
        <v>34</v>
      </c>
      <c r="B44" s="534"/>
      <c r="C44" s="561"/>
      <c r="D44" s="569" t="e">
        <f>+C44/BALANCE!$H$53</f>
        <v>#DIV/0!</v>
      </c>
    </row>
    <row r="45" spans="1:4">
      <c r="A45" s="565">
        <v>35</v>
      </c>
      <c r="B45" s="534"/>
      <c r="C45" s="561"/>
      <c r="D45" s="569" t="e">
        <f>+C45/BALANCE!$H$53</f>
        <v>#DIV/0!</v>
      </c>
    </row>
    <row r="46" spans="1:4">
      <c r="A46" s="566">
        <v>36</v>
      </c>
      <c r="B46" s="534"/>
      <c r="C46" s="561"/>
      <c r="D46" s="569" t="e">
        <f>+C46/BALANCE!$H$53</f>
        <v>#DIV/0!</v>
      </c>
    </row>
    <row r="47" spans="1:4">
      <c r="A47" s="565">
        <v>37</v>
      </c>
      <c r="B47" s="534"/>
      <c r="C47" s="561"/>
      <c r="D47" s="569" t="e">
        <f>+C47/BALANCE!$H$53</f>
        <v>#DIV/0!</v>
      </c>
    </row>
    <row r="48" spans="1:4">
      <c r="A48" s="566">
        <v>38</v>
      </c>
      <c r="B48" s="534"/>
      <c r="C48" s="561"/>
      <c r="D48" s="569" t="e">
        <f>+C48/BALANCE!$H$53</f>
        <v>#DIV/0!</v>
      </c>
    </row>
    <row r="49" spans="1:4">
      <c r="A49" s="565">
        <v>39</v>
      </c>
      <c r="B49" s="534"/>
      <c r="C49" s="561"/>
      <c r="D49" s="569" t="e">
        <f>+C49/BALANCE!$H$53</f>
        <v>#DIV/0!</v>
      </c>
    </row>
    <row r="50" spans="1:4" ht="13.5" thickBot="1">
      <c r="A50" s="565">
        <v>40</v>
      </c>
      <c r="B50" s="562"/>
      <c r="C50" s="563"/>
      <c r="D50" s="569" t="e">
        <f>+C50/BALANCE!$H$53</f>
        <v>#DIV/0!</v>
      </c>
    </row>
    <row r="51" spans="1:4" ht="15" customHeight="1" thickBot="1">
      <c r="A51" s="1179" t="s">
        <v>566</v>
      </c>
      <c r="B51" s="1170"/>
      <c r="C51" s="570">
        <f>SUM(C11:C50)</f>
        <v>0</v>
      </c>
      <c r="D51" s="557" t="e">
        <f>SUM(D11:D50)</f>
        <v>#DIV/0!</v>
      </c>
    </row>
    <row r="52" spans="1:4">
      <c r="B52" s="571" t="s">
        <v>586</v>
      </c>
      <c r="C52" s="572">
        <f t="shared" ref="C52" si="0">MAX(C11:C30)</f>
        <v>0</v>
      </c>
      <c r="D52" s="573" t="e">
        <f>MAX(D11:D50)</f>
        <v>#DIV/0!</v>
      </c>
    </row>
    <row r="53" spans="1:4">
      <c r="A53" s="310"/>
      <c r="B53" s="310"/>
      <c r="C53" s="310"/>
    </row>
    <row r="54" spans="1:4">
      <c r="A54" s="310"/>
      <c r="B54" s="310" t="s">
        <v>585</v>
      </c>
      <c r="C54" s="310"/>
      <c r="D54" s="574" t="str">
        <f>IF(C51&lt;=BALANCESHEET!G36,"","Балансийн дүнтэй зөрүүтэй байна")</f>
        <v/>
      </c>
    </row>
    <row r="55" spans="1:4">
      <c r="A55" s="310"/>
      <c r="B55" s="310"/>
      <c r="C55" s="310"/>
      <c r="D55" s="310"/>
    </row>
    <row r="56" spans="1:4">
      <c r="A56" s="997" t="s">
        <v>232</v>
      </c>
      <c r="B56" s="997"/>
      <c r="C56" s="997"/>
      <c r="D56" s="997"/>
    </row>
    <row r="57" spans="1:4">
      <c r="A57" s="1054" t="s">
        <v>233</v>
      </c>
      <c r="B57" s="1054"/>
      <c r="C57" s="1054"/>
      <c r="D57" s="1054"/>
    </row>
    <row r="58" spans="1:4">
      <c r="A58" s="310"/>
      <c r="B58" s="310"/>
      <c r="C58" s="310"/>
      <c r="D58" s="310"/>
    </row>
    <row r="59" spans="1:4">
      <c r="A59" s="310"/>
      <c r="B59" s="234" t="s">
        <v>234</v>
      </c>
      <c r="C59" s="310" t="str">
        <f>+STATISTICS!C94</f>
        <v>/Нэр/</v>
      </c>
      <c r="D59" s="310"/>
    </row>
    <row r="60" spans="1:4">
      <c r="A60" s="310"/>
      <c r="B60" s="235"/>
      <c r="C60" s="310"/>
      <c r="D60" s="310"/>
    </row>
    <row r="61" spans="1:4">
      <c r="A61" s="310"/>
      <c r="B61" s="234" t="s">
        <v>236</v>
      </c>
      <c r="C61" s="310" t="str">
        <f>+STATISTICS!C96</f>
        <v>/Нэр/</v>
      </c>
      <c r="D61" s="310"/>
    </row>
    <row r="62" spans="1:4">
      <c r="A62" s="310"/>
      <c r="B62" s="310"/>
      <c r="C62" s="310"/>
      <c r="D62" s="310"/>
    </row>
  </sheetData>
  <sheetProtection algorithmName="SHA-512" hashValue="j8ALwbmTy9c3gIgRSCywBE+tO84ogro/mGdld0xJpIMEr17y7jZWM+Qd43wt2Ab/6E6py9daSWW8MAppBwMf5A==" saltValue="UyNlA4kOsNCqGZt6/ZlWFA==" spinCount="100000" sheet="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4" workbookViewId="0">
      <selection activeCell="G26" sqref="G26"/>
    </sheetView>
  </sheetViews>
  <sheetFormatPr defaultRowHeight="12.75"/>
  <cols>
    <col min="1" max="1" width="2" style="136" bestFit="1" customWidth="1"/>
    <col min="2" max="2" width="39.85546875" style="136" customWidth="1"/>
    <col min="3" max="3" width="11.85546875" style="136" bestFit="1" customWidth="1"/>
    <col min="4" max="11" width="17.7109375" style="136" customWidth="1"/>
    <col min="12" max="12" width="22.7109375" style="136" customWidth="1"/>
    <col min="13" max="13" width="9.140625" style="136"/>
    <col min="14" max="16384" width="9.140625" style="79"/>
  </cols>
  <sheetData>
    <row r="1" spans="1:13">
      <c r="A1" s="575"/>
      <c r="B1" s="575"/>
      <c r="C1" s="576"/>
      <c r="D1" s="576"/>
      <c r="E1" s="576"/>
      <c r="F1" s="576"/>
      <c r="G1" s="577"/>
      <c r="H1" s="578"/>
      <c r="I1" s="578"/>
      <c r="J1" s="578"/>
      <c r="K1" s="137" t="s">
        <v>749</v>
      </c>
    </row>
    <row r="2" spans="1:13">
      <c r="A2" s="575"/>
      <c r="B2" s="575"/>
      <c r="C2" s="576"/>
      <c r="D2" s="576"/>
      <c r="E2" s="576"/>
      <c r="F2" s="577"/>
      <c r="G2" s="579"/>
      <c r="H2" s="580"/>
      <c r="I2" s="575"/>
      <c r="J2" s="575"/>
      <c r="K2" s="137" t="s">
        <v>756</v>
      </c>
    </row>
    <row r="3" spans="1:13">
      <c r="A3" s="575"/>
      <c r="B3" s="575"/>
      <c r="C3" s="576"/>
      <c r="D3" s="576"/>
      <c r="E3" s="576"/>
      <c r="F3" s="576"/>
      <c r="G3" s="576"/>
      <c r="H3" s="581"/>
      <c r="I3" s="581"/>
      <c r="J3" s="581"/>
      <c r="K3" s="581"/>
    </row>
    <row r="4" spans="1:13">
      <c r="A4" s="1186" t="s">
        <v>588</v>
      </c>
      <c r="B4" s="1036"/>
      <c r="C4" s="1036"/>
      <c r="D4" s="1036"/>
      <c r="E4" s="1036"/>
      <c r="F4" s="1036"/>
      <c r="G4" s="1036"/>
      <c r="H4" s="1036"/>
      <c r="I4" s="1036"/>
      <c r="J4" s="1036"/>
      <c r="K4" s="1036"/>
    </row>
    <row r="5" spans="1:13">
      <c r="A5" s="1187" t="str">
        <f>+STATISTICS!A4</f>
        <v>ХАДГАЛАМЖ, ЗЭЭЛИЙН ХОРШООНЫ НЭР</v>
      </c>
      <c r="B5" s="1188"/>
      <c r="C5" s="1188"/>
      <c r="D5" s="1188"/>
      <c r="E5" s="1188"/>
      <c r="F5" s="1188"/>
      <c r="G5" s="1188"/>
      <c r="H5" s="1188"/>
      <c r="I5" s="1188"/>
      <c r="J5" s="1188"/>
      <c r="K5" s="1188"/>
    </row>
    <row r="6" spans="1:13">
      <c r="A6" s="1189" t="s">
        <v>4</v>
      </c>
      <c r="B6" s="1188"/>
      <c r="C6" s="1188"/>
      <c r="D6" s="1188"/>
      <c r="E6" s="1188"/>
      <c r="F6" s="1188"/>
      <c r="G6" s="1188"/>
      <c r="H6" s="1188"/>
      <c r="I6" s="1188"/>
      <c r="J6" s="1188"/>
      <c r="K6" s="1188"/>
    </row>
    <row r="7" spans="1:13">
      <c r="A7" s="582"/>
      <c r="B7" s="582"/>
      <c r="C7" s="583"/>
      <c r="D7" s="583"/>
      <c r="E7" s="583"/>
      <c r="F7" s="583"/>
      <c r="G7" s="583"/>
      <c r="H7" s="583"/>
      <c r="I7" s="583"/>
      <c r="J7" s="583"/>
      <c r="K7" s="583"/>
    </row>
    <row r="8" spans="1:13" ht="13.5" thickBot="1">
      <c r="A8" s="1190" t="str">
        <f>+STATISTICS!A7</f>
        <v>Огноо</v>
      </c>
      <c r="B8" s="1191"/>
      <c r="C8" s="584"/>
      <c r="D8" s="584"/>
      <c r="E8" s="583"/>
      <c r="F8" s="583"/>
      <c r="G8" s="583"/>
      <c r="H8" s="583"/>
      <c r="I8" s="583"/>
      <c r="J8" s="583"/>
      <c r="K8" s="390" t="s">
        <v>5</v>
      </c>
    </row>
    <row r="9" spans="1:13" ht="13.5" thickBot="1">
      <c r="A9" s="1192" t="s">
        <v>610</v>
      </c>
      <c r="B9" s="1193"/>
      <c r="C9" s="585" t="s">
        <v>291</v>
      </c>
      <c r="D9" s="586" t="s">
        <v>590</v>
      </c>
      <c r="E9" s="587" t="s">
        <v>591</v>
      </c>
      <c r="F9" s="587" t="s">
        <v>592</v>
      </c>
      <c r="G9" s="587" t="s">
        <v>593</v>
      </c>
      <c r="H9" s="587" t="s">
        <v>594</v>
      </c>
      <c r="I9" s="587" t="s">
        <v>595</v>
      </c>
      <c r="J9" s="587" t="s">
        <v>596</v>
      </c>
      <c r="K9" s="588" t="s">
        <v>509</v>
      </c>
    </row>
    <row r="10" spans="1:13" ht="15.75" customHeight="1" thickBot="1">
      <c r="A10" s="1198" t="s">
        <v>589</v>
      </c>
      <c r="B10" s="1199"/>
      <c r="C10" s="1199"/>
      <c r="D10" s="1199"/>
      <c r="E10" s="1199"/>
      <c r="F10" s="1199"/>
      <c r="G10" s="1199"/>
      <c r="H10" s="1199"/>
      <c r="I10" s="1199"/>
      <c r="J10" s="1199"/>
      <c r="K10" s="1200"/>
    </row>
    <row r="11" spans="1:13" ht="15" customHeight="1">
      <c r="A11" s="589">
        <v>1</v>
      </c>
      <c r="B11" s="590" t="s">
        <v>14</v>
      </c>
      <c r="C11" s="784">
        <f>+BALANCESHEET!C12</f>
        <v>0</v>
      </c>
      <c r="D11" s="1194" t="s">
        <v>779</v>
      </c>
      <c r="E11" s="1194"/>
      <c r="F11" s="1194"/>
      <c r="G11" s="1194"/>
      <c r="H11" s="1194"/>
      <c r="I11" s="1194"/>
      <c r="J11" s="1195"/>
      <c r="K11" s="785">
        <f>SUM(C11,D11,E11,F11,G11,H11,I11,J11)</f>
        <v>0</v>
      </c>
      <c r="L11" s="591" t="str">
        <f>IF((K11=BALANCESHEET!C12),"","Балансын дүнгээс "&amp;K11-BALANCESHEET!C12&amp;"-ээр зөрүүтэй байна")</f>
        <v/>
      </c>
    </row>
    <row r="12" spans="1:13">
      <c r="A12" s="592">
        <v>2</v>
      </c>
      <c r="B12" s="593" t="s">
        <v>18</v>
      </c>
      <c r="C12" s="786">
        <f>+BALANCESHEET!C13</f>
        <v>0</v>
      </c>
      <c r="D12" s="1196"/>
      <c r="E12" s="1196"/>
      <c r="F12" s="1196"/>
      <c r="G12" s="1196"/>
      <c r="H12" s="1196"/>
      <c r="I12" s="1196"/>
      <c r="J12" s="1197"/>
      <c r="K12" s="787">
        <f>SUM(C12,D12,E12,F12,G12,H12,I12,J12)</f>
        <v>0</v>
      </c>
      <c r="L12" s="591" t="str">
        <f>IF((K12=BALANCESHEET!C13),"","Балансын дүнгээс "&amp;K12-BALANCESHEET!C13&amp;"-ээр зөрүүтэй байна")</f>
        <v/>
      </c>
    </row>
    <row r="13" spans="1:13">
      <c r="A13" s="594">
        <v>3</v>
      </c>
      <c r="B13" s="593" t="s">
        <v>23</v>
      </c>
      <c r="C13" s="786">
        <f>+BALANCE!D19</f>
        <v>0</v>
      </c>
      <c r="D13" s="788"/>
      <c r="E13" s="789"/>
      <c r="F13" s="789"/>
      <c r="G13" s="789"/>
      <c r="H13" s="789"/>
      <c r="I13" s="789"/>
      <c r="J13" s="789"/>
      <c r="K13" s="787">
        <f>SUM(C13,D13,E13,F13,G13,H13,I13,J13)</f>
        <v>0</v>
      </c>
      <c r="L13" s="591" t="str">
        <f>IF((K13=BALANCESHEET!C14),"","Балансын дүнгээс "&amp;K13-BALANCESHEET!C14&amp;"-ээр зөрүүтэй байна")</f>
        <v/>
      </c>
    </row>
    <row r="14" spans="1:13">
      <c r="A14" s="592">
        <v>4</v>
      </c>
      <c r="B14" s="595" t="s">
        <v>597</v>
      </c>
      <c r="C14" s="596" t="s">
        <v>779</v>
      </c>
      <c r="D14" s="788"/>
      <c r="E14" s="789"/>
      <c r="F14" s="789"/>
      <c r="G14" s="789"/>
      <c r="H14" s="789"/>
      <c r="I14" s="789"/>
      <c r="J14" s="789"/>
      <c r="K14" s="790">
        <f>SUM(C14,D14,E14,F14,G14,H14,I14,J14)</f>
        <v>0</v>
      </c>
      <c r="L14" s="591" t="str">
        <f>IF((K14=BALANCESHEET!C18),"","Балансын дүнгээс "&amp;K14-BALANCESHEET!C18&amp;"-ээр зөрүүтэй байна")</f>
        <v/>
      </c>
    </row>
    <row r="15" spans="1:13" ht="13.5" thickBot="1">
      <c r="A15" s="597">
        <v>5</v>
      </c>
      <c r="B15" s="598" t="s">
        <v>598</v>
      </c>
      <c r="C15" s="900"/>
      <c r="D15" s="788"/>
      <c r="E15" s="788"/>
      <c r="F15" s="788"/>
      <c r="G15" s="788"/>
      <c r="H15" s="788"/>
      <c r="I15" s="788"/>
      <c r="J15" s="788"/>
      <c r="K15" s="791">
        <f>SUM(C15,D15,E15,F15,G15,H15,I15,J15)</f>
        <v>0</v>
      </c>
      <c r="L15" s="591" t="str">
        <f>IF((K15=BALANCESHEET!C15+BALANCESHEET!C26+BALANCESHEET!C35+BALANCESHEET!C36),"","Балансын дүнгээс "&amp;K15-BALANCESHEET!C15-BALANCESHEET!C26-BALANCESHEET!C35-BALANCESHEET!C36&amp;"-ээр зөрүүтэй байна")</f>
        <v/>
      </c>
    </row>
    <row r="16" spans="1:13" ht="15" customHeight="1" thickBot="1">
      <c r="A16" s="1207" t="s">
        <v>599</v>
      </c>
      <c r="B16" s="1208"/>
      <c r="C16" s="792">
        <f>SUM(C11:C15)</f>
        <v>0</v>
      </c>
      <c r="D16" s="793">
        <f>SUM(D13:D15)</f>
        <v>0</v>
      </c>
      <c r="E16" s="793">
        <f t="shared" ref="E16:J16" si="0">SUM(E13:E15)</f>
        <v>0</v>
      </c>
      <c r="F16" s="793">
        <f t="shared" si="0"/>
        <v>0</v>
      </c>
      <c r="G16" s="793">
        <f t="shared" si="0"/>
        <v>0</v>
      </c>
      <c r="H16" s="793">
        <f t="shared" si="0"/>
        <v>0</v>
      </c>
      <c r="I16" s="793">
        <f t="shared" si="0"/>
        <v>0</v>
      </c>
      <c r="J16" s="793">
        <f t="shared" si="0"/>
        <v>0</v>
      </c>
      <c r="K16" s="794">
        <f>SUM(K11:K15)</f>
        <v>0</v>
      </c>
      <c r="L16" s="591" t="str">
        <f>IF((K16=BALANCESHEET!C10+BALANCESHEET!C25-BALANCESHEET!C29+BALANCESHEET!C35),"","Балансын дүнгээс "&amp;K16-(BALANCESHEET!C10+BALANCESHEET!C25-BALANCESHEET!C29+BALANCESHEET!C35)&amp;"-ээр зөрүүтэй байна")</f>
        <v/>
      </c>
      <c r="M16" s="529"/>
    </row>
    <row r="17" spans="1:12" ht="15" customHeight="1" thickBot="1">
      <c r="A17" s="1209" t="s">
        <v>600</v>
      </c>
      <c r="B17" s="1210"/>
      <c r="C17" s="1210"/>
      <c r="D17" s="1210"/>
      <c r="E17" s="1210"/>
      <c r="F17" s="1210"/>
      <c r="G17" s="1210"/>
      <c r="H17" s="1210"/>
      <c r="I17" s="1210"/>
      <c r="J17" s="1210"/>
      <c r="K17" s="1211"/>
      <c r="L17" s="591"/>
    </row>
    <row r="18" spans="1:12">
      <c r="A18" s="594">
        <v>1</v>
      </c>
      <c r="B18" s="599" t="s">
        <v>601</v>
      </c>
      <c r="C18" s="784">
        <f>+BALANCESHEET!G12</f>
        <v>0</v>
      </c>
      <c r="D18" s="796"/>
      <c r="E18" s="797"/>
      <c r="F18" s="797"/>
      <c r="G18" s="797"/>
      <c r="H18" s="797"/>
      <c r="I18" s="797"/>
      <c r="J18" s="797"/>
      <c r="K18" s="787">
        <f t="shared" ref="K18:K23" si="1">SUM(C18,D18,E18,F18,G18,H18,I18,J18)</f>
        <v>0</v>
      </c>
      <c r="L18" s="591" t="str">
        <f>IF((K18=BALANCESHEET!G11),"","Балансын дүнгээс "&amp;K18-BALANCESHEET!G11&amp;"-ээр зөрүүтэй байна")</f>
        <v/>
      </c>
    </row>
    <row r="19" spans="1:12">
      <c r="A19" s="592">
        <v>2</v>
      </c>
      <c r="B19" s="600" t="s">
        <v>294</v>
      </c>
      <c r="C19" s="596" t="s">
        <v>779</v>
      </c>
      <c r="D19" s="788"/>
      <c r="E19" s="789"/>
      <c r="F19" s="789"/>
      <c r="G19" s="789"/>
      <c r="H19" s="789"/>
      <c r="I19" s="789"/>
      <c r="J19" s="789"/>
      <c r="K19" s="790">
        <f t="shared" si="1"/>
        <v>0</v>
      </c>
      <c r="L19" s="591" t="str">
        <f>IF((K19=BALANCESHEET!G15+BALANCESHEET!G30),"","Балансын дүнгээс "&amp;K19-BALANCESHEET!G15-BALANCESHEET!G30&amp;"-ээр зөрүүтэй байна")</f>
        <v/>
      </c>
    </row>
    <row r="20" spans="1:12">
      <c r="A20" s="592">
        <v>3</v>
      </c>
      <c r="B20" s="600" t="s">
        <v>602</v>
      </c>
      <c r="C20" s="596" t="s">
        <v>779</v>
      </c>
      <c r="D20" s="788"/>
      <c r="E20" s="789"/>
      <c r="F20" s="789"/>
      <c r="G20" s="789"/>
      <c r="H20" s="789"/>
      <c r="I20" s="789"/>
      <c r="J20" s="789"/>
      <c r="K20" s="790">
        <f t="shared" si="1"/>
        <v>0</v>
      </c>
      <c r="L20" s="591" t="str">
        <f>IF((K20=BALANCESHEET!G16+BALANCESHEET!G31),"","Балансын дүнгээс "&amp;K20-BALANCESHEET!G16-BALANCESHEET!G31&amp;"-ээр зөрүүтэй байна")</f>
        <v/>
      </c>
    </row>
    <row r="21" spans="1:12">
      <c r="A21" s="592">
        <v>4</v>
      </c>
      <c r="B21" s="600" t="s">
        <v>603</v>
      </c>
      <c r="C21" s="596" t="s">
        <v>779</v>
      </c>
      <c r="D21" s="788"/>
      <c r="E21" s="789"/>
      <c r="F21" s="789"/>
      <c r="G21" s="789"/>
      <c r="H21" s="789"/>
      <c r="I21" s="789"/>
      <c r="J21" s="788"/>
      <c r="K21" s="790">
        <f t="shared" si="1"/>
        <v>0</v>
      </c>
      <c r="L21" s="591" t="str">
        <f>IF((K21=BALANCESHEET!G17+BALANCESHEET!G32),"","Балансын дүнгээс "&amp;K21-BALANCESHEET!G17-BALANCESHEET!G32&amp;"-ээр зөрүүтэй байна")</f>
        <v/>
      </c>
    </row>
    <row r="22" spans="1:12">
      <c r="A22" s="592">
        <v>5</v>
      </c>
      <c r="B22" s="600" t="s">
        <v>30</v>
      </c>
      <c r="C22" s="596" t="s">
        <v>779</v>
      </c>
      <c r="D22" s="788"/>
      <c r="E22" s="789"/>
      <c r="F22" s="789"/>
      <c r="G22" s="789"/>
      <c r="H22" s="789"/>
      <c r="I22" s="789"/>
      <c r="J22" s="789"/>
      <c r="K22" s="790">
        <f t="shared" si="1"/>
        <v>0</v>
      </c>
      <c r="L22" s="591" t="str">
        <f>IF((K22=BALANCESHEET!G18+BALANCESHEET!G33),"","Балансын дүнгээс "&amp;K22-BALANCESHEET!G18-BALANCESHEET!G33&amp;"-ээр зөрүүтэй байна")</f>
        <v/>
      </c>
    </row>
    <row r="23" spans="1:12" ht="13.5" thickBot="1">
      <c r="A23" s="597">
        <v>6</v>
      </c>
      <c r="B23" s="598" t="s">
        <v>598</v>
      </c>
      <c r="C23" s="901"/>
      <c r="D23" s="788"/>
      <c r="E23" s="788"/>
      <c r="F23" s="788"/>
      <c r="G23" s="788"/>
      <c r="H23" s="788"/>
      <c r="I23" s="788"/>
      <c r="J23" s="788"/>
      <c r="K23" s="791">
        <f t="shared" si="1"/>
        <v>0</v>
      </c>
      <c r="L23" s="591" t="str">
        <f>IF((K23=BALANCESHEET!G19+BALANCESHEET!G34),"","Балансын дүнгээс "&amp;K23-BALANCESHEET!G19-BALANCESHEET!G34&amp;"-ээр зөрүүтэй байна")</f>
        <v/>
      </c>
    </row>
    <row r="24" spans="1:12" ht="15" customHeight="1" thickBot="1">
      <c r="A24" s="1207" t="s">
        <v>604</v>
      </c>
      <c r="B24" s="1208"/>
      <c r="C24" s="792">
        <f>SUM(C18:C23)</f>
        <v>0</v>
      </c>
      <c r="D24" s="880">
        <f t="shared" ref="D24:K24" si="2">SUM(D18:D23)</f>
        <v>0</v>
      </c>
      <c r="E24" s="798">
        <f t="shared" si="2"/>
        <v>0</v>
      </c>
      <c r="F24" s="798">
        <f t="shared" si="2"/>
        <v>0</v>
      </c>
      <c r="G24" s="798">
        <f t="shared" si="2"/>
        <v>0</v>
      </c>
      <c r="H24" s="798">
        <f t="shared" si="2"/>
        <v>0</v>
      </c>
      <c r="I24" s="798">
        <f t="shared" si="2"/>
        <v>0</v>
      </c>
      <c r="J24" s="798">
        <f t="shared" si="2"/>
        <v>0</v>
      </c>
      <c r="K24" s="794">
        <f t="shared" si="2"/>
        <v>0</v>
      </c>
      <c r="L24" s="591" t="str">
        <f>IF((K24=BALANCESHEET!G10),"","Балансын дүнгээс "&amp;K24-BALANCESHEET!G10&amp;"-ээр зөрүүтэй байна")</f>
        <v/>
      </c>
    </row>
    <row r="25" spans="1:12">
      <c r="A25" s="1201" t="s">
        <v>605</v>
      </c>
      <c r="B25" s="1202"/>
      <c r="C25" s="795">
        <f t="shared" ref="C25:K25" si="3">C16-C24</f>
        <v>0</v>
      </c>
      <c r="D25" s="881">
        <f t="shared" si="3"/>
        <v>0</v>
      </c>
      <c r="E25" s="799">
        <f t="shared" si="3"/>
        <v>0</v>
      </c>
      <c r="F25" s="799">
        <f t="shared" si="3"/>
        <v>0</v>
      </c>
      <c r="G25" s="799">
        <f t="shared" si="3"/>
        <v>0</v>
      </c>
      <c r="H25" s="799">
        <f t="shared" si="3"/>
        <v>0</v>
      </c>
      <c r="I25" s="799">
        <f t="shared" si="3"/>
        <v>0</v>
      </c>
      <c r="J25" s="799">
        <f>J16-J24</f>
        <v>0</v>
      </c>
      <c r="K25" s="787">
        <f t="shared" si="3"/>
        <v>0</v>
      </c>
      <c r="L25" s="591"/>
    </row>
    <row r="26" spans="1:12">
      <c r="A26" s="1203" t="s">
        <v>606</v>
      </c>
      <c r="B26" s="1204"/>
      <c r="C26" s="786">
        <f>C25</f>
        <v>0</v>
      </c>
      <c r="D26" s="800">
        <f>SUM(C25:D25)</f>
        <v>0</v>
      </c>
      <c r="E26" s="801">
        <f>SUM(C25:E25)</f>
        <v>0</v>
      </c>
      <c r="F26" s="801">
        <f>SUM(C25:F25)</f>
        <v>0</v>
      </c>
      <c r="G26" s="801">
        <f>SUM(C25:G25)</f>
        <v>0</v>
      </c>
      <c r="H26" s="801">
        <f>SUM(C25:H25)</f>
        <v>0</v>
      </c>
      <c r="I26" s="801">
        <f>SUM(C25:I25)</f>
        <v>0</v>
      </c>
      <c r="J26" s="801">
        <f>SUM(C25:J25)</f>
        <v>0</v>
      </c>
      <c r="K26" s="802">
        <f>K25</f>
        <v>0</v>
      </c>
      <c r="L26" s="591"/>
    </row>
    <row r="27" spans="1:12" ht="27.75" customHeight="1" thickBot="1">
      <c r="A27" s="1205" t="s">
        <v>607</v>
      </c>
      <c r="B27" s="1206"/>
      <c r="C27" s="882" t="e">
        <f>+C26/BALANCESHEET!G51</f>
        <v>#DIV/0!</v>
      </c>
      <c r="D27" s="883" t="e">
        <f>+D26/BALANCESHEET!G51</f>
        <v>#DIV/0!</v>
      </c>
      <c r="E27" s="884" t="e">
        <f>+E26/BALANCESHEET!G51</f>
        <v>#DIV/0!</v>
      </c>
      <c r="F27" s="884" t="e">
        <f>+F26/BALANCESHEET!G51</f>
        <v>#DIV/0!</v>
      </c>
      <c r="G27" s="885" t="e">
        <f>+G26/BALANCESHEET!G51</f>
        <v>#DIV/0!</v>
      </c>
      <c r="H27" s="885" t="e">
        <f>+H26/BALANCESHEET!G51</f>
        <v>#DIV/0!</v>
      </c>
      <c r="I27" s="885" t="e">
        <f>+I26/BALANCESHEET!G51</f>
        <v>#DIV/0!</v>
      </c>
      <c r="J27" s="885" t="e">
        <f>+J26/BALANCESHEET!G51</f>
        <v>#DIV/0!</v>
      </c>
      <c r="K27" s="886" t="e">
        <f>+K26/BALANCESHEET!G51</f>
        <v>#DIV/0!</v>
      </c>
      <c r="L27" s="591"/>
    </row>
    <row r="28" spans="1:12">
      <c r="A28" s="601"/>
      <c r="B28" s="601" t="s">
        <v>608</v>
      </c>
      <c r="C28" s="601"/>
      <c r="D28" s="601"/>
      <c r="E28" s="601"/>
      <c r="F28" s="601"/>
      <c r="G28" s="601"/>
      <c r="H28" s="601"/>
      <c r="I28" s="601"/>
      <c r="J28" s="601"/>
      <c r="K28" s="601"/>
    </row>
    <row r="29" spans="1:12">
      <c r="A29" s="601"/>
      <c r="B29" s="601"/>
      <c r="C29" s="601"/>
      <c r="D29" s="601"/>
      <c r="E29" s="601"/>
      <c r="F29" s="601"/>
      <c r="G29" s="601"/>
      <c r="H29" s="601"/>
      <c r="I29" s="601"/>
      <c r="J29" s="601"/>
      <c r="K29" s="601"/>
    </row>
    <row r="30" spans="1:12">
      <c r="A30" s="1184" t="s">
        <v>637</v>
      </c>
      <c r="B30" s="1184"/>
      <c r="C30" s="1184"/>
      <c r="D30" s="1184"/>
      <c r="E30" s="1184"/>
      <c r="F30" s="1184"/>
      <c r="G30" s="1184"/>
      <c r="H30" s="1184"/>
      <c r="I30" s="1184"/>
      <c r="J30" s="1184"/>
      <c r="K30" s="1184"/>
    </row>
    <row r="31" spans="1:12">
      <c r="A31" s="1183" t="s">
        <v>780</v>
      </c>
      <c r="B31" s="1183"/>
      <c r="C31" s="1183"/>
      <c r="D31" s="1183"/>
      <c r="E31" s="1183"/>
      <c r="F31" s="1183"/>
      <c r="G31" s="1183"/>
      <c r="H31" s="1183"/>
      <c r="I31" s="1183"/>
      <c r="J31" s="1183"/>
      <c r="K31" s="1183"/>
    </row>
    <row r="32" spans="1:12">
      <c r="A32" s="602"/>
      <c r="B32" s="602"/>
      <c r="C32" s="602"/>
      <c r="D32" s="602"/>
      <c r="E32" s="602"/>
      <c r="F32" s="602"/>
      <c r="G32" s="602"/>
      <c r="H32" s="602"/>
      <c r="I32" s="602"/>
      <c r="J32" s="602"/>
      <c r="K32" s="602"/>
    </row>
    <row r="33" spans="1:11" ht="15" customHeight="1">
      <c r="A33" s="575"/>
      <c r="B33" s="575"/>
      <c r="C33" s="1185"/>
      <c r="D33" s="1036"/>
      <c r="E33" s="603"/>
      <c r="F33" s="575"/>
      <c r="G33" s="575"/>
      <c r="H33" s="575"/>
      <c r="I33" s="604" t="e">
        <f>OR(#REF!="!",#REF!="!",#REF!="!",#REF!="!",#REF!="!",#REF!="!",#REF!="!")</f>
        <v>#REF!</v>
      </c>
      <c r="J33" s="577"/>
      <c r="K33" s="577"/>
    </row>
    <row r="34" spans="1:11">
      <c r="A34" s="997" t="s">
        <v>232</v>
      </c>
      <c r="B34" s="997"/>
      <c r="C34" s="997"/>
      <c r="D34" s="997"/>
      <c r="E34" s="997"/>
      <c r="F34" s="997"/>
      <c r="G34" s="997"/>
      <c r="H34" s="997"/>
      <c r="I34" s="997"/>
      <c r="J34" s="997"/>
      <c r="K34" s="997"/>
    </row>
    <row r="35" spans="1:11">
      <c r="A35" s="1185" t="s">
        <v>233</v>
      </c>
      <c r="B35" s="1185"/>
      <c r="C35" s="1185"/>
      <c r="D35" s="1185"/>
      <c r="E35" s="1185"/>
      <c r="F35" s="1185"/>
      <c r="G35" s="1185"/>
      <c r="H35" s="1185"/>
      <c r="I35" s="1185"/>
      <c r="J35" s="1185"/>
      <c r="K35" s="1185"/>
    </row>
    <row r="36" spans="1:11">
      <c r="A36" s="575"/>
      <c r="B36" s="575"/>
      <c r="C36" s="575"/>
      <c r="D36" s="575"/>
      <c r="E36" s="575"/>
      <c r="F36" s="575"/>
      <c r="G36" s="575"/>
      <c r="H36" s="575"/>
      <c r="I36" s="575"/>
      <c r="J36" s="575"/>
      <c r="K36" s="575"/>
    </row>
    <row r="37" spans="1:11">
      <c r="A37" s="575"/>
      <c r="B37" s="575"/>
      <c r="C37" s="575"/>
      <c r="D37" s="118"/>
      <c r="E37" s="234" t="s">
        <v>234</v>
      </c>
      <c r="F37" s="575"/>
      <c r="G37" s="118" t="str">
        <f>+STATISTICS!C94</f>
        <v>/Нэр/</v>
      </c>
      <c r="H37" s="575"/>
      <c r="I37" s="575"/>
      <c r="J37" s="575"/>
      <c r="K37" s="575"/>
    </row>
    <row r="38" spans="1:11">
      <c r="E38" s="235"/>
    </row>
    <row r="39" spans="1:11">
      <c r="E39" s="234" t="s">
        <v>236</v>
      </c>
      <c r="G39" s="118" t="str">
        <f>+STATISTICS!C96</f>
        <v>/Нэр/</v>
      </c>
    </row>
  </sheetData>
  <sheetProtection algorithmName="SHA-512" hashValue="Gm50y4edSsclx72mQF5T9s9H54lZla8DDnxCTWjAwVc5FN12xSfl63IOPwWq2UlvuycOsMc3OLnfBWHaOezn3A==" saltValue="okYKbPcXTvpL7BD0MZeIjA==" spinCount="100000" sheet="1"/>
  <mergeCells count="18">
    <mergeCell ref="D11:J12"/>
    <mergeCell ref="A10:K10"/>
    <mergeCell ref="A25:B25"/>
    <mergeCell ref="A26:B26"/>
    <mergeCell ref="A27:B27"/>
    <mergeCell ref="A16:B16"/>
    <mergeCell ref="A24:B24"/>
    <mergeCell ref="A17:K17"/>
    <mergeCell ref="A4:K4"/>
    <mergeCell ref="A5:K5"/>
    <mergeCell ref="A6:K6"/>
    <mergeCell ref="A8:B8"/>
    <mergeCell ref="A9:B9"/>
    <mergeCell ref="A31:K31"/>
    <mergeCell ref="A30:K30"/>
    <mergeCell ref="C33:D33"/>
    <mergeCell ref="A34:K34"/>
    <mergeCell ref="A35:K35"/>
  </mergeCells>
  <dataValidations count="1">
    <dataValidation type="decimal" showInputMessage="1" showErrorMessage="1" sqref="D13:J14 C15:J15 D18:J22 C23:J23">
      <formula1>0</formula1>
      <formula2>100000000000000</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13" sqref="A13:XFD13"/>
    </sheetView>
  </sheetViews>
  <sheetFormatPr defaultRowHeight="12.75"/>
  <cols>
    <col min="1" max="1" width="3.28515625" style="539" bestFit="1" customWidth="1"/>
    <col min="2" max="2" width="26.42578125" style="539" customWidth="1"/>
    <col min="3" max="7" width="14.140625" style="539" customWidth="1"/>
    <col min="8" max="8" width="16.5703125" style="539" customWidth="1"/>
    <col min="9" max="10" width="9.140625" style="539"/>
    <col min="11" max="16384" width="9.140625" style="532"/>
  </cols>
  <sheetData>
    <row r="1" spans="1:9">
      <c r="A1" s="606"/>
      <c r="B1" s="310"/>
      <c r="C1" s="257"/>
      <c r="D1" s="257"/>
      <c r="E1" s="257"/>
      <c r="F1" s="257"/>
      <c r="G1" s="257"/>
      <c r="H1" s="137" t="s">
        <v>749</v>
      </c>
    </row>
    <row r="2" spans="1:9">
      <c r="A2" s="310"/>
      <c r="B2" s="310"/>
      <c r="C2" s="450"/>
      <c r="D2" s="450"/>
      <c r="E2" s="450"/>
      <c r="F2" s="450"/>
      <c r="G2" s="450"/>
      <c r="H2" s="137" t="s">
        <v>757</v>
      </c>
    </row>
    <row r="3" spans="1:9">
      <c r="A3" s="310"/>
      <c r="B3" s="310"/>
      <c r="C3" s="310"/>
      <c r="D3" s="607"/>
      <c r="E3" s="535"/>
      <c r="F3" s="310"/>
      <c r="G3" s="310"/>
      <c r="H3" s="310"/>
    </row>
    <row r="4" spans="1:9">
      <c r="A4" s="1232" t="s">
        <v>615</v>
      </c>
      <c r="B4" s="1232"/>
      <c r="C4" s="1232"/>
      <c r="D4" s="1232"/>
      <c r="E4" s="1232"/>
      <c r="F4" s="1232"/>
      <c r="G4" s="1232"/>
      <c r="H4" s="1232"/>
    </row>
    <row r="5" spans="1:9">
      <c r="A5" s="1233" t="str">
        <f>+STATISTICS!A4</f>
        <v>ХАДГАЛАМЖ, ЗЭЭЛИЙН ХОРШООНЫ НЭР</v>
      </c>
      <c r="B5" s="1233"/>
      <c r="C5" s="1233"/>
      <c r="D5" s="1233"/>
      <c r="E5" s="1233"/>
      <c r="F5" s="1233"/>
      <c r="G5" s="1233"/>
      <c r="H5" s="1233"/>
    </row>
    <row r="6" spans="1:9">
      <c r="A6" s="997" t="str">
        <f>[1]BALANCE!A5</f>
        <v>ХАДГАЛАМЖ, ЗЭЭЛИЙН ХОРШОО</v>
      </c>
      <c r="B6" s="997"/>
      <c r="C6" s="997"/>
      <c r="D6" s="997"/>
      <c r="E6" s="997"/>
      <c r="F6" s="997"/>
      <c r="G6" s="997"/>
      <c r="H6" s="997"/>
    </row>
    <row r="7" spans="1:9">
      <c r="A7" s="1166"/>
      <c r="B7" s="1166"/>
      <c r="C7" s="1166"/>
      <c r="D7" s="1166"/>
      <c r="E7" s="1166"/>
      <c r="F7" s="1166"/>
      <c r="G7" s="1166"/>
      <c r="H7" s="1166"/>
    </row>
    <row r="8" spans="1:9" ht="13.5" thickBot="1">
      <c r="A8" s="1172" t="str">
        <f>+STATISTICS!A7</f>
        <v>Огноо</v>
      </c>
      <c r="B8" s="1172"/>
      <c r="C8" s="551"/>
      <c r="D8" s="551"/>
      <c r="E8" s="551"/>
      <c r="F8" s="551"/>
      <c r="G8" s="310"/>
      <c r="H8" s="140" t="str">
        <f>[1]BALANCESHEET!H7</f>
        <v>/төгрөгөөр/</v>
      </c>
    </row>
    <row r="9" spans="1:9" ht="13.5" thickBot="1">
      <c r="A9" s="1234" t="s">
        <v>341</v>
      </c>
      <c r="B9" s="1235"/>
      <c r="C9" s="1235"/>
      <c r="D9" s="1235"/>
      <c r="E9" s="1235"/>
      <c r="F9" s="1235"/>
      <c r="G9" s="1236" t="s">
        <v>616</v>
      </c>
      <c r="H9" s="1237"/>
    </row>
    <row r="10" spans="1:9" ht="26.25" thickBot="1">
      <c r="A10" s="608" t="s">
        <v>237</v>
      </c>
      <c r="B10" s="609" t="s">
        <v>617</v>
      </c>
      <c r="C10" s="610" t="s">
        <v>618</v>
      </c>
      <c r="D10" s="611" t="s">
        <v>619</v>
      </c>
      <c r="E10" s="612" t="s">
        <v>620</v>
      </c>
      <c r="F10" s="610" t="s">
        <v>621</v>
      </c>
      <c r="G10" s="610" t="s">
        <v>622</v>
      </c>
      <c r="H10" s="613" t="s">
        <v>623</v>
      </c>
    </row>
    <row r="11" spans="1:9" ht="13.5" thickBot="1">
      <c r="A11" s="608" t="s">
        <v>508</v>
      </c>
      <c r="B11" s="614" t="s">
        <v>624</v>
      </c>
      <c r="C11" s="803">
        <f>SUM(C12:C14)</f>
        <v>0</v>
      </c>
      <c r="D11" s="615">
        <v>1</v>
      </c>
      <c r="E11" s="616"/>
      <c r="F11" s="803">
        <f>SUM(F12:F14)</f>
        <v>0</v>
      </c>
      <c r="G11" s="605"/>
      <c r="H11" s="617"/>
      <c r="I11" s="120" t="str">
        <f>IF((C11-BALANCESHEET!C18)=0,"","Балансийн дүнтэй зөрүүтэй байна")</f>
        <v/>
      </c>
    </row>
    <row r="12" spans="1:9">
      <c r="A12" s="618">
        <v>1</v>
      </c>
      <c r="B12" s="619" t="s">
        <v>625</v>
      </c>
      <c r="C12" s="804">
        <f>+BALANCESHEET!C19</f>
        <v>0</v>
      </c>
      <c r="D12" s="620" t="e">
        <f>C12/C11*100%</f>
        <v>#DIV/0!</v>
      </c>
      <c r="E12" s="621">
        <v>0</v>
      </c>
      <c r="F12" s="804">
        <f>C12*E12</f>
        <v>0</v>
      </c>
      <c r="G12" s="1226">
        <f>+BALANCESHEET!C25</f>
        <v>0</v>
      </c>
      <c r="H12" s="1229">
        <f>G12-F11</f>
        <v>0</v>
      </c>
      <c r="I12" s="622"/>
    </row>
    <row r="13" spans="1:9" ht="14.25" customHeight="1">
      <c r="A13" s="623">
        <v>2</v>
      </c>
      <c r="B13" s="624" t="s">
        <v>255</v>
      </c>
      <c r="C13" s="805">
        <f>+BALANCESHEET!C20</f>
        <v>0</v>
      </c>
      <c r="D13" s="625" t="e">
        <f>C13/C11*100%</f>
        <v>#DIV/0!</v>
      </c>
      <c r="E13" s="626">
        <v>0.05</v>
      </c>
      <c r="F13" s="805">
        <f>C13*E13</f>
        <v>0</v>
      </c>
      <c r="G13" s="1227"/>
      <c r="H13" s="1230"/>
      <c r="I13" s="627"/>
    </row>
    <row r="14" spans="1:9">
      <c r="A14" s="628">
        <v>3</v>
      </c>
      <c r="B14" s="629" t="s">
        <v>299</v>
      </c>
      <c r="C14" s="806">
        <f>SUM(C15:C17)</f>
        <v>0</v>
      </c>
      <c r="D14" s="625" t="e">
        <f>C14/C11*100%</f>
        <v>#DIV/0!</v>
      </c>
      <c r="E14" s="626"/>
      <c r="F14" s="806">
        <f>SUM(F15:F17)</f>
        <v>0</v>
      </c>
      <c r="G14" s="1227"/>
      <c r="H14" s="1230"/>
      <c r="I14" s="627"/>
    </row>
    <row r="15" spans="1:9">
      <c r="A15" s="623">
        <v>4</v>
      </c>
      <c r="B15" s="630" t="s">
        <v>630</v>
      </c>
      <c r="C15" s="805">
        <f>+BALANCESHEET!C22</f>
        <v>0</v>
      </c>
      <c r="D15" s="625" t="e">
        <f>C15/C11*100%</f>
        <v>#DIV/0!</v>
      </c>
      <c r="E15" s="626">
        <v>0.25</v>
      </c>
      <c r="F15" s="805">
        <f>C15*E15</f>
        <v>0</v>
      </c>
      <c r="G15" s="1227"/>
      <c r="H15" s="1230"/>
      <c r="I15" s="627"/>
    </row>
    <row r="16" spans="1:9">
      <c r="A16" s="623">
        <v>5</v>
      </c>
      <c r="B16" s="630" t="s">
        <v>631</v>
      </c>
      <c r="C16" s="805">
        <f>+BALANCESHEET!C23</f>
        <v>0</v>
      </c>
      <c r="D16" s="625" t="e">
        <f>C16/C11*100%</f>
        <v>#DIV/0!</v>
      </c>
      <c r="E16" s="626">
        <v>0.5</v>
      </c>
      <c r="F16" s="805">
        <f>C16*E16</f>
        <v>0</v>
      </c>
      <c r="G16" s="1227"/>
      <c r="H16" s="1230"/>
      <c r="I16" s="627"/>
    </row>
    <row r="17" spans="1:9" ht="13.5" thickBot="1">
      <c r="A17" s="631">
        <v>6</v>
      </c>
      <c r="B17" s="630" t="s">
        <v>632</v>
      </c>
      <c r="C17" s="805">
        <f>+BALANCESHEET!C24</f>
        <v>0</v>
      </c>
      <c r="D17" s="632" t="e">
        <f>C17/C11*100%</f>
        <v>#DIV/0!</v>
      </c>
      <c r="E17" s="633">
        <v>1</v>
      </c>
      <c r="F17" s="807">
        <f>C17*E17</f>
        <v>0</v>
      </c>
      <c r="G17" s="1228"/>
      <c r="H17" s="1231"/>
      <c r="I17" s="627"/>
    </row>
    <row r="18" spans="1:9" ht="13.5" thickBot="1">
      <c r="A18" s="608" t="s">
        <v>515</v>
      </c>
      <c r="B18" s="634" t="s">
        <v>626</v>
      </c>
      <c r="C18" s="808">
        <f>SUM(C19:C21)</f>
        <v>0</v>
      </c>
      <c r="D18" s="635">
        <v>1</v>
      </c>
      <c r="E18" s="636"/>
      <c r="F18" s="809">
        <f>SUM(F19:F21)</f>
        <v>0</v>
      </c>
      <c r="G18" s="810"/>
      <c r="H18" s="637"/>
      <c r="I18" s="120" t="str">
        <f>IF((C18-BALANCESHEET!C37)=0,"","Балансийн дүнтэй зөрүүтэй байна")</f>
        <v/>
      </c>
    </row>
    <row r="19" spans="1:9">
      <c r="A19" s="618">
        <v>1</v>
      </c>
      <c r="B19" s="638" t="s">
        <v>627</v>
      </c>
      <c r="C19" s="811"/>
      <c r="D19" s="620" t="e">
        <f>C19/C18*100%</f>
        <v>#DIV/0!</v>
      </c>
      <c r="E19" s="621">
        <v>0</v>
      </c>
      <c r="F19" s="804">
        <f>C19*E19</f>
        <v>0</v>
      </c>
      <c r="G19" s="1226">
        <f>+BALANCESHEET!C38</f>
        <v>0</v>
      </c>
      <c r="H19" s="1229">
        <f>G19-F18</f>
        <v>0</v>
      </c>
      <c r="I19" s="627"/>
    </row>
    <row r="20" spans="1:9">
      <c r="A20" s="623">
        <v>2</v>
      </c>
      <c r="B20" s="639" t="s">
        <v>628</v>
      </c>
      <c r="C20" s="812"/>
      <c r="D20" s="625" t="e">
        <f>C20/C18*100%</f>
        <v>#DIV/0!</v>
      </c>
      <c r="E20" s="626">
        <v>0.05</v>
      </c>
      <c r="F20" s="805">
        <f>C20*E20</f>
        <v>0</v>
      </c>
      <c r="G20" s="1227"/>
      <c r="H20" s="1230"/>
      <c r="I20" s="627"/>
    </row>
    <row r="21" spans="1:9">
      <c r="A21" s="623">
        <v>3</v>
      </c>
      <c r="B21" s="639" t="s">
        <v>629</v>
      </c>
      <c r="C21" s="806">
        <f>SUM(C22:C24)</f>
        <v>0</v>
      </c>
      <c r="D21" s="625" t="e">
        <f>C21/C18*100%</f>
        <v>#DIV/0!</v>
      </c>
      <c r="E21" s="626"/>
      <c r="F21" s="813">
        <f>SUM(F22:F24)</f>
        <v>0</v>
      </c>
      <c r="G21" s="1227"/>
      <c r="H21" s="1230"/>
      <c r="I21" s="627"/>
    </row>
    <row r="22" spans="1:9">
      <c r="A22" s="623">
        <v>4</v>
      </c>
      <c r="B22" s="630" t="s">
        <v>630</v>
      </c>
      <c r="C22" s="812"/>
      <c r="D22" s="625" t="e">
        <f>C22/C18*100%</f>
        <v>#DIV/0!</v>
      </c>
      <c r="E22" s="626">
        <v>0.25</v>
      </c>
      <c r="F22" s="805">
        <f>C22*E22</f>
        <v>0</v>
      </c>
      <c r="G22" s="1227"/>
      <c r="H22" s="1230"/>
      <c r="I22" s="627"/>
    </row>
    <row r="23" spans="1:9">
      <c r="A23" s="623">
        <v>5</v>
      </c>
      <c r="B23" s="630" t="s">
        <v>631</v>
      </c>
      <c r="C23" s="812"/>
      <c r="D23" s="625" t="e">
        <f>C23/C18*100%</f>
        <v>#DIV/0!</v>
      </c>
      <c r="E23" s="626">
        <v>0.5</v>
      </c>
      <c r="F23" s="805">
        <f>C23*E23</f>
        <v>0</v>
      </c>
      <c r="G23" s="1227"/>
      <c r="H23" s="1230"/>
      <c r="I23" s="627"/>
    </row>
    <row r="24" spans="1:9" ht="13.5" thickBot="1">
      <c r="A24" s="631">
        <v>6</v>
      </c>
      <c r="B24" s="640" t="s">
        <v>632</v>
      </c>
      <c r="C24" s="814"/>
      <c r="D24" s="632" t="e">
        <f>C24/C18*100%</f>
        <v>#DIV/0!</v>
      </c>
      <c r="E24" s="633">
        <v>1</v>
      </c>
      <c r="F24" s="807">
        <f>C24*E24</f>
        <v>0</v>
      </c>
      <c r="G24" s="1228"/>
      <c r="H24" s="1231"/>
      <c r="I24" s="627"/>
    </row>
    <row r="25" spans="1:9" ht="13.5" thickBot="1">
      <c r="A25" s="1217" t="s">
        <v>633</v>
      </c>
      <c r="B25" s="1218"/>
      <c r="C25" s="1218"/>
      <c r="D25" s="1218"/>
      <c r="E25" s="1218"/>
      <c r="F25" s="1218"/>
      <c r="G25" s="1218"/>
      <c r="H25" s="1219"/>
      <c r="I25" s="627"/>
    </row>
    <row r="26" spans="1:9" ht="13.5" thickBot="1">
      <c r="A26" s="641" t="s">
        <v>239</v>
      </c>
      <c r="B26" s="1220" t="s">
        <v>634</v>
      </c>
      <c r="C26" s="1220"/>
      <c r="D26" s="1220"/>
      <c r="E26" s="1220"/>
      <c r="F26" s="1220"/>
      <c r="G26" s="1221">
        <v>0.05</v>
      </c>
      <c r="H26" s="1222"/>
      <c r="I26" s="627"/>
    </row>
    <row r="27" spans="1:9">
      <c r="A27" s="618">
        <v>1</v>
      </c>
      <c r="B27" s="1223" t="s">
        <v>635</v>
      </c>
      <c r="C27" s="1223"/>
      <c r="D27" s="1223"/>
      <c r="E27" s="1223"/>
      <c r="F27" s="1223"/>
      <c r="G27" s="1224" t="e">
        <f>+BALANCESHEET!C21/BALANCESHEET!C18*100%</f>
        <v>#DIV/0!</v>
      </c>
      <c r="H27" s="1225"/>
      <c r="I27" s="627"/>
    </row>
    <row r="28" spans="1:9" ht="13.5" thickBot="1">
      <c r="A28" s="642">
        <v>2</v>
      </c>
      <c r="B28" s="1212" t="s">
        <v>636</v>
      </c>
      <c r="C28" s="1212"/>
      <c r="D28" s="1212"/>
      <c r="E28" s="1212"/>
      <c r="F28" s="1212"/>
      <c r="G28" s="1213" t="e">
        <f>IF(G27&lt;G26,"-",VALUE(G27-G26))</f>
        <v>#DIV/0!</v>
      </c>
      <c r="H28" s="1214"/>
      <c r="I28" s="627"/>
    </row>
    <row r="29" spans="1:9">
      <c r="A29" s="234"/>
      <c r="B29" s="234"/>
      <c r="C29" s="234"/>
      <c r="D29" s="234"/>
      <c r="E29" s="234"/>
      <c r="F29" s="234"/>
      <c r="G29" s="234"/>
      <c r="H29" s="234"/>
    </row>
    <row r="30" spans="1:9">
      <c r="A30" s="234"/>
      <c r="B30" s="234"/>
      <c r="C30" s="234"/>
      <c r="D30" s="234"/>
      <c r="E30" s="234"/>
      <c r="F30" s="234"/>
      <c r="G30" s="234"/>
      <c r="H30" s="234"/>
    </row>
    <row r="31" spans="1:9" ht="15" customHeight="1">
      <c r="A31" s="1073" t="s">
        <v>232</v>
      </c>
      <c r="B31" s="1073"/>
      <c r="C31" s="1073"/>
      <c r="D31" s="1073"/>
      <c r="E31" s="1073"/>
      <c r="F31" s="1073"/>
      <c r="G31" s="1073"/>
      <c r="H31" s="1073"/>
    </row>
    <row r="32" spans="1:9" ht="15" customHeight="1">
      <c r="A32" s="1215" t="s">
        <v>233</v>
      </c>
      <c r="B32" s="1215"/>
      <c r="C32" s="1215"/>
      <c r="D32" s="1215"/>
      <c r="E32" s="1215"/>
      <c r="F32" s="1215"/>
      <c r="G32" s="1215"/>
      <c r="H32" s="1215"/>
    </row>
    <row r="33" spans="1:8">
      <c r="A33" s="234"/>
      <c r="B33" s="234"/>
      <c r="C33" s="1216"/>
      <c r="D33" s="1216"/>
      <c r="E33" s="234"/>
      <c r="F33" s="234"/>
      <c r="G33" s="234"/>
      <c r="H33" s="234"/>
    </row>
    <row r="34" spans="1:8">
      <c r="A34" s="234"/>
      <c r="B34" s="234"/>
      <c r="C34" s="234" t="s">
        <v>234</v>
      </c>
      <c r="D34" s="234"/>
      <c r="E34" s="234" t="str">
        <f>+STATISTICS!C94</f>
        <v>/Нэр/</v>
      </c>
      <c r="F34" s="234"/>
      <c r="G34" s="234"/>
      <c r="H34" s="234"/>
    </row>
    <row r="35" spans="1:8">
      <c r="A35" s="234"/>
      <c r="B35" s="234"/>
      <c r="C35" s="235"/>
      <c r="D35" s="235"/>
      <c r="E35" s="234"/>
      <c r="F35" s="234"/>
      <c r="G35" s="234"/>
      <c r="H35" s="234"/>
    </row>
    <row r="36" spans="1:8">
      <c r="A36" s="234"/>
      <c r="B36" s="234"/>
      <c r="C36" s="234" t="s">
        <v>236</v>
      </c>
      <c r="D36" s="234"/>
      <c r="E36" s="234" t="str">
        <f>+STATISTICS!C96</f>
        <v>/Нэр/</v>
      </c>
      <c r="F36" s="234"/>
      <c r="G36" s="234"/>
      <c r="H36" s="234"/>
    </row>
  </sheetData>
  <sheetProtection algorithmName="SHA-512" hashValue="Ifp3mlg0ii0z95Dfq8fV2EKekQTGjPvz/q0wGs2LF/pt9jG4oGlBngrSVj+IWpdR7e0q1vMMJODxTHVTNj2lEA==" saltValue="SZFKSkK2DuOEpMTpmjActQ==" spinCount="100000" sheet="1"/>
  <mergeCells count="21">
    <mergeCell ref="G19:G24"/>
    <mergeCell ref="H19:H24"/>
    <mergeCell ref="A4:H4"/>
    <mergeCell ref="A5:H5"/>
    <mergeCell ref="A6:H6"/>
    <mergeCell ref="A7:H7"/>
    <mergeCell ref="A8:B8"/>
    <mergeCell ref="A9:F9"/>
    <mergeCell ref="G9:H9"/>
    <mergeCell ref="G12:G17"/>
    <mergeCell ref="H12:H17"/>
    <mergeCell ref="A25:H25"/>
    <mergeCell ref="B26:F26"/>
    <mergeCell ref="G26:H26"/>
    <mergeCell ref="B27:F27"/>
    <mergeCell ref="G27:H27"/>
    <mergeCell ref="B28:F28"/>
    <mergeCell ref="G28:H28"/>
    <mergeCell ref="A31:H31"/>
    <mergeCell ref="A32:H32"/>
    <mergeCell ref="C33:D3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39" t="s">
        <v>641</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1242" t="str">
        <f>+STATISTICS!A7</f>
        <v>Огноо</v>
      </c>
      <c r="B7" s="1242"/>
      <c r="C7" s="5" t="str">
        <f>[2]BALANCESHEET!H7</f>
        <v>/төгрөгөөр/</v>
      </c>
    </row>
    <row r="8" spans="1:3">
      <c r="A8" s="29" t="s">
        <v>237</v>
      </c>
      <c r="B8" s="16" t="s">
        <v>341</v>
      </c>
      <c r="C8" s="16" t="s">
        <v>616</v>
      </c>
    </row>
    <row r="9" spans="1:3">
      <c r="A9" s="16" t="s">
        <v>642</v>
      </c>
      <c r="B9" s="30" t="s">
        <v>286</v>
      </c>
      <c r="C9" s="815">
        <f>SUM(C10:C19)</f>
        <v>0</v>
      </c>
    </row>
    <row r="10" spans="1:3">
      <c r="A10" s="23">
        <v>1</v>
      </c>
      <c r="B10" s="18" t="s">
        <v>643</v>
      </c>
      <c r="C10" s="816">
        <f>+BALANCESHEET!C12</f>
        <v>0</v>
      </c>
    </row>
    <row r="11" spans="1:3">
      <c r="A11" s="23">
        <v>2</v>
      </c>
      <c r="B11" s="18" t="s">
        <v>18</v>
      </c>
      <c r="C11" s="816">
        <f>+BALANCESHEET!C13</f>
        <v>0</v>
      </c>
    </row>
    <row r="12" spans="1:3">
      <c r="A12" s="23">
        <v>3</v>
      </c>
      <c r="B12" s="18" t="s">
        <v>23</v>
      </c>
      <c r="C12" s="816">
        <f>+BALANCESHEET!C14</f>
        <v>0</v>
      </c>
    </row>
    <row r="13" spans="1:3">
      <c r="A13" s="23">
        <v>4</v>
      </c>
      <c r="B13" s="18" t="s">
        <v>644</v>
      </c>
      <c r="C13" s="816">
        <f>+BALANCESHEET!C15</f>
        <v>0</v>
      </c>
    </row>
    <row r="14" spans="1:3">
      <c r="A14" s="23">
        <v>5</v>
      </c>
      <c r="B14" s="18" t="s">
        <v>645</v>
      </c>
      <c r="C14" s="816">
        <f>+BALANCESHEET!C17</f>
        <v>0</v>
      </c>
    </row>
    <row r="15" spans="1:3">
      <c r="A15" s="23">
        <v>6</v>
      </c>
      <c r="B15" s="18" t="s">
        <v>646</v>
      </c>
      <c r="C15" s="816">
        <f>+BALANCESHEET!C36</f>
        <v>0</v>
      </c>
    </row>
    <row r="16" spans="1:3">
      <c r="A16" s="23">
        <v>7</v>
      </c>
      <c r="B16" s="18" t="s">
        <v>647</v>
      </c>
      <c r="C16" s="816">
        <f>+BALANCESHEET!C26</f>
        <v>0</v>
      </c>
    </row>
    <row r="17" spans="1:3">
      <c r="A17" s="23">
        <v>8</v>
      </c>
      <c r="B17" s="18" t="s">
        <v>648</v>
      </c>
      <c r="C17" s="816">
        <f>+BALANCESHEET!C40</f>
        <v>0</v>
      </c>
    </row>
    <row r="18" spans="1:3">
      <c r="A18" s="23">
        <v>9</v>
      </c>
      <c r="B18" s="18" t="s">
        <v>649</v>
      </c>
      <c r="C18" s="816">
        <f>+BALANCESHEET!C29</f>
        <v>0</v>
      </c>
    </row>
    <row r="19" spans="1:3">
      <c r="A19" s="23">
        <v>10</v>
      </c>
      <c r="B19" s="18" t="s">
        <v>650</v>
      </c>
      <c r="C19" s="816">
        <f>BALANCESHEET!C43+BALANCESHEET!C46</f>
        <v>0</v>
      </c>
    </row>
    <row r="20" spans="1:3">
      <c r="A20" s="16" t="s">
        <v>515</v>
      </c>
      <c r="B20" s="31" t="s">
        <v>651</v>
      </c>
      <c r="C20" s="815">
        <f>SUM(C21:C27)</f>
        <v>0</v>
      </c>
    </row>
    <row r="21" spans="1:3">
      <c r="A21" s="23">
        <v>1</v>
      </c>
      <c r="B21" s="24" t="s">
        <v>601</v>
      </c>
      <c r="C21" s="817">
        <f>+BALANCESHEET!G11</f>
        <v>0</v>
      </c>
    </row>
    <row r="22" spans="1:3">
      <c r="A22" s="23">
        <v>2</v>
      </c>
      <c r="B22" s="24" t="s">
        <v>294</v>
      </c>
      <c r="C22" s="817">
        <f>+BALANCESHEET!G15+BALANCESHEET!G30</f>
        <v>0</v>
      </c>
    </row>
    <row r="23" spans="1:3">
      <c r="A23" s="23">
        <v>3</v>
      </c>
      <c r="B23" s="24" t="s">
        <v>602</v>
      </c>
      <c r="C23" s="817">
        <f>+BALANCESHEET!G16+BALANCESHEET!G31</f>
        <v>0</v>
      </c>
    </row>
    <row r="24" spans="1:3">
      <c r="A24" s="23">
        <v>4</v>
      </c>
      <c r="B24" s="24" t="s">
        <v>603</v>
      </c>
      <c r="C24" s="817">
        <f>+BALANCESHEET!G17+BALANCESHEET!G32</f>
        <v>0</v>
      </c>
    </row>
    <row r="25" spans="1:3">
      <c r="A25" s="23">
        <v>5</v>
      </c>
      <c r="B25" s="24" t="s">
        <v>30</v>
      </c>
      <c r="C25" s="817">
        <f>+BALANCESHEET!G18+BALANCESHEET!G33</f>
        <v>0</v>
      </c>
    </row>
    <row r="26" spans="1:3">
      <c r="A26" s="23">
        <v>6</v>
      </c>
      <c r="B26" s="24" t="s">
        <v>66</v>
      </c>
      <c r="C26" s="817">
        <f>+BALANCESHEET!G34</f>
        <v>0</v>
      </c>
    </row>
    <row r="27" spans="1:3">
      <c r="A27" s="23">
        <v>7</v>
      </c>
      <c r="B27" s="24" t="s">
        <v>65</v>
      </c>
      <c r="C27" s="817">
        <f>+BALANCESHEET!G19</f>
        <v>0</v>
      </c>
    </row>
    <row r="28" spans="1:3">
      <c r="A28" s="16" t="s">
        <v>652</v>
      </c>
      <c r="B28" s="31" t="s">
        <v>86</v>
      </c>
      <c r="C28" s="815">
        <f>+BALANCESHEET!G35</f>
        <v>0</v>
      </c>
    </row>
    <row r="29" spans="1:3">
      <c r="A29" s="23">
        <v>1</v>
      </c>
      <c r="B29" s="24" t="s">
        <v>653</v>
      </c>
      <c r="C29" s="816">
        <f>+BALANCESHEET!G36</f>
        <v>0</v>
      </c>
    </row>
    <row r="30" spans="1:3">
      <c r="A30" s="23">
        <v>2</v>
      </c>
      <c r="B30" s="25" t="s">
        <v>95</v>
      </c>
      <c r="C30" s="816">
        <f>+BALANCESHEET!G39</f>
        <v>0</v>
      </c>
    </row>
    <row r="31" spans="1:3">
      <c r="A31" s="16" t="s">
        <v>654</v>
      </c>
      <c r="B31" s="17" t="s">
        <v>324</v>
      </c>
      <c r="C31" s="818">
        <f>+BALANCESHEET!G41</f>
        <v>0</v>
      </c>
    </row>
    <row r="32" spans="1:3">
      <c r="A32" s="23">
        <v>1</v>
      </c>
      <c r="B32" s="18" t="s">
        <v>326</v>
      </c>
      <c r="C32" s="816">
        <f>+BALANCESHEET!G42</f>
        <v>0</v>
      </c>
    </row>
    <row r="33" spans="1:3">
      <c r="A33" s="23">
        <v>2</v>
      </c>
      <c r="B33" s="18" t="s">
        <v>328</v>
      </c>
      <c r="C33" s="816">
        <f>+BALANCESHEET!G43</f>
        <v>0</v>
      </c>
    </row>
    <row r="34" spans="1:3">
      <c r="A34" s="23">
        <v>3</v>
      </c>
      <c r="B34" s="18" t="s">
        <v>329</v>
      </c>
      <c r="C34" s="816">
        <f>+BALANCESHEET!G44</f>
        <v>0</v>
      </c>
    </row>
    <row r="35" spans="1:3">
      <c r="A35" s="23">
        <v>4</v>
      </c>
      <c r="B35" s="18" t="s">
        <v>655</v>
      </c>
      <c r="C35" s="816">
        <f>+BALANCESHEET!G45</f>
        <v>0</v>
      </c>
    </row>
    <row r="36" spans="1:3">
      <c r="A36" s="23">
        <v>5</v>
      </c>
      <c r="B36" s="18" t="s">
        <v>331</v>
      </c>
      <c r="C36" s="816">
        <f>+BALANCESHEET!G46</f>
        <v>0</v>
      </c>
    </row>
    <row r="37" spans="1:3">
      <c r="A37" s="23">
        <v>6</v>
      </c>
      <c r="B37" s="18" t="s">
        <v>656</v>
      </c>
      <c r="C37" s="816">
        <f>+BALANCESHEET!G47</f>
        <v>0</v>
      </c>
    </row>
    <row r="38" spans="1:3">
      <c r="A38" s="23">
        <v>7</v>
      </c>
      <c r="B38" s="18" t="s">
        <v>657</v>
      </c>
      <c r="C38" s="816">
        <f>+BALANCESHEET!G48</f>
        <v>0</v>
      </c>
    </row>
    <row r="39" spans="1:3">
      <c r="A39" s="32"/>
      <c r="B39" s="16" t="s">
        <v>633</v>
      </c>
      <c r="C39" s="32"/>
    </row>
    <row r="40" spans="1:3" ht="25.5">
      <c r="A40" s="33" t="s">
        <v>239</v>
      </c>
      <c r="B40" s="30" t="s">
        <v>658</v>
      </c>
      <c r="C40" s="819" t="s">
        <v>659</v>
      </c>
    </row>
    <row r="41" spans="1:3">
      <c r="A41" s="27">
        <v>1</v>
      </c>
      <c r="B41" s="24" t="s">
        <v>660</v>
      </c>
      <c r="C41" s="820" t="e">
        <f>C14/C9*100%</f>
        <v>#DIV/0!</v>
      </c>
    </row>
    <row r="42" spans="1:3">
      <c r="A42" s="27">
        <v>2</v>
      </c>
      <c r="B42" s="18" t="s">
        <v>661</v>
      </c>
      <c r="C42" s="821" t="e">
        <f>IF(C41&gt;0.85,VALUE(C41-0.85),IF(C41&lt;0.6,VALUE(0.6-C41),"-"))</f>
        <v>#DIV/0!</v>
      </c>
    </row>
    <row r="43" spans="1:3" ht="25.5">
      <c r="A43" s="33" t="s">
        <v>261</v>
      </c>
      <c r="B43" s="30" t="s">
        <v>662</v>
      </c>
      <c r="C43" s="819">
        <v>0.1</v>
      </c>
    </row>
    <row r="44" spans="1:3">
      <c r="A44" s="28">
        <v>1</v>
      </c>
      <c r="B44" s="24" t="s">
        <v>660</v>
      </c>
      <c r="C44" s="820" t="e">
        <f>C17/C9*100%</f>
        <v>#DIV/0!</v>
      </c>
    </row>
    <row r="45" spans="1:3">
      <c r="A45" s="27">
        <v>2</v>
      </c>
      <c r="B45" s="24" t="s">
        <v>636</v>
      </c>
      <c r="C45" s="820" t="e">
        <f>IF(C44&lt;C43,"-", VALUE(C44-C43))</f>
        <v>#DIV/0!</v>
      </c>
    </row>
    <row r="46" spans="1:3" ht="25.5">
      <c r="A46" s="34" t="s">
        <v>279</v>
      </c>
      <c r="B46" s="31" t="s">
        <v>663</v>
      </c>
      <c r="C46" s="822" t="s">
        <v>664</v>
      </c>
    </row>
    <row r="47" spans="1:3">
      <c r="A47" s="28">
        <v>1</v>
      </c>
      <c r="B47" s="24" t="s">
        <v>660</v>
      </c>
      <c r="C47" s="820" t="e">
        <f>C21/C9*100%</f>
        <v>#DIV/0!</v>
      </c>
    </row>
    <row r="48" spans="1:3">
      <c r="A48" s="27">
        <v>2</v>
      </c>
      <c r="B48" s="24" t="s">
        <v>636</v>
      </c>
      <c r="C48" s="820" t="e">
        <f>IF(C47&gt;0.8,VALUE(C47-0.8),IF(C47&lt;0.2,VALUE(0.2-C47),"-"))</f>
        <v>#DIV/0!</v>
      </c>
    </row>
    <row r="49" spans="1:3" ht="25.5">
      <c r="A49" s="34" t="s">
        <v>280</v>
      </c>
      <c r="B49" s="30" t="s">
        <v>665</v>
      </c>
      <c r="C49" s="819">
        <v>0.2</v>
      </c>
    </row>
    <row r="50" spans="1:3">
      <c r="A50" s="23">
        <v>1</v>
      </c>
      <c r="B50" s="24" t="s">
        <v>660</v>
      </c>
      <c r="C50" s="823" t="e">
        <f>(C22+C23+C24)/C9*100%</f>
        <v>#DIV/0!</v>
      </c>
    </row>
    <row r="51" spans="1:3">
      <c r="A51" s="26">
        <v>2</v>
      </c>
      <c r="B51" s="24" t="s">
        <v>636</v>
      </c>
      <c r="C51" s="820" t="e">
        <f>IF(C50&lt;C49,"-",VALUE(C50-C49))</f>
        <v>#DIV/0!</v>
      </c>
    </row>
    <row r="52" spans="1:3" ht="25.5">
      <c r="A52" s="34" t="s">
        <v>282</v>
      </c>
      <c r="B52" s="30" t="s">
        <v>666</v>
      </c>
      <c r="C52" s="819">
        <v>0.1</v>
      </c>
    </row>
    <row r="53" spans="1:3">
      <c r="A53" s="28">
        <v>1</v>
      </c>
      <c r="B53" s="18" t="s">
        <v>660</v>
      </c>
      <c r="C53" s="824" t="e">
        <f>+'BIG SHARES'!D52</f>
        <v>#DIV/0!</v>
      </c>
    </row>
    <row r="54" spans="1:3">
      <c r="A54" s="27">
        <v>2</v>
      </c>
      <c r="B54" s="18" t="s">
        <v>636</v>
      </c>
      <c r="C54" s="821" t="e">
        <f>IF(C53&lt;C52,"-",VALUE(C53-C52))</f>
        <v>#DIV/0!</v>
      </c>
    </row>
    <row r="55" spans="1:3">
      <c r="A55" s="29" t="s">
        <v>395</v>
      </c>
      <c r="B55" s="31" t="s">
        <v>809</v>
      </c>
      <c r="C55" s="822">
        <v>0.03</v>
      </c>
    </row>
    <row r="56" spans="1:3">
      <c r="A56" s="26">
        <v>1</v>
      </c>
      <c r="B56" s="24" t="s">
        <v>660</v>
      </c>
      <c r="C56" s="821" t="e">
        <f>C32/C9*100%</f>
        <v>#DIV/0!</v>
      </c>
    </row>
    <row r="57" spans="1:3">
      <c r="A57" s="26">
        <v>2</v>
      </c>
      <c r="B57" s="24" t="s">
        <v>636</v>
      </c>
      <c r="C57" s="820" t="e">
        <f>IF(C56&gt;C55,"-",VALUE(C55-C56))</f>
        <v>#DIV/0!</v>
      </c>
    </row>
    <row r="58" spans="1:3" ht="25.5">
      <c r="A58" s="29" t="s">
        <v>401</v>
      </c>
      <c r="B58" s="31" t="s">
        <v>667</v>
      </c>
      <c r="C58" s="822">
        <v>0.05</v>
      </c>
    </row>
    <row r="59" spans="1:3">
      <c r="A59" s="26">
        <v>1</v>
      </c>
      <c r="B59" s="24" t="s">
        <v>660</v>
      </c>
      <c r="C59" s="821" t="e">
        <f>C31/C9*100%</f>
        <v>#DIV/0!</v>
      </c>
    </row>
    <row r="60" spans="1:3">
      <c r="A60" s="26">
        <v>2</v>
      </c>
      <c r="B60" s="24" t="s">
        <v>636</v>
      </c>
      <c r="C60" s="820" t="e">
        <f>IF(C59&gt;C58,"-",VALUE(C58-C59))</f>
        <v>#DIV/0!</v>
      </c>
    </row>
    <row r="61" spans="1:3" ht="25.5">
      <c r="A61" s="29" t="s">
        <v>668</v>
      </c>
      <c r="B61" s="31" t="s">
        <v>669</v>
      </c>
      <c r="C61" s="822">
        <v>0.05</v>
      </c>
    </row>
    <row r="62" spans="1:3">
      <c r="A62" s="26">
        <v>1</v>
      </c>
      <c r="B62" s="24" t="s">
        <v>660</v>
      </c>
      <c r="C62" s="821" t="e">
        <f>C34/C31*100%</f>
        <v>#DIV/0!</v>
      </c>
    </row>
    <row r="63" spans="1:3">
      <c r="A63" s="26">
        <v>2</v>
      </c>
      <c r="B63" s="24" t="s">
        <v>636</v>
      </c>
      <c r="C63" s="820" t="e">
        <f>IF(C62&gt;C61,"-",VALUE(C61-C62))</f>
        <v>#DIV/0!</v>
      </c>
    </row>
    <row r="64" spans="1:3" ht="25.5">
      <c r="A64" s="29" t="s">
        <v>670</v>
      </c>
      <c r="B64" s="31" t="s">
        <v>671</v>
      </c>
      <c r="C64" s="822">
        <v>0.05</v>
      </c>
    </row>
    <row r="65" spans="1:3">
      <c r="A65" s="26">
        <v>1</v>
      </c>
      <c r="B65" s="24" t="s">
        <v>660</v>
      </c>
      <c r="C65" s="821" t="e">
        <f>C36/C31*100%</f>
        <v>#DIV/0!</v>
      </c>
    </row>
    <row r="66" spans="1:3">
      <c r="A66" s="26">
        <v>2</v>
      </c>
      <c r="B66" s="24" t="s">
        <v>636</v>
      </c>
      <c r="C66" s="820" t="e">
        <f>IF(C65&gt;C64,"-",VALUE(C64-C65))</f>
        <v>#DIV/0!</v>
      </c>
    </row>
    <row r="69" spans="1:3">
      <c r="A69" s="1238" t="s">
        <v>232</v>
      </c>
      <c r="B69" s="1238"/>
      <c r="C69" s="1238"/>
    </row>
    <row r="70" spans="1:3">
      <c r="A70" s="983" t="s">
        <v>233</v>
      </c>
      <c r="B70" s="983"/>
      <c r="C70" s="983"/>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39" t="s">
        <v>672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44" t="s">
        <v>692</v>
      </c>
      <c r="C27" s="1244"/>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38" t="s">
        <v>232</v>
      </c>
      <c r="B39" s="983"/>
      <c r="C39" s="983"/>
    </row>
    <row r="40" spans="1:3">
      <c r="A40" s="983" t="s">
        <v>233</v>
      </c>
      <c r="B40" s="983"/>
      <c r="C40" s="983"/>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39" t="s">
        <v>702</v>
      </c>
      <c r="B4" s="1239"/>
      <c r="C4" s="1239"/>
    </row>
    <row r="5" spans="1:3">
      <c r="A5" s="1240" t="str">
        <f>+STATISTICS!A4</f>
        <v>ХАДГАЛАМЖ, ЗЭЭЛИЙН ХОРШООНЫ НЭР</v>
      </c>
      <c r="B5" s="1240"/>
      <c r="C5" s="1240"/>
    </row>
    <row r="6" spans="1:3">
      <c r="A6" s="1241" t="str">
        <f>[2]BALANCE!A5</f>
        <v>ХАДГАЛАМЖ, ЗЭЭЛИЙН ХОРШОО</v>
      </c>
      <c r="B6" s="1241"/>
      <c r="C6" s="1241"/>
    </row>
    <row r="7" spans="1:3">
      <c r="A7" s="8"/>
      <c r="B7" s="35"/>
      <c r="C7" s="35"/>
    </row>
    <row r="8" spans="1:3">
      <c r="A8" s="1243" t="str">
        <f>+STATISTICS!A7</f>
        <v>Огноо</v>
      </c>
      <c r="B8" s="1243"/>
      <c r="C8" s="5" t="str">
        <f>[2]BALANCESHEET!H7</f>
        <v>/төгрөгөөр/</v>
      </c>
    </row>
    <row r="9" spans="1:3">
      <c r="A9" s="29" t="s">
        <v>237</v>
      </c>
      <c r="B9" s="16" t="s">
        <v>341</v>
      </c>
      <c r="C9" s="16" t="s">
        <v>609</v>
      </c>
    </row>
    <row r="10" spans="1:3">
      <c r="A10" s="16" t="s">
        <v>642</v>
      </c>
      <c r="B10" s="31" t="s">
        <v>703</v>
      </c>
      <c r="C10" s="825">
        <f>SUM(C11:C14)</f>
        <v>0</v>
      </c>
    </row>
    <row r="11" spans="1:3">
      <c r="A11" s="23">
        <v>1</v>
      </c>
      <c r="B11" s="18" t="s">
        <v>643</v>
      </c>
      <c r="C11" s="826">
        <f>+BALANCESHEET!C12</f>
        <v>0</v>
      </c>
    </row>
    <row r="12" spans="1:3">
      <c r="A12" s="23">
        <v>2</v>
      </c>
      <c r="B12" s="18" t="s">
        <v>18</v>
      </c>
      <c r="C12" s="826">
        <f>+BALANCESHEET!C13</f>
        <v>0</v>
      </c>
    </row>
    <row r="13" spans="1:3">
      <c r="A13" s="23">
        <v>3</v>
      </c>
      <c r="B13" s="18" t="s">
        <v>23</v>
      </c>
      <c r="C13" s="826">
        <f>+BALANCESHEET!C14</f>
        <v>0</v>
      </c>
    </row>
    <row r="14" spans="1:3">
      <c r="A14" s="23">
        <v>4</v>
      </c>
      <c r="B14" s="18" t="s">
        <v>704</v>
      </c>
      <c r="C14" s="826">
        <f>+ALM!D14</f>
        <v>0</v>
      </c>
    </row>
    <row r="15" spans="1:3">
      <c r="A15" s="16" t="s">
        <v>515</v>
      </c>
      <c r="B15" s="30" t="s">
        <v>705</v>
      </c>
      <c r="C15" s="825">
        <f>SUM(C16:C21)</f>
        <v>0</v>
      </c>
    </row>
    <row r="16" spans="1:3">
      <c r="A16" s="23">
        <v>1</v>
      </c>
      <c r="B16" s="25" t="s">
        <v>706</v>
      </c>
      <c r="C16" s="826">
        <f>+BALANCESHEET!G12</f>
        <v>0</v>
      </c>
    </row>
    <row r="17" spans="1:3">
      <c r="A17" s="23">
        <v>2</v>
      </c>
      <c r="B17" s="25" t="s">
        <v>707</v>
      </c>
      <c r="C17" s="826">
        <f>+ALM!D18</f>
        <v>0</v>
      </c>
    </row>
    <row r="18" spans="1:3">
      <c r="A18" s="23">
        <v>3</v>
      </c>
      <c r="B18" s="25" t="s">
        <v>708</v>
      </c>
      <c r="C18" s="826">
        <f>+ALM!E18+ALM!F18+ALM!G18+ALM!H18+ALM!I18+ALM!J18</f>
        <v>0</v>
      </c>
    </row>
    <row r="19" spans="1:3">
      <c r="A19" s="23">
        <v>4</v>
      </c>
      <c r="B19" s="25" t="s">
        <v>709</v>
      </c>
      <c r="C19" s="826">
        <f>+ALM!D19+ALM!D20+ALM!D21+ALM!D22</f>
        <v>0</v>
      </c>
    </row>
    <row r="20" spans="1:3">
      <c r="A20" s="23">
        <v>5</v>
      </c>
      <c r="B20" s="25" t="s">
        <v>710</v>
      </c>
      <c r="C20" s="826">
        <f>+BALANCESHEET!G19</f>
        <v>0</v>
      </c>
    </row>
    <row r="21" spans="1:3">
      <c r="A21" s="23">
        <v>6</v>
      </c>
      <c r="B21" s="25" t="s">
        <v>711</v>
      </c>
      <c r="C21" s="826">
        <f>+SUM(ALM!E19:E22)+SUM(ALM!F19:F22)+SUM(ALM!G19:G22)+SUM(ALM!H19:H22)+SUM(ALM!I19:I22)+SUM(ALM!J19:J22)</f>
        <v>0</v>
      </c>
    </row>
    <row r="22" spans="1:3">
      <c r="A22" s="47"/>
      <c r="B22" s="16" t="s">
        <v>633</v>
      </c>
      <c r="C22" s="32"/>
    </row>
    <row r="23" spans="1:3" ht="14.25" customHeight="1">
      <c r="A23" s="16" t="s">
        <v>652</v>
      </c>
      <c r="B23" s="31" t="s">
        <v>813</v>
      </c>
      <c r="C23" s="827">
        <v>0.04</v>
      </c>
    </row>
    <row r="24" spans="1:3">
      <c r="A24" s="28">
        <v>1</v>
      </c>
      <c r="B24" s="18" t="s">
        <v>712</v>
      </c>
      <c r="C24" s="828" t="e">
        <f>(C10-C16-C17-C19-C20)/(C18+C21)</f>
        <v>#DIV/0!</v>
      </c>
    </row>
    <row r="25" spans="1:3">
      <c r="A25" s="23">
        <v>2</v>
      </c>
      <c r="B25" s="24" t="s">
        <v>713</v>
      </c>
      <c r="C25" s="41" t="e">
        <f>IF(C24&gt;C23,"-",VALUE(C23-C24))</f>
        <v>#DIV/0!</v>
      </c>
    </row>
    <row r="28" spans="1:3">
      <c r="A28" s="1238" t="s">
        <v>232</v>
      </c>
      <c r="B28" s="1238"/>
      <c r="C28" s="1238"/>
    </row>
    <row r="29" spans="1:3">
      <c r="A29" s="983" t="s">
        <v>233</v>
      </c>
      <c r="B29" s="983"/>
      <c r="C29" s="983"/>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G1" sqref="G1:G1048576"/>
    </sheetView>
  </sheetViews>
  <sheetFormatPr defaultColWidth="9.28515625" defaultRowHeight="12.75"/>
  <cols>
    <col min="1" max="1" width="3.28515625" style="539" bestFit="1" customWidth="1"/>
    <col min="2" max="2" width="48" style="539" customWidth="1"/>
    <col min="3" max="3" width="15.7109375" style="539" bestFit="1" customWidth="1"/>
    <col min="4" max="4" width="23.28515625" style="539" customWidth="1"/>
    <col min="5" max="6" width="9.28515625" style="539"/>
    <col min="7" max="7" width="7" style="539" hidden="1" customWidth="1"/>
    <col min="8" max="8" width="9.28515625" style="539"/>
    <col min="9" max="16384" width="9.28515625" style="532"/>
  </cols>
  <sheetData>
    <row r="1" spans="1:7">
      <c r="A1" s="310"/>
      <c r="B1" s="310"/>
      <c r="C1" s="310"/>
      <c r="D1" s="137" t="s">
        <v>749</v>
      </c>
    </row>
    <row r="2" spans="1:7">
      <c r="A2" s="310"/>
      <c r="B2" s="310"/>
      <c r="C2" s="310"/>
      <c r="D2" s="137" t="s">
        <v>761</v>
      </c>
    </row>
    <row r="3" spans="1:7">
      <c r="A3" s="310"/>
      <c r="B3" s="310"/>
      <c r="C3" s="310"/>
      <c r="D3" s="310"/>
    </row>
    <row r="4" spans="1:7">
      <c r="A4" s="1073" t="s">
        <v>714</v>
      </c>
      <c r="B4" s="1073"/>
      <c r="C4" s="1073"/>
      <c r="D4" s="1073"/>
    </row>
    <row r="5" spans="1:7">
      <c r="A5" s="1037" t="str">
        <f>+STATISTICS!A4</f>
        <v>ХАДГАЛАМЖ, ЗЭЭЛИЙН ХОРШООНЫ НЭР</v>
      </c>
      <c r="B5" s="1037"/>
      <c r="C5" s="1037"/>
      <c r="D5" s="1037"/>
    </row>
    <row r="6" spans="1:7">
      <c r="A6" s="997" t="str">
        <f>[2]BALANCE!A5</f>
        <v>ХАДГАЛАМЖ, ЗЭЭЛИЙН ХОРШОО</v>
      </c>
      <c r="B6" s="997"/>
      <c r="C6" s="997"/>
      <c r="D6" s="997"/>
    </row>
    <row r="7" spans="1:7">
      <c r="A7" s="310"/>
      <c r="B7" s="310"/>
      <c r="C7" s="310"/>
      <c r="D7" s="310"/>
    </row>
    <row r="8" spans="1:7">
      <c r="A8" s="1172" t="str">
        <f>+STATISTICS!A7</f>
        <v>Огноо</v>
      </c>
      <c r="B8" s="1172"/>
      <c r="C8" s="310"/>
      <c r="D8" s="310"/>
    </row>
    <row r="9" spans="1:7" ht="18.75" customHeight="1">
      <c r="A9" s="643" t="s">
        <v>237</v>
      </c>
      <c r="B9" s="644" t="s">
        <v>715</v>
      </c>
      <c r="C9" s="645" t="s">
        <v>716</v>
      </c>
      <c r="D9" s="644" t="s">
        <v>717</v>
      </c>
    </row>
    <row r="10" spans="1:7">
      <c r="A10" s="644" t="s">
        <v>642</v>
      </c>
      <c r="B10" s="1245" t="s">
        <v>718</v>
      </c>
      <c r="C10" s="1245"/>
      <c r="D10" s="1245"/>
    </row>
    <row r="11" spans="1:7" ht="27" customHeight="1">
      <c r="A11" s="646">
        <v>1</v>
      </c>
      <c r="B11" s="676" t="s">
        <v>719</v>
      </c>
      <c r="C11" s="647">
        <f>+A!F11+A!F18</f>
        <v>0</v>
      </c>
      <c r="D11" s="648">
        <f>+A!G12+A!G19</f>
        <v>0</v>
      </c>
    </row>
    <row r="12" spans="1:7">
      <c r="A12" s="649">
        <v>2</v>
      </c>
      <c r="B12" s="650" t="s">
        <v>720</v>
      </c>
      <c r="C12" s="651" t="s">
        <v>721</v>
      </c>
      <c r="D12" s="651" t="e">
        <f>+A!G27</f>
        <v>#DIV/0!</v>
      </c>
      <c r="G12" s="652" t="e">
        <f>IF(D12&lt;=0.05,"!","")</f>
        <v>#DIV/0!</v>
      </c>
    </row>
    <row r="13" spans="1:7" ht="25.5">
      <c r="A13" s="649">
        <v>3</v>
      </c>
      <c r="B13" s="650" t="s">
        <v>722</v>
      </c>
      <c r="C13" s="651" t="s">
        <v>723</v>
      </c>
      <c r="D13" s="651" t="e">
        <f>+'40 BIG LOAN'!O54</f>
        <v>#DIV/0!</v>
      </c>
      <c r="G13" s="652" t="e">
        <f>IF(D13&lt;=0.3,"!","")</f>
        <v>#DIV/0!</v>
      </c>
    </row>
    <row r="14" spans="1:7" ht="25.5">
      <c r="A14" s="649">
        <v>4</v>
      </c>
      <c r="B14" s="650" t="s">
        <v>724</v>
      </c>
      <c r="C14" s="651" t="s">
        <v>723</v>
      </c>
      <c r="D14" s="651" t="e">
        <f>+INSIDER!L54</f>
        <v>#DIV/0!</v>
      </c>
      <c r="G14" s="652" t="e">
        <f>IF(D14&lt;=0.3,"!","")</f>
        <v>#DIV/0!</v>
      </c>
    </row>
    <row r="15" spans="1:7" ht="21" customHeight="1">
      <c r="A15" s="644" t="s">
        <v>515</v>
      </c>
      <c r="B15" s="1246" t="s">
        <v>725</v>
      </c>
      <c r="C15" s="1246"/>
      <c r="D15" s="1246"/>
      <c r="G15" s="652"/>
    </row>
    <row r="16" spans="1:7" ht="25.5">
      <c r="A16" s="649">
        <v>1</v>
      </c>
      <c r="B16" s="653" t="s">
        <v>726</v>
      </c>
      <c r="C16" s="654" t="s">
        <v>727</v>
      </c>
      <c r="D16" s="654" t="e">
        <f>+E!C41</f>
        <v>#DIV/0!</v>
      </c>
      <c r="G16" s="652" t="e">
        <f>IF(AND(D16&gt;=0.6, D16&lt;=0.85),"!","")</f>
        <v>#DIV/0!</v>
      </c>
    </row>
    <row r="17" spans="1:7">
      <c r="A17" s="649">
        <v>2</v>
      </c>
      <c r="B17" s="653" t="s">
        <v>728</v>
      </c>
      <c r="C17" s="655" t="s">
        <v>729</v>
      </c>
      <c r="D17" s="655" t="e">
        <f>+E!C44</f>
        <v>#DIV/0!</v>
      </c>
      <c r="G17" s="652" t="e">
        <f>IF(D17&lt;=0.1,"!","")</f>
        <v>#DIV/0!</v>
      </c>
    </row>
    <row r="18" spans="1:7" ht="25.5">
      <c r="A18" s="649">
        <v>3</v>
      </c>
      <c r="B18" s="653" t="s">
        <v>730</v>
      </c>
      <c r="C18" s="655" t="s">
        <v>731</v>
      </c>
      <c r="D18" s="655" t="e">
        <f>+E!C47</f>
        <v>#DIV/0!</v>
      </c>
      <c r="G18" s="652" t="e">
        <f>IF(AND(D18&gt;=0.2,D18&lt;=0.8),"!","")</f>
        <v>#DIV/0!</v>
      </c>
    </row>
    <row r="19" spans="1:7">
      <c r="A19" s="649">
        <v>4</v>
      </c>
      <c r="B19" s="653" t="s">
        <v>732</v>
      </c>
      <c r="C19" s="655" t="s">
        <v>733</v>
      </c>
      <c r="D19" s="655" t="e">
        <f>+E!C50</f>
        <v>#DIV/0!</v>
      </c>
      <c r="G19" s="652" t="e">
        <f>IF(D19&lt;=0.2,"!","")</f>
        <v>#DIV/0!</v>
      </c>
    </row>
    <row r="20" spans="1:7" ht="25.5">
      <c r="A20" s="649">
        <v>5</v>
      </c>
      <c r="B20" s="653" t="s">
        <v>734</v>
      </c>
      <c r="C20" s="655" t="s">
        <v>729</v>
      </c>
      <c r="D20" s="655" t="e">
        <f>+E!C53</f>
        <v>#DIV/0!</v>
      </c>
      <c r="G20" s="652" t="e">
        <f>IF(D20&lt;=0.1,"!","")</f>
        <v>#DIV/0!</v>
      </c>
    </row>
    <row r="21" spans="1:7">
      <c r="A21" s="649">
        <v>6</v>
      </c>
      <c r="B21" s="653" t="s">
        <v>735</v>
      </c>
      <c r="C21" s="655" t="s">
        <v>736</v>
      </c>
      <c r="D21" s="655" t="e">
        <f>+E!C59</f>
        <v>#DIV/0!</v>
      </c>
      <c r="G21" s="652" t="e">
        <f>IF(D21&gt;=0.05,"!","")</f>
        <v>#DIV/0!</v>
      </c>
    </row>
    <row r="22" spans="1:7" ht="25.5">
      <c r="A22" s="649">
        <v>7</v>
      </c>
      <c r="B22" s="653" t="s">
        <v>737</v>
      </c>
      <c r="C22" s="656">
        <f>+IF(BALANCESHEET!C51&gt;0,BALANCESHEET!C51*3%,0)</f>
        <v>0</v>
      </c>
      <c r="D22" s="657">
        <f>+BALANCESHEET!G42</f>
        <v>0</v>
      </c>
      <c r="G22" s="652" t="str">
        <f>IF(C22&lt;D22,"!","")</f>
        <v/>
      </c>
    </row>
    <row r="23" spans="1:7" ht="25.5">
      <c r="A23" s="649">
        <v>8</v>
      </c>
      <c r="B23" s="653" t="s">
        <v>738</v>
      </c>
      <c r="C23" s="656">
        <f>+IF(BALANCESHEET!G41&gt;0,BALANCESHEET!G41*5%,0)</f>
        <v>0</v>
      </c>
      <c r="D23" s="657">
        <f>+BALANCESHEET!G44</f>
        <v>0</v>
      </c>
      <c r="G23" s="652" t="str">
        <f>IF(C23&lt;D23,"!","")</f>
        <v/>
      </c>
    </row>
    <row r="24" spans="1:7" ht="25.5">
      <c r="A24" s="649">
        <v>9</v>
      </c>
      <c r="B24" s="653" t="s">
        <v>739</v>
      </c>
      <c r="C24" s="656">
        <f>+IF(BALANCESHEET!G41&gt;0,BALANCESHEET!G41*5%,0)</f>
        <v>0</v>
      </c>
      <c r="D24" s="657">
        <f>+BALANCESHEET!G46</f>
        <v>0</v>
      </c>
      <c r="G24" s="652" t="str">
        <f>IF(C24&lt;D24,"!","")</f>
        <v/>
      </c>
    </row>
    <row r="25" spans="1:7">
      <c r="A25" s="644" t="s">
        <v>652</v>
      </c>
      <c r="B25" s="1247" t="s">
        <v>740</v>
      </c>
      <c r="C25" s="1247"/>
      <c r="D25" s="1247"/>
      <c r="G25" s="652"/>
    </row>
    <row r="26" spans="1:7" ht="25.5">
      <c r="A26" s="649">
        <v>10</v>
      </c>
      <c r="B26" s="658" t="s">
        <v>741</v>
      </c>
      <c r="C26" s="655" t="s">
        <v>742</v>
      </c>
      <c r="D26" s="655" t="e">
        <f>+'R'!C25</f>
        <v>#DIV/0!</v>
      </c>
      <c r="G26" s="652" t="e">
        <f>IF(D26&lt;=0.15,"!","")</f>
        <v>#DIV/0!</v>
      </c>
    </row>
    <row r="27" spans="1:7">
      <c r="A27" s="644" t="s">
        <v>654</v>
      </c>
      <c r="B27" s="1246" t="s">
        <v>743</v>
      </c>
      <c r="C27" s="1246"/>
      <c r="D27" s="1246"/>
      <c r="G27" s="652"/>
    </row>
    <row r="28" spans="1:7" ht="25.5">
      <c r="A28" s="649">
        <v>11</v>
      </c>
      <c r="B28" s="664" t="s">
        <v>744</v>
      </c>
      <c r="C28" s="659" t="s">
        <v>806</v>
      </c>
      <c r="D28" s="659" t="e">
        <f>+L!C24</f>
        <v>#DIV/0!</v>
      </c>
      <c r="G28" s="660" t="e">
        <f>IF(D28&gt;=0.04,"!","")</f>
        <v>#DIV/0!</v>
      </c>
    </row>
    <row r="29" spans="1:7" ht="18.75" customHeight="1">
      <c r="A29" s="644" t="s">
        <v>678</v>
      </c>
      <c r="B29" s="1246" t="s">
        <v>745</v>
      </c>
      <c r="C29" s="1246"/>
      <c r="D29" s="1246"/>
      <c r="G29" s="660"/>
    </row>
    <row r="30" spans="1:7">
      <c r="A30" s="646">
        <v>12</v>
      </c>
      <c r="B30" s="1248" t="s">
        <v>746</v>
      </c>
      <c r="C30" s="1248"/>
      <c r="D30" s="651" t="e">
        <f>+'R'!C28</f>
        <v>#DIV/0!</v>
      </c>
      <c r="G30" s="660"/>
    </row>
    <row r="31" spans="1:7">
      <c r="A31" s="234"/>
      <c r="B31" s="234"/>
      <c r="C31" s="234"/>
      <c r="D31" s="234"/>
    </row>
    <row r="32" spans="1:7">
      <c r="A32" s="234"/>
      <c r="B32" s="661" t="s">
        <v>777</v>
      </c>
      <c r="C32" s="234">
        <f>COUNTIF(G9:G30,"!")</f>
        <v>0</v>
      </c>
      <c r="D32" s="663" t="s">
        <v>747</v>
      </c>
    </row>
    <row r="35" spans="1:4">
      <c r="A35" s="1001" t="s">
        <v>232</v>
      </c>
      <c r="B35" s="1051"/>
      <c r="C35" s="1051"/>
      <c r="D35" s="1051"/>
    </row>
    <row r="36" spans="1:4">
      <c r="A36" s="1051" t="s">
        <v>233</v>
      </c>
      <c r="B36" s="1051"/>
      <c r="C36" s="1051"/>
      <c r="D36" s="1051"/>
    </row>
    <row r="38" spans="1:4">
      <c r="B38" s="661" t="s">
        <v>234</v>
      </c>
      <c r="D38" s="539" t="str">
        <f>+STATISTICS!C94</f>
        <v>/Нэр/</v>
      </c>
    </row>
    <row r="39" spans="1:4">
      <c r="B39" s="661"/>
    </row>
    <row r="40" spans="1:4">
      <c r="B40" s="661" t="s">
        <v>236</v>
      </c>
      <c r="D40" s="539" t="str">
        <f>+STATISTICS!C96</f>
        <v>/Нэр/</v>
      </c>
    </row>
  </sheetData>
  <sheetProtection algorithmName="SHA-512" hashValue="S3OIw7QVbAEex4gMrCytFcZMz0a8tcwbrtCimjnCXhayiFA6nVp4OdE0inumeaj5PBgpqejy9P/eThOBzYB1VQ==" saltValue="faujGQze2qz6/Da2wUpCDA==" spinCount="100000" sheet="1" objects="1" scenarios="1"/>
  <mergeCells count="12">
    <mergeCell ref="A35:D35"/>
    <mergeCell ref="A36:D36"/>
    <mergeCell ref="B15:D15"/>
    <mergeCell ref="B25:D25"/>
    <mergeCell ref="B27:D27"/>
    <mergeCell ref="B29:D29"/>
    <mergeCell ref="B30:C30"/>
    <mergeCell ref="A4:D4"/>
    <mergeCell ref="A5:D5"/>
    <mergeCell ref="A6:D6"/>
    <mergeCell ref="A8:B8"/>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10" zoomScale="85" zoomScaleNormal="85" workbookViewId="0">
      <selection activeCell="C15" sqref="C15"/>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62" t="s">
        <v>749</v>
      </c>
      <c r="D1" s="450"/>
      <c r="E1" s="450"/>
    </row>
    <row r="2" spans="1:7">
      <c r="A2" s="80"/>
      <c r="B2" s="80"/>
      <c r="C2" s="662" t="s">
        <v>750</v>
      </c>
      <c r="D2" s="450"/>
      <c r="E2" s="450"/>
    </row>
    <row r="3" spans="1:7">
      <c r="A3" s="997" t="s">
        <v>284</v>
      </c>
      <c r="B3" s="997"/>
      <c r="C3" s="997"/>
      <c r="D3" s="118"/>
      <c r="E3" s="62"/>
      <c r="F3" s="62"/>
      <c r="G3" s="62"/>
    </row>
    <row r="4" spans="1:7">
      <c r="A4" s="998" t="s">
        <v>805</v>
      </c>
      <c r="B4" s="998"/>
      <c r="C4" s="998"/>
      <c r="D4" s="118"/>
      <c r="E4" s="62"/>
      <c r="F4" s="62"/>
      <c r="G4" s="62"/>
    </row>
    <row r="5" spans="1:7">
      <c r="A5" s="997" t="s">
        <v>4</v>
      </c>
      <c r="B5" s="997"/>
      <c r="C5" s="997"/>
      <c r="D5" s="118"/>
      <c r="E5" s="62"/>
      <c r="F5" s="62"/>
      <c r="G5" s="62"/>
    </row>
    <row r="6" spans="1:7">
      <c r="A6" s="80"/>
      <c r="B6" s="80"/>
      <c r="C6" s="80"/>
    </row>
    <row r="7" spans="1:7" ht="15.75" thickBot="1">
      <c r="A7" s="999" t="s">
        <v>819</v>
      </c>
      <c r="B7" s="999"/>
      <c r="C7" s="64"/>
    </row>
    <row r="8" spans="1:7">
      <c r="A8" s="1000" t="s">
        <v>237</v>
      </c>
      <c r="B8" s="1000" t="s">
        <v>238</v>
      </c>
      <c r="C8" s="1000" t="s">
        <v>799</v>
      </c>
    </row>
    <row r="9" spans="1:7" ht="15.75" thickBot="1">
      <c r="A9" s="989"/>
      <c r="B9" s="989"/>
      <c r="C9" s="989"/>
    </row>
    <row r="10" spans="1:7" ht="15.75" thickBot="1">
      <c r="A10" s="81" t="s">
        <v>239</v>
      </c>
      <c r="B10" s="990" t="s">
        <v>240</v>
      </c>
      <c r="C10" s="991"/>
    </row>
    <row r="11" spans="1:7" ht="15.75" thickBot="1">
      <c r="A11" s="992">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993"/>
      <c r="B12" s="83" t="s">
        <v>271</v>
      </c>
      <c r="C12" s="65"/>
      <c r="D12" s="119" t="str">
        <f>+IF(C12&gt;0,"","Утга нөхөх")</f>
        <v>Утга нөхөх</v>
      </c>
    </row>
    <row r="13" spans="1:7">
      <c r="A13" s="993"/>
      <c r="B13" s="83" t="s">
        <v>272</v>
      </c>
      <c r="C13" s="65"/>
      <c r="D13" s="119" t="str">
        <f>+IF(C13&gt;0,"","Утга нөхөх")</f>
        <v>Утга нөхөх</v>
      </c>
    </row>
    <row r="14" spans="1:7" ht="15.75" thickBot="1">
      <c r="A14" s="994"/>
      <c r="B14" s="83" t="s">
        <v>273</v>
      </c>
      <c r="C14" s="65"/>
      <c r="D14" s="119" t="str">
        <f>+IF(C14="","Утга нөхөх","")</f>
        <v>Утга нөхөх</v>
      </c>
    </row>
    <row r="15" spans="1:7" ht="15.75" thickBot="1">
      <c r="A15" s="992">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988"/>
      <c r="B16" s="86" t="s">
        <v>243</v>
      </c>
      <c r="C16" s="65"/>
    </row>
    <row r="17" spans="1:4">
      <c r="A17" s="988"/>
      <c r="B17" s="86" t="s">
        <v>244</v>
      </c>
      <c r="C17" s="65"/>
    </row>
    <row r="18" spans="1:4">
      <c r="A18" s="988"/>
      <c r="B18" s="86" t="s">
        <v>245</v>
      </c>
      <c r="C18" s="65"/>
    </row>
    <row r="19" spans="1:4" ht="15.75" thickBot="1">
      <c r="A19" s="989"/>
      <c r="B19" s="86" t="s">
        <v>246</v>
      </c>
      <c r="C19" s="65"/>
    </row>
    <row r="20" spans="1:4" ht="15.75" thickBot="1">
      <c r="A20" s="992">
        <v>3</v>
      </c>
      <c r="B20" s="85" t="s">
        <v>247</v>
      </c>
      <c r="C20" s="834">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988"/>
      <c r="B21" s="87" t="s">
        <v>248</v>
      </c>
      <c r="C21" s="65"/>
    </row>
    <row r="22" spans="1:4">
      <c r="A22" s="988"/>
      <c r="B22" s="86" t="s">
        <v>249</v>
      </c>
      <c r="C22" s="65"/>
    </row>
    <row r="23" spans="1:4">
      <c r="A23" s="988"/>
      <c r="B23" s="86" t="s">
        <v>250</v>
      </c>
      <c r="C23" s="65"/>
    </row>
    <row r="24" spans="1:4">
      <c r="A24" s="988"/>
      <c r="B24" s="86" t="s">
        <v>251</v>
      </c>
      <c r="C24" s="65"/>
    </row>
    <row r="25" spans="1:4" ht="15.75" thickBot="1">
      <c r="A25" s="988"/>
      <c r="B25" s="86" t="s">
        <v>252</v>
      </c>
      <c r="C25" s="65"/>
    </row>
    <row r="26" spans="1:4" ht="15.75" thickBot="1">
      <c r="A26" s="88" t="s">
        <v>261</v>
      </c>
      <c r="B26" s="995" t="s">
        <v>253</v>
      </c>
      <c r="C26" s="996"/>
    </row>
    <row r="27" spans="1:4" ht="15.75" thickBot="1">
      <c r="A27" s="984">
        <v>4</v>
      </c>
      <c r="B27" s="89" t="s">
        <v>814</v>
      </c>
      <c r="C27" s="92">
        <f>+C28+C30</f>
        <v>0</v>
      </c>
    </row>
    <row r="28" spans="1:4">
      <c r="A28" s="985"/>
      <c r="B28" s="90" t="s">
        <v>784</v>
      </c>
      <c r="C28" s="66"/>
      <c r="D28" s="119" t="str">
        <f>+IF(C28="","Утга нөхөх","")</f>
        <v>Утга нөхөх</v>
      </c>
    </row>
    <row r="29" spans="1:4">
      <c r="A29" s="985"/>
      <c r="B29" s="665" t="s">
        <v>801</v>
      </c>
      <c r="C29" s="65"/>
      <c r="D29" s="119" t="str">
        <f>+IF(C29="","Утга нөхөх","")</f>
        <v>Утга нөхөх</v>
      </c>
    </row>
    <row r="30" spans="1:4" ht="15.75" thickBot="1">
      <c r="A30" s="986"/>
      <c r="B30" s="91" t="s">
        <v>785</v>
      </c>
      <c r="C30" s="67"/>
      <c r="D30" s="119" t="str">
        <f>+IF(C30="","Утга нөхөх","")</f>
        <v>Утга нөхөх</v>
      </c>
    </row>
    <row r="31" spans="1:4" ht="15.75" thickBot="1">
      <c r="A31" s="985">
        <v>5</v>
      </c>
      <c r="B31" s="93" t="s">
        <v>800</v>
      </c>
      <c r="C31" s="92">
        <f>+C32+C33+C34</f>
        <v>0</v>
      </c>
      <c r="D31" s="120" t="str">
        <f>IF(C31=C27,"","Зээлдэгчдийн тоо зөрүүтэй байна")</f>
        <v/>
      </c>
    </row>
    <row r="32" spans="1:4">
      <c r="A32" s="985"/>
      <c r="B32" s="94" t="s">
        <v>254</v>
      </c>
      <c r="C32" s="68"/>
      <c r="D32" s="119" t="str">
        <f>+IF(C32="","Утга нөхөх","")</f>
        <v>Утга нөхөх</v>
      </c>
    </row>
    <row r="33" spans="1:4" ht="15.75" thickBot="1">
      <c r="A33" s="985"/>
      <c r="B33" s="95" t="s">
        <v>255</v>
      </c>
      <c r="C33" s="67"/>
      <c r="D33" s="119" t="str">
        <f>+IF(C33="","Утга нөхөх","")</f>
        <v>Утга нөхөх</v>
      </c>
    </row>
    <row r="34" spans="1:4" ht="15.75" thickBot="1">
      <c r="A34" s="985"/>
      <c r="B34" s="96" t="s">
        <v>256</v>
      </c>
      <c r="C34" s="98">
        <f>+SUM(C35:C37)</f>
        <v>0</v>
      </c>
    </row>
    <row r="35" spans="1:4">
      <c r="A35" s="985"/>
      <c r="B35" s="94" t="s">
        <v>274</v>
      </c>
      <c r="C35" s="69"/>
      <c r="D35" s="119" t="str">
        <f>+IF(C35="","Утга нөхөх","")</f>
        <v>Утга нөхөх</v>
      </c>
    </row>
    <row r="36" spans="1:4">
      <c r="A36" s="985"/>
      <c r="B36" s="97" t="s">
        <v>275</v>
      </c>
      <c r="C36" s="69"/>
      <c r="D36" s="119" t="str">
        <f>+IF(C36="","Утга нөхөх","")</f>
        <v>Утга нөхөх</v>
      </c>
    </row>
    <row r="37" spans="1:4" ht="15.75" thickBot="1">
      <c r="A37" s="986"/>
      <c r="B37" s="95" t="s">
        <v>278</v>
      </c>
      <c r="C37" s="70"/>
      <c r="D37" s="119" t="str">
        <f>+IF(C37="","Утга нөхөх","")</f>
        <v>Утга нөхөх</v>
      </c>
    </row>
    <row r="38" spans="1:4" ht="15.75" thickBot="1">
      <c r="A38" s="987">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988"/>
      <c r="B39" s="86" t="s">
        <v>243</v>
      </c>
      <c r="C39" s="65"/>
    </row>
    <row r="40" spans="1:4">
      <c r="A40" s="988"/>
      <c r="B40" s="86" t="s">
        <v>244</v>
      </c>
      <c r="C40" s="65"/>
    </row>
    <row r="41" spans="1:4">
      <c r="A41" s="988"/>
      <c r="B41" s="86" t="s">
        <v>245</v>
      </c>
      <c r="C41" s="65"/>
    </row>
    <row r="42" spans="1:4" ht="15.75" thickBot="1">
      <c r="A42" s="989"/>
      <c r="B42" s="86" t="s">
        <v>246</v>
      </c>
      <c r="C42" s="65"/>
    </row>
    <row r="43" spans="1:4" ht="15.75" thickBot="1">
      <c r="A43" s="992">
        <v>7</v>
      </c>
      <c r="B43" s="85" t="s">
        <v>277</v>
      </c>
      <c r="C43" s="834">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988"/>
      <c r="B44" s="86" t="s">
        <v>248</v>
      </c>
      <c r="C44" s="65"/>
    </row>
    <row r="45" spans="1:4">
      <c r="A45" s="988"/>
      <c r="B45" s="86" t="s">
        <v>249</v>
      </c>
      <c r="C45" s="65"/>
    </row>
    <row r="46" spans="1:4">
      <c r="A46" s="988"/>
      <c r="B46" s="86" t="s">
        <v>250</v>
      </c>
      <c r="C46" s="65"/>
    </row>
    <row r="47" spans="1:4">
      <c r="A47" s="988"/>
      <c r="B47" s="86" t="s">
        <v>251</v>
      </c>
      <c r="C47" s="65"/>
    </row>
    <row r="48" spans="1:4" ht="15.75" thickBot="1">
      <c r="A48" s="988"/>
      <c r="B48" s="86" t="s">
        <v>252</v>
      </c>
      <c r="C48" s="65"/>
    </row>
    <row r="49" spans="1:4" ht="15.75" thickBot="1">
      <c r="A49" s="99">
        <v>8</v>
      </c>
      <c r="B49" s="100" t="s">
        <v>257</v>
      </c>
      <c r="C49" s="903"/>
      <c r="D49" s="119" t="str">
        <f>+IF(C49&gt;0,"","Утга нөхөх")</f>
        <v>Утга нөхөх</v>
      </c>
    </row>
    <row r="50" spans="1:4" ht="15.75" thickBot="1">
      <c r="A50" s="93" t="s">
        <v>279</v>
      </c>
      <c r="B50" s="1002" t="s">
        <v>786</v>
      </c>
      <c r="C50" s="1003"/>
    </row>
    <row r="51" spans="1:4" ht="15.75" thickBot="1">
      <c r="A51" s="987">
        <v>9</v>
      </c>
      <c r="B51" s="101" t="s">
        <v>815</v>
      </c>
      <c r="C51" s="104">
        <f>+SUM(+C52+C56)</f>
        <v>0</v>
      </c>
    </row>
    <row r="52" spans="1:4">
      <c r="A52" s="993"/>
      <c r="B52" s="674" t="s">
        <v>787</v>
      </c>
      <c r="C52" s="673">
        <f>+C53+C55</f>
        <v>0</v>
      </c>
    </row>
    <row r="53" spans="1:4">
      <c r="A53" s="993"/>
      <c r="B53" s="667" t="s">
        <v>258</v>
      </c>
      <c r="C53" s="668"/>
      <c r="D53" s="119" t="str">
        <f t="shared" ref="D53:D59" si="0">+IF(C53="","Утга нөхөх","")</f>
        <v>Утга нөхөх</v>
      </c>
    </row>
    <row r="54" spans="1:4">
      <c r="A54" s="993"/>
      <c r="B54" s="666" t="s">
        <v>802</v>
      </c>
      <c r="C54" s="671"/>
      <c r="D54" s="119" t="str">
        <f t="shared" si="0"/>
        <v>Утга нөхөх</v>
      </c>
    </row>
    <row r="55" spans="1:4">
      <c r="A55" s="993"/>
      <c r="B55" s="102" t="s">
        <v>259</v>
      </c>
      <c r="C55" s="669"/>
      <c r="D55" s="119" t="str">
        <f t="shared" si="0"/>
        <v>Утга нөхөх</v>
      </c>
    </row>
    <row r="56" spans="1:4">
      <c r="A56" s="993"/>
      <c r="B56" s="672" t="s">
        <v>788</v>
      </c>
      <c r="C56" s="673">
        <f>C57+C59</f>
        <v>0</v>
      </c>
    </row>
    <row r="57" spans="1:4">
      <c r="A57" s="993"/>
      <c r="B57" s="670" t="s">
        <v>258</v>
      </c>
      <c r="C57" s="668"/>
      <c r="D57" s="119" t="str">
        <f t="shared" si="0"/>
        <v>Утга нөхөх</v>
      </c>
    </row>
    <row r="58" spans="1:4">
      <c r="A58" s="993"/>
      <c r="B58" s="665" t="s">
        <v>802</v>
      </c>
      <c r="C58" s="671"/>
      <c r="D58" s="119" t="str">
        <f t="shared" si="0"/>
        <v>Утга нөхөх</v>
      </c>
    </row>
    <row r="59" spans="1:4" ht="15.75" thickBot="1">
      <c r="A59" s="994"/>
      <c r="B59" s="103" t="s">
        <v>259</v>
      </c>
      <c r="C59" s="71"/>
      <c r="D59" s="119" t="str">
        <f t="shared" si="0"/>
        <v>Утга нөхөх</v>
      </c>
    </row>
    <row r="60" spans="1:4" ht="15.75" thickBot="1">
      <c r="A60" s="992">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88"/>
      <c r="B61" s="86" t="s">
        <v>243</v>
      </c>
      <c r="C61" s="65"/>
    </row>
    <row r="62" spans="1:4">
      <c r="A62" s="988"/>
      <c r="B62" s="86" t="s">
        <v>244</v>
      </c>
      <c r="C62" s="65"/>
    </row>
    <row r="63" spans="1:4">
      <c r="A63" s="988"/>
      <c r="B63" s="87" t="s">
        <v>245</v>
      </c>
      <c r="C63" s="65"/>
    </row>
    <row r="64" spans="1:4" ht="15.75" thickBot="1">
      <c r="A64" s="989"/>
      <c r="B64" s="86" t="s">
        <v>246</v>
      </c>
      <c r="C64" s="65"/>
    </row>
    <row r="65" spans="1:7" ht="15.75" thickBot="1">
      <c r="A65" s="992">
        <v>11</v>
      </c>
      <c r="B65" s="101" t="s">
        <v>790</v>
      </c>
      <c r="C65" s="835">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88"/>
      <c r="B66" s="86" t="s">
        <v>248</v>
      </c>
      <c r="C66" s="65"/>
    </row>
    <row r="67" spans="1:7">
      <c r="A67" s="988"/>
      <c r="B67" s="86" t="s">
        <v>249</v>
      </c>
      <c r="C67" s="65"/>
    </row>
    <row r="68" spans="1:7">
      <c r="A68" s="988"/>
      <c r="B68" s="86" t="s">
        <v>250</v>
      </c>
      <c r="C68" s="65"/>
    </row>
    <row r="69" spans="1:7">
      <c r="A69" s="988"/>
      <c r="B69" s="86" t="s">
        <v>251</v>
      </c>
      <c r="C69" s="65"/>
    </row>
    <row r="70" spans="1:7" ht="15.75" thickBot="1">
      <c r="A70" s="988"/>
      <c r="B70" s="86" t="s">
        <v>252</v>
      </c>
      <c r="C70" s="65"/>
    </row>
    <row r="71" spans="1:7" ht="15.75" thickBot="1">
      <c r="A71" s="106">
        <v>12</v>
      </c>
      <c r="B71" s="100" t="s">
        <v>260</v>
      </c>
      <c r="C71" s="904"/>
      <c r="D71" s="119" t="str">
        <f>+IF(C71&gt;0,"","Утга нөхөх")</f>
        <v>Утга нөхөх</v>
      </c>
      <c r="G71" s="696"/>
    </row>
    <row r="72" spans="1:7" ht="15.75" thickBot="1">
      <c r="A72" s="107" t="s">
        <v>280</v>
      </c>
      <c r="B72" s="1004" t="s">
        <v>262</v>
      </c>
      <c r="C72" s="1005"/>
    </row>
    <row r="73" spans="1:7" ht="15" customHeight="1" thickBot="1">
      <c r="A73" s="1018">
        <v>13</v>
      </c>
      <c r="B73" s="108" t="s">
        <v>811</v>
      </c>
      <c r="C73" s="72"/>
      <c r="D73" s="119" t="str">
        <f t="shared" ref="D73:D74" si="1">+IF(C73="","Утга нөхөх","")</f>
        <v>Утга нөхөх</v>
      </c>
    </row>
    <row r="74" spans="1:7">
      <c r="A74" s="1019"/>
      <c r="B74" s="829" t="s">
        <v>816</v>
      </c>
      <c r="C74" s="693"/>
      <c r="D74" s="119" t="str">
        <f t="shared" si="1"/>
        <v>Утга нөхөх</v>
      </c>
    </row>
    <row r="75" spans="1:7" ht="15.75" thickBot="1">
      <c r="A75" s="1020"/>
      <c r="B75" s="694" t="s">
        <v>812</v>
      </c>
      <c r="C75" s="695"/>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14">
        <v>15</v>
      </c>
      <c r="B77" s="110" t="s">
        <v>283</v>
      </c>
      <c r="C77" s="74"/>
      <c r="D77" s="119" t="str">
        <f>+IF(C77="","Утга сонгох","")</f>
        <v>Утга сонгох</v>
      </c>
    </row>
    <row r="78" spans="1:7" ht="15.75" thickBot="1">
      <c r="A78" s="1015"/>
      <c r="B78" s="111" t="s">
        <v>263</v>
      </c>
      <c r="C78" s="75"/>
      <c r="D78" s="119" t="str">
        <f>+IF(C78="",IF(C77="Тийм","Утга нөхөх",""),"")</f>
        <v/>
      </c>
    </row>
    <row r="79" spans="1:7" ht="15.75" thickBot="1">
      <c r="A79" s="1006">
        <v>16</v>
      </c>
      <c r="B79" s="1016" t="s">
        <v>264</v>
      </c>
      <c r="C79" s="1017"/>
    </row>
    <row r="80" spans="1:7">
      <c r="A80" s="993"/>
      <c r="B80" s="112" t="s">
        <v>265</v>
      </c>
      <c r="C80" s="973"/>
      <c r="D80" s="119" t="str">
        <f>+IF(C80&gt;0,"","Утга нөхөх")</f>
        <v>Утга нөхөх</v>
      </c>
    </row>
    <row r="81" spans="1:4" ht="15.75" thickBot="1">
      <c r="A81" s="993"/>
      <c r="B81" s="113" t="s">
        <v>266</v>
      </c>
      <c r="C81" s="76"/>
      <c r="D81" s="119" t="str">
        <f>+IF(C81&gt;0,"","Утга нөхөх")</f>
        <v>Утга нөхөх</v>
      </c>
    </row>
    <row r="82" spans="1:4" ht="15.75" thickBot="1">
      <c r="A82" s="114" t="s">
        <v>282</v>
      </c>
      <c r="B82" s="1010" t="s">
        <v>281</v>
      </c>
      <c r="C82" s="1011"/>
    </row>
    <row r="83" spans="1:4" ht="15.75" thickBot="1">
      <c r="A83" s="1007">
        <v>17</v>
      </c>
      <c r="B83" s="1012" t="s">
        <v>803</v>
      </c>
      <c r="C83" s="1013"/>
    </row>
    <row r="84" spans="1:4">
      <c r="A84" s="1008"/>
      <c r="B84" s="115" t="s">
        <v>267</v>
      </c>
      <c r="C84" s="77"/>
      <c r="D84" s="119" t="str">
        <f>+IF(C84&gt;0,"",IF(C84="","Утга нөхөх",""))</f>
        <v>Утга нөхөх</v>
      </c>
    </row>
    <row r="85" spans="1:4" ht="15.75" thickBot="1">
      <c r="A85" s="1008"/>
      <c r="B85" s="116" t="s">
        <v>268</v>
      </c>
      <c r="C85" s="78"/>
      <c r="D85" s="119" t="str">
        <f>IF(C85="",IF(C84&gt;0,"Утга нөхөх",""),"")</f>
        <v/>
      </c>
    </row>
    <row r="86" spans="1:4" ht="15.75" thickBot="1">
      <c r="A86" s="1008"/>
      <c r="B86" s="1012" t="s">
        <v>804</v>
      </c>
      <c r="C86" s="1013"/>
    </row>
    <row r="87" spans="1:4">
      <c r="A87" s="1008"/>
      <c r="B87" s="115" t="s">
        <v>269</v>
      </c>
      <c r="C87" s="77"/>
      <c r="D87" s="119" t="str">
        <f>+IF(C87&gt;0,"",IF(C87="","Утга нөхөх",""))</f>
        <v>Утга нөхөх</v>
      </c>
    </row>
    <row r="88" spans="1:4" ht="15.75" thickBot="1">
      <c r="A88" s="1009"/>
      <c r="B88" s="117" t="s">
        <v>270</v>
      </c>
      <c r="C88" s="78"/>
      <c r="D88" s="119" t="str">
        <f>IF(C88="",IF(C87&gt;0,"Утга нөхөх",""),"")</f>
        <v/>
      </c>
    </row>
    <row r="91" spans="1:4">
      <c r="A91" s="1001" t="s">
        <v>232</v>
      </c>
      <c r="B91" s="1001"/>
      <c r="C91" s="1001"/>
    </row>
    <row r="92" spans="1:4">
      <c r="A92" s="79"/>
      <c r="B92" s="675"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 ref="A3:C3"/>
    <mergeCell ref="A4:C4"/>
    <mergeCell ref="A5:C5"/>
    <mergeCell ref="A7:B7"/>
    <mergeCell ref="A8:A9"/>
    <mergeCell ref="B8:B9"/>
    <mergeCell ref="C8:C9"/>
    <mergeCell ref="A27:A30"/>
    <mergeCell ref="A31:A37"/>
    <mergeCell ref="A38:A42"/>
    <mergeCell ref="B10:C10"/>
    <mergeCell ref="A11:A14"/>
    <mergeCell ref="A15:A19"/>
    <mergeCell ref="A20:A25"/>
    <mergeCell ref="B26:C26"/>
  </mergeCells>
  <dataValidations count="5">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 type="textLength" allowBlank="1" showInputMessage="1" showErrorMessage="1" sqref="C80">
      <formula1>1</formula1>
      <formula2>1000000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C67" zoomScale="85" zoomScaleNormal="85" workbookViewId="0">
      <selection activeCell="H85" sqref="H85"/>
    </sheetView>
  </sheetViews>
  <sheetFormatPr defaultRowHeight="12.75"/>
  <cols>
    <col min="1" max="1" width="5.140625" style="136" customWidth="1"/>
    <col min="2" max="2" width="39.42578125" style="136" customWidth="1"/>
    <col min="3" max="3" width="13" style="136" customWidth="1"/>
    <col min="4" max="4" width="20" style="136" customWidth="1"/>
    <col min="5" max="5" width="12.28515625" style="136" customWidth="1"/>
    <col min="6" max="6" width="48.5703125" style="136" customWidth="1"/>
    <col min="7" max="7" width="13.140625" style="136" bestFit="1" customWidth="1"/>
    <col min="8" max="8" width="20.28515625" style="136" customWidth="1"/>
    <col min="9" max="16384" width="9.140625" style="79"/>
  </cols>
  <sheetData>
    <row r="1" spans="1:8">
      <c r="F1" s="1029" t="s">
        <v>749</v>
      </c>
      <c r="G1" s="1029"/>
      <c r="H1" s="1029"/>
    </row>
    <row r="2" spans="1:8">
      <c r="F2" s="1029" t="s">
        <v>750</v>
      </c>
      <c r="G2" s="1029"/>
      <c r="H2" s="1029"/>
    </row>
    <row r="3" spans="1:8">
      <c r="F3" s="137"/>
      <c r="G3" s="137"/>
      <c r="H3" s="137"/>
    </row>
    <row r="4" spans="1:8">
      <c r="A4" s="997" t="s">
        <v>3</v>
      </c>
      <c r="B4" s="1036"/>
      <c r="C4" s="1036"/>
      <c r="D4" s="1036"/>
      <c r="E4" s="1036"/>
      <c r="F4" s="1036"/>
      <c r="G4" s="1036"/>
      <c r="H4" s="1036"/>
    </row>
    <row r="5" spans="1:8">
      <c r="A5" s="1037" t="str">
        <f>+STATISTICS!A4</f>
        <v>ХАДГАЛАМЖ, ЗЭЭЛИЙН ХОРШООНЫ НЭР</v>
      </c>
      <c r="B5" s="1036"/>
      <c r="C5" s="1036"/>
      <c r="D5" s="1036"/>
      <c r="E5" s="1036"/>
      <c r="F5" s="1036"/>
      <c r="G5" s="1036"/>
      <c r="H5" s="1036"/>
    </row>
    <row r="6" spans="1:8">
      <c r="A6" s="997" t="s">
        <v>4</v>
      </c>
      <c r="B6" s="1036"/>
      <c r="C6" s="1036"/>
      <c r="D6" s="1036"/>
      <c r="E6" s="1036"/>
      <c r="F6" s="1036"/>
      <c r="G6" s="1036"/>
      <c r="H6" s="1036"/>
    </row>
    <row r="7" spans="1:8" ht="13.5" thickBot="1">
      <c r="A7" s="1038" t="str">
        <f>+STATISTICS!A7</f>
        <v>Огноо</v>
      </c>
      <c r="B7" s="1038"/>
      <c r="C7" s="138"/>
      <c r="D7" s="139"/>
      <c r="E7" s="139"/>
      <c r="F7" s="139"/>
      <c r="G7" s="139"/>
      <c r="H7" s="140" t="s">
        <v>5</v>
      </c>
    </row>
    <row r="8" spans="1:8">
      <c r="A8" s="1039" t="s">
        <v>6</v>
      </c>
      <c r="B8" s="1040"/>
      <c r="C8" s="1041" t="s">
        <v>7</v>
      </c>
      <c r="D8" s="1030" t="s">
        <v>8</v>
      </c>
      <c r="E8" s="1039" t="s">
        <v>9</v>
      </c>
      <c r="F8" s="1040"/>
      <c r="G8" s="1041" t="s">
        <v>7</v>
      </c>
      <c r="H8" s="1030" t="s">
        <v>8</v>
      </c>
    </row>
    <row r="9" spans="1:8" ht="13.5" thickBot="1">
      <c r="A9" s="994"/>
      <c r="B9" s="1005"/>
      <c r="C9" s="989"/>
      <c r="D9" s="1031"/>
      <c r="E9" s="994"/>
      <c r="F9" s="1005"/>
      <c r="G9" s="989"/>
      <c r="H9" s="1031"/>
    </row>
    <row r="10" spans="1:8" ht="13.5" thickBot="1">
      <c r="A10" s="1035" t="s">
        <v>10</v>
      </c>
      <c r="B10" s="1026"/>
      <c r="C10" s="141"/>
      <c r="D10" s="142">
        <f>ROUND(SUM(D11,D21,D34,D37,D43),2)</f>
        <v>0</v>
      </c>
      <c r="E10" s="1023" t="s">
        <v>11</v>
      </c>
      <c r="F10" s="1026"/>
      <c r="G10" s="1022"/>
      <c r="H10" s="142">
        <f>ROUND(SUM(H11,H17,H24,H31,H49),2)</f>
        <v>0</v>
      </c>
    </row>
    <row r="11" spans="1:8" ht="13.5" thickBot="1">
      <c r="A11" s="1021" t="s">
        <v>12</v>
      </c>
      <c r="B11" s="1022"/>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21" t="s">
        <v>29</v>
      </c>
      <c r="B21" s="1022"/>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24" t="s">
        <v>36</v>
      </c>
      <c r="F24" s="1022"/>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23" t="s">
        <v>47</v>
      </c>
      <c r="F31" s="1022"/>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21" t="s">
        <v>51</v>
      </c>
      <c r="B34" s="1022"/>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21" t="s">
        <v>56</v>
      </c>
      <c r="B37" s="1022"/>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21" t="s">
        <v>67</v>
      </c>
      <c r="B43" s="1022"/>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23" t="s">
        <v>80</v>
      </c>
      <c r="F49" s="1022"/>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23" t="s">
        <v>86</v>
      </c>
      <c r="F52" s="1022"/>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23" t="s">
        <v>102</v>
      </c>
      <c r="B61" s="1022"/>
      <c r="C61" s="202"/>
      <c r="D61" s="142">
        <f>ROUND(SUM(D62,D77,D89),2)</f>
        <v>0</v>
      </c>
      <c r="E61" s="203" t="s">
        <v>103</v>
      </c>
      <c r="F61" s="146"/>
      <c r="G61" s="146"/>
      <c r="H61" s="147">
        <f>+SUM(H62:H65)</f>
        <v>0</v>
      </c>
    </row>
    <row r="62" spans="1:8" ht="13.5" thickBot="1">
      <c r="A62" s="1021" t="s">
        <v>104</v>
      </c>
      <c r="B62" s="1022"/>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836">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122">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831">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21" t="s">
        <v>131</v>
      </c>
      <c r="B77" s="1022"/>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832">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25" t="s">
        <v>148</v>
      </c>
      <c r="B86" s="1022"/>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23" t="s">
        <v>156</v>
      </c>
      <c r="B90" s="1022"/>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v>0</v>
      </c>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830"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830"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23" t="s">
        <v>215</v>
      </c>
      <c r="B149" s="1026"/>
      <c r="C149" s="1026"/>
      <c r="D149" s="223">
        <f>ROUND(SUM(D10,D61,D90),2)</f>
        <v>0</v>
      </c>
      <c r="E149" s="1027" t="s">
        <v>216</v>
      </c>
      <c r="F149" s="1026"/>
      <c r="G149" s="141"/>
      <c r="H149" s="142">
        <f>ROUND(SUM(H10,H52,H71),2)</f>
        <v>0</v>
      </c>
      <c r="I149" s="833"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28" t="s">
        <v>7</v>
      </c>
      <c r="D156" s="230"/>
      <c r="E156" s="118"/>
      <c r="F156" s="118"/>
      <c r="G156" s="118"/>
      <c r="H156" s="118"/>
    </row>
    <row r="157" spans="1:9" ht="13.5" thickBot="1">
      <c r="A157" s="118"/>
      <c r="B157" s="107"/>
      <c r="C157" s="989"/>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32" t="s">
        <v>232</v>
      </c>
      <c r="B171" s="1032"/>
      <c r="C171" s="1032"/>
      <c r="D171" s="1032"/>
      <c r="E171" s="1032"/>
      <c r="F171" s="1032"/>
      <c r="G171" s="1032"/>
      <c r="H171" s="1032"/>
    </row>
    <row r="172" spans="1:8">
      <c r="A172" s="1033" t="s">
        <v>233</v>
      </c>
      <c r="B172" s="1034"/>
      <c r="C172" s="1034"/>
      <c r="D172" s="1034"/>
      <c r="E172" s="1034"/>
      <c r="F172" s="1034"/>
      <c r="G172" s="1034"/>
      <c r="H172" s="1034"/>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algorithmName="SHA-512" hashValue="f+1AVvvSfVnV7IVeeoDFTPI7yKfBW8AovkJAJ5VTyNtOyVrChBwdczGKWkZ/ADWidbE9lFb45uUtRqyI/hciZg==" saltValue="+Io1ZqqTIbmrAHGRqNh1hA==" spinCount="100000" sheet="1" objects="1" scenarios="1"/>
  <mergeCells count="33">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 ref="A86:B86"/>
    <mergeCell ref="A90:B90"/>
    <mergeCell ref="A149:C149"/>
    <mergeCell ref="E149:F149"/>
    <mergeCell ref="C156:C157"/>
    <mergeCell ref="A77:B77"/>
    <mergeCell ref="A11:B11"/>
    <mergeCell ref="A43:B43"/>
    <mergeCell ref="E49:F49"/>
    <mergeCell ref="E52:F52"/>
    <mergeCell ref="A61:B61"/>
    <mergeCell ref="A62:B62"/>
    <mergeCell ref="E31:F31"/>
    <mergeCell ref="A34:B34"/>
    <mergeCell ref="A37:B37"/>
    <mergeCell ref="A21:B21"/>
    <mergeCell ref="E24:F24"/>
  </mergeCells>
  <dataValidations count="2">
    <dataValidation type="decimal" allowBlank="1" showInputMessage="1" showErrorMessage="1" sqref="D10:D149 H10:H68 H71:H91">
      <formula1>0</formula1>
      <formula2>1000000000000000</formula2>
    </dataValidation>
    <dataValidation type="decimal" allowBlank="1" showInputMessage="1" showErrorMessage="1" sqref="H69:H70">
      <formula1>-531321313200000000</formula1>
      <formula2>1000000000000000</formula2>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D1" zoomScaleNormal="100" workbookViewId="0">
      <selection activeCell="G35" sqref="G35"/>
    </sheetView>
  </sheetViews>
  <sheetFormatPr defaultColWidth="12.5703125" defaultRowHeight="15"/>
  <cols>
    <col min="1" max="1" width="4" style="311" customWidth="1"/>
    <col min="2" max="2" width="36.28515625" style="311" customWidth="1"/>
    <col min="3" max="3" width="25.42578125" style="311" customWidth="1"/>
    <col min="4" max="4" width="15" style="311" customWidth="1"/>
    <col min="5" max="5" width="4" style="311" customWidth="1"/>
    <col min="6" max="6" width="44.85546875" style="311" customWidth="1"/>
    <col min="7" max="7" width="24.85546875" style="311" customWidth="1"/>
    <col min="8" max="8" width="13.7109375" style="311" customWidth="1"/>
    <col min="9" max="9" width="8.5703125" style="241" customWidth="1"/>
    <col min="10" max="10" width="12.140625" style="241" customWidth="1"/>
    <col min="11" max="26" width="8.5703125" style="241" customWidth="1"/>
    <col min="27" max="16384" width="12.5703125" style="241"/>
  </cols>
  <sheetData>
    <row r="1" spans="1:10">
      <c r="A1" s="256"/>
      <c r="B1" s="256"/>
      <c r="C1" s="256"/>
      <c r="D1" s="256"/>
      <c r="E1" s="256"/>
      <c r="F1" s="1029" t="s">
        <v>749</v>
      </c>
      <c r="G1" s="1029"/>
      <c r="H1" s="1029"/>
    </row>
    <row r="2" spans="1:10">
      <c r="A2" s="256"/>
      <c r="B2" s="256"/>
      <c r="C2" s="256"/>
      <c r="D2" s="256"/>
      <c r="E2" s="256"/>
      <c r="F2" s="1029" t="s">
        <v>750</v>
      </c>
      <c r="G2" s="1029"/>
      <c r="H2" s="1029"/>
    </row>
    <row r="3" spans="1:10">
      <c r="A3" s="997" t="s">
        <v>285</v>
      </c>
      <c r="B3" s="1052"/>
      <c r="C3" s="1052"/>
      <c r="D3" s="1052"/>
      <c r="E3" s="1052"/>
      <c r="F3" s="1052"/>
      <c r="G3" s="1052"/>
      <c r="H3" s="1052"/>
    </row>
    <row r="4" spans="1:10">
      <c r="A4" s="1037" t="str">
        <f>+STATISTICS!A4</f>
        <v>ХАДГАЛАМЖ, ЗЭЭЛИЙН ХОРШООНЫ НЭР</v>
      </c>
      <c r="B4" s="1052"/>
      <c r="C4" s="1052"/>
      <c r="D4" s="1052"/>
      <c r="E4" s="1052"/>
      <c r="F4" s="1052"/>
      <c r="G4" s="1052"/>
      <c r="H4" s="1052"/>
    </row>
    <row r="5" spans="1:10">
      <c r="A5" s="997" t="s">
        <v>4</v>
      </c>
      <c r="B5" s="1052"/>
      <c r="C5" s="1052"/>
      <c r="D5" s="1052"/>
      <c r="E5" s="1052"/>
      <c r="F5" s="1052"/>
      <c r="G5" s="1052"/>
      <c r="H5" s="1052"/>
    </row>
    <row r="7" spans="1:10" ht="15.75" thickBot="1">
      <c r="A7" s="1038" t="str">
        <f>+STATISTICS!A7</f>
        <v>Огноо</v>
      </c>
      <c r="B7" s="1047"/>
      <c r="C7" s="257"/>
      <c r="D7" s="258"/>
      <c r="E7" s="257"/>
      <c r="F7" s="257"/>
      <c r="G7" s="257"/>
      <c r="H7" s="140" t="s">
        <v>5</v>
      </c>
      <c r="I7" s="1042"/>
      <c r="J7" s="1043"/>
    </row>
    <row r="8" spans="1:10">
      <c r="A8" s="1039" t="s">
        <v>286</v>
      </c>
      <c r="B8" s="1048"/>
      <c r="C8" s="1041" t="str">
        <f>+BALANCE!D8</f>
        <v>.... р сарын ...</v>
      </c>
      <c r="D8" s="1045" t="s">
        <v>287</v>
      </c>
      <c r="E8" s="1039" t="s">
        <v>288</v>
      </c>
      <c r="F8" s="1048"/>
      <c r="G8" s="1041" t="str">
        <f>+BALANCE!H8</f>
        <v>.... р сарын ...</v>
      </c>
      <c r="H8" s="1045" t="s">
        <v>287</v>
      </c>
      <c r="I8" s="1043"/>
      <c r="J8" s="1043"/>
    </row>
    <row r="9" spans="1:10" ht="15.75" thickBot="1">
      <c r="A9" s="1049"/>
      <c r="B9" s="1050"/>
      <c r="C9" s="1046"/>
      <c r="D9" s="1046"/>
      <c r="E9" s="1049"/>
      <c r="F9" s="1050"/>
      <c r="G9" s="1046"/>
      <c r="H9" s="1046"/>
    </row>
    <row r="10" spans="1:10" ht="15.75" thickBot="1">
      <c r="A10" s="215" t="s">
        <v>289</v>
      </c>
      <c r="B10" s="259"/>
      <c r="C10" s="260">
        <f>ROUND(SUM(C11,C15,C17,C26,C29,C36),2)</f>
        <v>0</v>
      </c>
      <c r="D10" s="261" t="e">
        <f>+C10/$C$51</f>
        <v>#DIV/0!</v>
      </c>
      <c r="E10" s="233" t="s">
        <v>290</v>
      </c>
      <c r="F10" s="262"/>
      <c r="G10" s="142">
        <f>ROUND(SUM(G11,G14,G19,G29),2)</f>
        <v>0</v>
      </c>
      <c r="H10" s="263" t="e">
        <f>+G10/$G$51</f>
        <v>#DIV/0!</v>
      </c>
    </row>
    <row r="11" spans="1:10" ht="15.75" thickBot="1">
      <c r="A11" s="264">
        <v>1.1000000000000001</v>
      </c>
      <c r="B11" s="233" t="s">
        <v>12</v>
      </c>
      <c r="C11" s="260">
        <f>+SUM(C12:C14)</f>
        <v>0</v>
      </c>
      <c r="D11" s="261" t="e">
        <f t="shared" ref="D11:D47" si="0">+C11/$C$51</f>
        <v>#DIV/0!</v>
      </c>
      <c r="E11" s="197">
        <v>1.1000000000000001</v>
      </c>
      <c r="F11" s="265" t="s">
        <v>13</v>
      </c>
      <c r="G11" s="144">
        <f>+SUM(G12:G13)</f>
        <v>0</v>
      </c>
      <c r="H11" s="263" t="e">
        <f t="shared" ref="H11:H51" si="1">+G11/$G$51</f>
        <v>#DIV/0!</v>
      </c>
    </row>
    <row r="12" spans="1:10" ht="15.75" thickBot="1">
      <c r="A12" s="264"/>
      <c r="B12" s="266" t="s">
        <v>14</v>
      </c>
      <c r="C12" s="243">
        <f>+BALANCE!D12</f>
        <v>0</v>
      </c>
      <c r="D12" s="261" t="e">
        <f t="shared" si="0"/>
        <v>#DIV/0!</v>
      </c>
      <c r="E12" s="264"/>
      <c r="F12" s="266" t="s">
        <v>291</v>
      </c>
      <c r="G12" s="123">
        <f>+BALANCE!H12</f>
        <v>0</v>
      </c>
      <c r="H12" s="263" t="e">
        <f t="shared" si="1"/>
        <v>#DIV/0!</v>
      </c>
    </row>
    <row r="13" spans="1:10" ht="15.75" thickBot="1">
      <c r="A13" s="264"/>
      <c r="B13" s="168" t="s">
        <v>18</v>
      </c>
      <c r="C13" s="243">
        <f>+BALANCE!D15</f>
        <v>0</v>
      </c>
      <c r="D13" s="261" t="e">
        <f t="shared" si="0"/>
        <v>#DIV/0!</v>
      </c>
      <c r="E13" s="264"/>
      <c r="F13" s="267" t="s">
        <v>292</v>
      </c>
      <c r="G13" s="124">
        <f>+BALANCE!H15</f>
        <v>0</v>
      </c>
      <c r="H13" s="263" t="e">
        <f t="shared" si="1"/>
        <v>#DIV/0!</v>
      </c>
    </row>
    <row r="14" spans="1:10" ht="15.75" thickBot="1">
      <c r="A14" s="264"/>
      <c r="B14" s="168" t="s">
        <v>23</v>
      </c>
      <c r="C14" s="243">
        <f>+BALANCE!D18</f>
        <v>0</v>
      </c>
      <c r="D14" s="261" t="e">
        <f t="shared" si="0"/>
        <v>#DIV/0!</v>
      </c>
      <c r="E14" s="264">
        <v>1.2</v>
      </c>
      <c r="F14" s="268" t="s">
        <v>293</v>
      </c>
      <c r="G14" s="147">
        <f>+SUM(G15:G18)</f>
        <v>0</v>
      </c>
      <c r="H14" s="263" t="e">
        <f t="shared" si="1"/>
        <v>#DIV/0!</v>
      </c>
    </row>
    <row r="15" spans="1:10" ht="26.25" thickBot="1">
      <c r="A15" s="264">
        <v>1.2</v>
      </c>
      <c r="B15" s="268" t="s">
        <v>51</v>
      </c>
      <c r="C15" s="260">
        <f>+C16</f>
        <v>0</v>
      </c>
      <c r="D15" s="261" t="e">
        <f t="shared" si="0"/>
        <v>#DIV/0!</v>
      </c>
      <c r="E15" s="264"/>
      <c r="F15" s="269" t="s">
        <v>294</v>
      </c>
      <c r="G15" s="244">
        <f>+BALANCE!H26</f>
        <v>0</v>
      </c>
      <c r="H15" s="263" t="e">
        <f t="shared" si="1"/>
        <v>#DIV/0!</v>
      </c>
    </row>
    <row r="16" spans="1:10" ht="15.75" thickBot="1">
      <c r="A16" s="264"/>
      <c r="B16" s="168" t="s">
        <v>53</v>
      </c>
      <c r="C16" s="243">
        <f>+BALANCE!D34</f>
        <v>0</v>
      </c>
      <c r="D16" s="261" t="e">
        <f t="shared" si="0"/>
        <v>#DIV/0!</v>
      </c>
      <c r="E16" s="264"/>
      <c r="F16" s="270" t="s">
        <v>42</v>
      </c>
      <c r="G16" s="244">
        <f>+BALANCE!H29</f>
        <v>0</v>
      </c>
      <c r="H16" s="263" t="e">
        <f t="shared" si="1"/>
        <v>#DIV/0!</v>
      </c>
    </row>
    <row r="17" spans="1:8" ht="15.75" thickBot="1">
      <c r="A17" s="264">
        <v>1.3</v>
      </c>
      <c r="B17" s="268" t="s">
        <v>295</v>
      </c>
      <c r="C17" s="260">
        <f>+C18-C25</f>
        <v>0</v>
      </c>
      <c r="D17" s="261" t="e">
        <f t="shared" si="0"/>
        <v>#DIV/0!</v>
      </c>
      <c r="E17" s="264"/>
      <c r="F17" s="270" t="s">
        <v>296</v>
      </c>
      <c r="G17" s="244">
        <f>+BALANCE!H19</f>
        <v>0</v>
      </c>
      <c r="H17" s="263" t="e">
        <f t="shared" si="1"/>
        <v>#DIV/0!</v>
      </c>
    </row>
    <row r="18" spans="1:8" ht="15.75" thickBot="1">
      <c r="A18" s="264"/>
      <c r="B18" s="271" t="s">
        <v>297</v>
      </c>
      <c r="C18" s="272">
        <f>+SUM(C19:C21)</f>
        <v>0</v>
      </c>
      <c r="D18" s="261" t="e">
        <f t="shared" si="0"/>
        <v>#DIV/0!</v>
      </c>
      <c r="E18" s="264"/>
      <c r="F18" s="273" t="s">
        <v>30</v>
      </c>
      <c r="G18" s="244">
        <f>+BALANCE!H22</f>
        <v>0</v>
      </c>
      <c r="H18" s="263" t="e">
        <f t="shared" si="1"/>
        <v>#DIV/0!</v>
      </c>
    </row>
    <row r="19" spans="1:8" ht="15.75" thickBot="1">
      <c r="A19" s="264"/>
      <c r="B19" s="168" t="s">
        <v>31</v>
      </c>
      <c r="C19" s="243">
        <f>+BALANCE!D22</f>
        <v>0</v>
      </c>
      <c r="D19" s="261" t="e">
        <f t="shared" si="0"/>
        <v>#DIV/0!</v>
      </c>
      <c r="E19" s="264">
        <v>1.3</v>
      </c>
      <c r="F19" s="268" t="s">
        <v>298</v>
      </c>
      <c r="G19" s="147">
        <f>+SUM(G20:G28)</f>
        <v>0</v>
      </c>
      <c r="H19" s="263" t="e">
        <f t="shared" si="1"/>
        <v>#DIV/0!</v>
      </c>
    </row>
    <row r="20" spans="1:8" ht="15.75" thickBot="1">
      <c r="A20" s="264"/>
      <c r="B20" s="168" t="s">
        <v>35</v>
      </c>
      <c r="C20" s="243">
        <f>+BALANCE!D24</f>
        <v>0</v>
      </c>
      <c r="D20" s="261" t="e">
        <f t="shared" si="0"/>
        <v>#DIV/0!</v>
      </c>
      <c r="E20" s="264"/>
      <c r="F20" s="274" t="s">
        <v>50</v>
      </c>
      <c r="G20" s="245">
        <f>+BALANCE!H33</f>
        <v>0</v>
      </c>
      <c r="H20" s="263" t="e">
        <f t="shared" si="1"/>
        <v>#DIV/0!</v>
      </c>
    </row>
    <row r="21" spans="1:8" ht="15.75" thickBot="1">
      <c r="A21" s="264"/>
      <c r="B21" s="275" t="s">
        <v>299</v>
      </c>
      <c r="C21" s="276">
        <f>+SUM(C22:C24)</f>
        <v>0</v>
      </c>
      <c r="D21" s="261" t="e">
        <f t="shared" si="0"/>
        <v>#DIV/0!</v>
      </c>
      <c r="E21" s="264"/>
      <c r="F21" s="277" t="s">
        <v>300</v>
      </c>
      <c r="G21" s="246">
        <f>+BALANCE!H34+BALANCE!H35+BALANCE!H37</f>
        <v>0</v>
      </c>
      <c r="H21" s="263" t="e">
        <f t="shared" si="1"/>
        <v>#DIV/0!</v>
      </c>
    </row>
    <row r="22" spans="1:8" ht="15.75" thickBot="1">
      <c r="A22" s="264"/>
      <c r="B22" s="168" t="s">
        <v>301</v>
      </c>
      <c r="C22" s="243">
        <f>+BALANCE!D26</f>
        <v>0</v>
      </c>
      <c r="D22" s="261" t="e">
        <f t="shared" si="0"/>
        <v>#DIV/0!</v>
      </c>
      <c r="E22" s="264"/>
      <c r="F22" s="277" t="s">
        <v>59</v>
      </c>
      <c r="G22" s="246">
        <f>+BALANCE!H38+BALANCE!H39</f>
        <v>0</v>
      </c>
      <c r="H22" s="263" t="e">
        <f t="shared" si="1"/>
        <v>#DIV/0!</v>
      </c>
    </row>
    <row r="23" spans="1:8" ht="15.75" thickBot="1">
      <c r="A23" s="264"/>
      <c r="B23" s="168" t="s">
        <v>302</v>
      </c>
      <c r="C23" s="243">
        <f>+BALANCE!D28</f>
        <v>0</v>
      </c>
      <c r="D23" s="261" t="e">
        <f t="shared" si="0"/>
        <v>#DIV/0!</v>
      </c>
      <c r="E23" s="264"/>
      <c r="F23" s="277" t="s">
        <v>303</v>
      </c>
      <c r="G23" s="246">
        <f>+BALANCE!H40</f>
        <v>0</v>
      </c>
      <c r="H23" s="263" t="e">
        <f t="shared" si="1"/>
        <v>#DIV/0!</v>
      </c>
    </row>
    <row r="24" spans="1:8" ht="15.75" thickBot="1">
      <c r="A24" s="264"/>
      <c r="B24" s="168" t="s">
        <v>304</v>
      </c>
      <c r="C24" s="243">
        <f>+BALANCE!D30</f>
        <v>0</v>
      </c>
      <c r="D24" s="261" t="e">
        <f t="shared" si="0"/>
        <v>#DIV/0!</v>
      </c>
      <c r="E24" s="264"/>
      <c r="F24" s="277" t="s">
        <v>55</v>
      </c>
      <c r="G24" s="246">
        <f>+BALANCE!H36</f>
        <v>0</v>
      </c>
      <c r="H24" s="263" t="e">
        <f t="shared" si="1"/>
        <v>#DIV/0!</v>
      </c>
    </row>
    <row r="25" spans="1:8" ht="15.75" thickBot="1">
      <c r="A25" s="264"/>
      <c r="B25" s="168" t="s">
        <v>305</v>
      </c>
      <c r="C25" s="243">
        <f>+BALANCE!D32</f>
        <v>0</v>
      </c>
      <c r="D25" s="261" t="e">
        <f t="shared" si="0"/>
        <v>#DIV/0!</v>
      </c>
      <c r="E25" s="264"/>
      <c r="F25" s="277" t="s">
        <v>306</v>
      </c>
      <c r="G25" s="246">
        <f>+BALANCE!H49</f>
        <v>0</v>
      </c>
      <c r="H25" s="263" t="e">
        <f t="shared" si="1"/>
        <v>#DIV/0!</v>
      </c>
    </row>
    <row r="26" spans="1:8" ht="15.75" thickBot="1">
      <c r="A26" s="264">
        <v>1.4</v>
      </c>
      <c r="B26" s="268" t="s">
        <v>307</v>
      </c>
      <c r="C26" s="278">
        <f>+SUM(C27:C28)</f>
        <v>0</v>
      </c>
      <c r="D26" s="261" t="e">
        <f t="shared" si="0"/>
        <v>#DIV/0!</v>
      </c>
      <c r="E26" s="264"/>
      <c r="F26" s="279" t="s">
        <v>308</v>
      </c>
      <c r="G26" s="246">
        <f>+BALANCE!H45</f>
        <v>0</v>
      </c>
      <c r="H26" s="263" t="e">
        <f t="shared" si="1"/>
        <v>#DIV/0!</v>
      </c>
    </row>
    <row r="27" spans="1:8" ht="15.75" thickBot="1">
      <c r="A27" s="264"/>
      <c r="B27" s="168" t="s">
        <v>309</v>
      </c>
      <c r="C27" s="247">
        <f>+BALANCE!D45</f>
        <v>0</v>
      </c>
      <c r="D27" s="261" t="e">
        <f t="shared" si="0"/>
        <v>#DIV/0!</v>
      </c>
      <c r="E27" s="264"/>
      <c r="F27" s="277" t="s">
        <v>70</v>
      </c>
      <c r="G27" s="246">
        <f>+BALANCE!H43</f>
        <v>0</v>
      </c>
      <c r="H27" s="263" t="e">
        <f t="shared" si="1"/>
        <v>#DIV/0!</v>
      </c>
    </row>
    <row r="28" spans="1:8" ht="15.75" thickBot="1">
      <c r="A28" s="264"/>
      <c r="B28" s="168" t="s">
        <v>310</v>
      </c>
      <c r="C28" s="248">
        <f>+BALANCE!D56</f>
        <v>0</v>
      </c>
      <c r="D28" s="261" t="e">
        <f t="shared" si="0"/>
        <v>#DIV/0!</v>
      </c>
      <c r="E28" s="264"/>
      <c r="F28" s="280" t="s">
        <v>311</v>
      </c>
      <c r="G28" s="249">
        <f>+BALANCE!H41</f>
        <v>0</v>
      </c>
      <c r="H28" s="263" t="e">
        <f t="shared" si="1"/>
        <v>#DIV/0!</v>
      </c>
    </row>
    <row r="29" spans="1:8" ht="15.75" thickBot="1">
      <c r="A29" s="264">
        <v>1.5</v>
      </c>
      <c r="B29" s="268" t="s">
        <v>67</v>
      </c>
      <c r="C29" s="260">
        <f>+SUM(C30:C35)</f>
        <v>0</v>
      </c>
      <c r="D29" s="261" t="e">
        <f t="shared" si="0"/>
        <v>#DIV/0!</v>
      </c>
      <c r="E29" s="188">
        <v>1.4</v>
      </c>
      <c r="F29" s="268" t="s">
        <v>312</v>
      </c>
      <c r="G29" s="147">
        <f>+SUM(G30:G34)</f>
        <v>0</v>
      </c>
      <c r="H29" s="263" t="e">
        <f t="shared" si="1"/>
        <v>#DIV/0!</v>
      </c>
    </row>
    <row r="30" spans="1:8" ht="15.75" thickBot="1">
      <c r="A30" s="264"/>
      <c r="B30" s="281" t="s">
        <v>313</v>
      </c>
      <c r="C30" s="247">
        <f>+BALANCE!D46</f>
        <v>0</v>
      </c>
      <c r="D30" s="261" t="e">
        <f t="shared" si="0"/>
        <v>#DIV/0!</v>
      </c>
      <c r="E30" s="188"/>
      <c r="F30" s="269" t="s">
        <v>294</v>
      </c>
      <c r="G30" s="250">
        <f>+BALANCE!H27</f>
        <v>0</v>
      </c>
      <c r="H30" s="263" t="e">
        <f t="shared" si="1"/>
        <v>#DIV/0!</v>
      </c>
    </row>
    <row r="31" spans="1:8" ht="15.75" thickBot="1">
      <c r="A31" s="264"/>
      <c r="B31" s="273" t="s">
        <v>314</v>
      </c>
      <c r="C31" s="243">
        <f>+BALANCE!D47+BALANCE!D51+BALANCE!D52+BALANCE!D53</f>
        <v>0</v>
      </c>
      <c r="D31" s="261" t="e">
        <f t="shared" si="0"/>
        <v>#DIV/0!</v>
      </c>
      <c r="E31" s="188"/>
      <c r="F31" s="270" t="s">
        <v>42</v>
      </c>
      <c r="G31" s="244">
        <f>+BALANCE!H30</f>
        <v>0</v>
      </c>
      <c r="H31" s="263" t="e">
        <f t="shared" si="1"/>
        <v>#DIV/0!</v>
      </c>
    </row>
    <row r="32" spans="1:8" ht="15.75" thickBot="1">
      <c r="A32" s="264"/>
      <c r="B32" s="282" t="s">
        <v>77</v>
      </c>
      <c r="C32" s="243">
        <f>+BALANCE!D48</f>
        <v>0</v>
      </c>
      <c r="D32" s="261" t="e">
        <f t="shared" si="0"/>
        <v>#DIV/0!</v>
      </c>
      <c r="E32" s="188"/>
      <c r="F32" s="270" t="s">
        <v>296</v>
      </c>
      <c r="G32" s="244">
        <f>+BALANCE!H20</f>
        <v>0</v>
      </c>
      <c r="H32" s="263" t="e">
        <f t="shared" si="1"/>
        <v>#DIV/0!</v>
      </c>
    </row>
    <row r="33" spans="1:9" ht="15.75" thickBot="1">
      <c r="A33" s="264"/>
      <c r="B33" s="282" t="s">
        <v>79</v>
      </c>
      <c r="C33" s="243">
        <f>+BALANCE!D49</f>
        <v>0</v>
      </c>
      <c r="D33" s="261" t="e">
        <f t="shared" si="0"/>
        <v>#DIV/0!</v>
      </c>
      <c r="E33" s="188"/>
      <c r="F33" s="273" t="s">
        <v>30</v>
      </c>
      <c r="G33" s="244">
        <f>+BALANCE!H23</f>
        <v>0</v>
      </c>
      <c r="H33" s="263" t="e">
        <f t="shared" si="1"/>
        <v>#DIV/0!</v>
      </c>
      <c r="I33" s="240"/>
    </row>
    <row r="34" spans="1:9" ht="15.75" thickBot="1">
      <c r="A34" s="264"/>
      <c r="B34" s="270" t="s">
        <v>315</v>
      </c>
      <c r="C34" s="243">
        <f>+BALANCE!D50</f>
        <v>0</v>
      </c>
      <c r="D34" s="261" t="e">
        <f t="shared" si="0"/>
        <v>#DIV/0!</v>
      </c>
      <c r="E34" s="188"/>
      <c r="F34" s="273" t="s">
        <v>66</v>
      </c>
      <c r="G34" s="244">
        <f>+BALANCE!H42</f>
        <v>0</v>
      </c>
      <c r="H34" s="263" t="e">
        <f t="shared" si="1"/>
        <v>#DIV/0!</v>
      </c>
      <c r="I34" s="240"/>
    </row>
    <row r="35" spans="1:9" ht="15.75" thickBot="1">
      <c r="A35" s="264"/>
      <c r="B35" s="283" t="s">
        <v>316</v>
      </c>
      <c r="C35" s="243">
        <f>+BALANCE!D54</f>
        <v>0</v>
      </c>
      <c r="D35" s="261" t="e">
        <f t="shared" si="0"/>
        <v>#DIV/0!</v>
      </c>
      <c r="E35" s="1021" t="s">
        <v>317</v>
      </c>
      <c r="F35" s="1044"/>
      <c r="G35" s="142">
        <f>ROUND(SUM(G36,G39,G41),2)</f>
        <v>0</v>
      </c>
      <c r="H35" s="263" t="e">
        <f t="shared" si="1"/>
        <v>#DIV/0!</v>
      </c>
      <c r="I35" s="240"/>
    </row>
    <row r="36" spans="1:9" ht="26.25" thickBot="1">
      <c r="A36" s="264">
        <v>1.6</v>
      </c>
      <c r="B36" s="268" t="s">
        <v>318</v>
      </c>
      <c r="C36" s="284">
        <f>+C37-C38</f>
        <v>0</v>
      </c>
      <c r="D36" s="261" t="e">
        <f t="shared" si="0"/>
        <v>#DIV/0!</v>
      </c>
      <c r="E36" s="188">
        <v>2.1</v>
      </c>
      <c r="F36" s="285" t="s">
        <v>319</v>
      </c>
      <c r="G36" s="286">
        <f>+SUM(G37:G38)</f>
        <v>0</v>
      </c>
      <c r="H36" s="263" t="e">
        <f t="shared" si="1"/>
        <v>#DIV/0!</v>
      </c>
      <c r="I36" s="251"/>
    </row>
    <row r="37" spans="1:9" ht="15.75" thickBot="1">
      <c r="A37" s="264"/>
      <c r="B37" s="168" t="s">
        <v>58</v>
      </c>
      <c r="C37" s="247">
        <f>+BALANCE!D38</f>
        <v>0</v>
      </c>
      <c r="D37" s="261" t="e">
        <f t="shared" si="0"/>
        <v>#DIV/0!</v>
      </c>
      <c r="E37" s="188"/>
      <c r="F37" s="287" t="s">
        <v>89</v>
      </c>
      <c r="G37" s="123">
        <f>+BALANCE!H54</f>
        <v>0</v>
      </c>
      <c r="H37" s="263" t="e">
        <f t="shared" si="1"/>
        <v>#DIV/0!</v>
      </c>
      <c r="I37" s="240"/>
    </row>
    <row r="38" spans="1:9" ht="26.25" thickBot="1">
      <c r="A38" s="264"/>
      <c r="B38" s="168" t="s">
        <v>320</v>
      </c>
      <c r="C38" s="243">
        <f>+BALANCE!D41</f>
        <v>0</v>
      </c>
      <c r="D38" s="261" t="e">
        <f t="shared" si="0"/>
        <v>#DIV/0!</v>
      </c>
      <c r="E38" s="188"/>
      <c r="F38" s="288" t="s">
        <v>91</v>
      </c>
      <c r="G38" s="249">
        <f>+BALANCE!H55</f>
        <v>0</v>
      </c>
      <c r="H38" s="263" t="e">
        <f t="shared" si="1"/>
        <v>#DIV/0!</v>
      </c>
      <c r="I38" s="240"/>
    </row>
    <row r="39" spans="1:9" ht="15.75" thickBot="1">
      <c r="A39" s="1021" t="s">
        <v>321</v>
      </c>
      <c r="B39" s="1044"/>
      <c r="C39" s="260">
        <f>ROUND(SUM(C40,C43,C46),2)</f>
        <v>0</v>
      </c>
      <c r="D39" s="261" t="e">
        <f t="shared" si="0"/>
        <v>#DIV/0!</v>
      </c>
      <c r="E39" s="188">
        <v>2.2000000000000002</v>
      </c>
      <c r="F39" s="268" t="s">
        <v>322</v>
      </c>
      <c r="G39" s="147">
        <f>+G40</f>
        <v>0</v>
      </c>
      <c r="H39" s="263" t="e">
        <f t="shared" si="1"/>
        <v>#DIV/0!</v>
      </c>
      <c r="I39" s="240"/>
    </row>
    <row r="40" spans="1:9" ht="15.75" thickBot="1">
      <c r="A40" s="264">
        <v>2.1</v>
      </c>
      <c r="B40" s="289" t="s">
        <v>104</v>
      </c>
      <c r="C40" s="290">
        <f>+C41-C42</f>
        <v>0</v>
      </c>
      <c r="D40" s="261" t="e">
        <f t="shared" si="0"/>
        <v>#DIV/0!</v>
      </c>
      <c r="E40" s="188"/>
      <c r="F40" s="291" t="s">
        <v>323</v>
      </c>
      <c r="G40" s="252">
        <f>+BALANCE!H57</f>
        <v>0</v>
      </c>
      <c r="H40" s="263" t="e">
        <f t="shared" si="1"/>
        <v>#DIV/0!</v>
      </c>
      <c r="I40" s="240"/>
    </row>
    <row r="41" spans="1:9" ht="15.75" thickBot="1">
      <c r="A41" s="264"/>
      <c r="B41" s="266" t="s">
        <v>106</v>
      </c>
      <c r="C41" s="253">
        <f>+BALANCE!D63</f>
        <v>0</v>
      </c>
      <c r="D41" s="261" t="e">
        <f t="shared" si="0"/>
        <v>#DIV/0!</v>
      </c>
      <c r="E41" s="188">
        <v>2.2999999999999998</v>
      </c>
      <c r="F41" s="268" t="s">
        <v>324</v>
      </c>
      <c r="G41" s="147">
        <f>+SUM(G42:G48)</f>
        <v>0</v>
      </c>
      <c r="H41" s="263" t="e">
        <f t="shared" si="1"/>
        <v>#DIV/0!</v>
      </c>
      <c r="I41" s="240"/>
    </row>
    <row r="42" spans="1:9" ht="15.75" thickBot="1">
      <c r="A42" s="264"/>
      <c r="B42" s="168" t="s">
        <v>325</v>
      </c>
      <c r="C42" s="248">
        <f>+BALANCE!D71</f>
        <v>0</v>
      </c>
      <c r="D42" s="261" t="e">
        <f t="shared" si="0"/>
        <v>#DIV/0!</v>
      </c>
      <c r="E42" s="188"/>
      <c r="F42" s="269" t="s">
        <v>326</v>
      </c>
      <c r="G42" s="245">
        <f>+BALANCE!H62</f>
        <v>0</v>
      </c>
      <c r="H42" s="263" t="e">
        <f t="shared" si="1"/>
        <v>#DIV/0!</v>
      </c>
      <c r="I42" s="240"/>
    </row>
    <row r="43" spans="1:9" ht="15.75" thickBot="1">
      <c r="A43" s="264">
        <v>2.2000000000000002</v>
      </c>
      <c r="B43" s="268" t="s">
        <v>327</v>
      </c>
      <c r="C43" s="292">
        <f>C44-C45</f>
        <v>0</v>
      </c>
      <c r="D43" s="261" t="e">
        <f t="shared" si="0"/>
        <v>#DIV/0!</v>
      </c>
      <c r="E43" s="188"/>
      <c r="F43" s="270" t="s">
        <v>328</v>
      </c>
      <c r="G43" s="246">
        <f>+BALANCE!H58</f>
        <v>0</v>
      </c>
      <c r="H43" s="263" t="e">
        <f t="shared" si="1"/>
        <v>#DIV/0!</v>
      </c>
      <c r="I43" s="240"/>
    </row>
    <row r="44" spans="1:9" ht="15.75" thickBot="1">
      <c r="A44" s="264"/>
      <c r="B44" s="293" t="s">
        <v>133</v>
      </c>
      <c r="C44" s="247">
        <f>+BALANCE!D78</f>
        <v>0</v>
      </c>
      <c r="D44" s="261" t="e">
        <f t="shared" si="0"/>
        <v>#DIV/0!</v>
      </c>
      <c r="E44" s="188"/>
      <c r="F44" s="270" t="s">
        <v>329</v>
      </c>
      <c r="G44" s="246">
        <f>+BALANCE!H63</f>
        <v>0</v>
      </c>
      <c r="H44" s="263" t="e">
        <f t="shared" si="1"/>
        <v>#DIV/0!</v>
      </c>
      <c r="I44" s="240"/>
    </row>
    <row r="45" spans="1:9" ht="15.75" thickBot="1">
      <c r="A45" s="264"/>
      <c r="B45" s="293" t="s">
        <v>330</v>
      </c>
      <c r="C45" s="254">
        <f>+BALANCE!D84</f>
        <v>0</v>
      </c>
      <c r="D45" s="261" t="e">
        <f t="shared" si="0"/>
        <v>#DIV/0!</v>
      </c>
      <c r="E45" s="188"/>
      <c r="F45" s="270" t="s">
        <v>109</v>
      </c>
      <c r="G45" s="246">
        <f>+BALANCE!H64</f>
        <v>0</v>
      </c>
      <c r="H45" s="263" t="e">
        <f t="shared" si="1"/>
        <v>#DIV/0!</v>
      </c>
      <c r="I45" s="240"/>
    </row>
    <row r="46" spans="1:9" ht="26.25" thickBot="1">
      <c r="A46" s="264"/>
      <c r="B46" s="294" t="s">
        <v>148</v>
      </c>
      <c r="C46" s="295">
        <f>+C47</f>
        <v>0</v>
      </c>
      <c r="D46" s="261" t="e">
        <f t="shared" si="0"/>
        <v>#DIV/0!</v>
      </c>
      <c r="E46" s="188"/>
      <c r="F46" s="83" t="s">
        <v>331</v>
      </c>
      <c r="G46" s="122">
        <f>+BALANCE!H66</f>
        <v>0</v>
      </c>
      <c r="H46" s="263" t="e">
        <f t="shared" si="1"/>
        <v>#DIV/0!</v>
      </c>
      <c r="I46" s="240"/>
    </row>
    <row r="47" spans="1:9" ht="26.25" thickBot="1">
      <c r="A47" s="264">
        <v>2.2999999999999998</v>
      </c>
      <c r="B47" s="266" t="s">
        <v>332</v>
      </c>
      <c r="C47" s="247">
        <f>+BALANCE!D86</f>
        <v>0</v>
      </c>
      <c r="D47" s="261" t="e">
        <f t="shared" si="0"/>
        <v>#DIV/0!</v>
      </c>
      <c r="E47" s="188"/>
      <c r="F47" s="168" t="s">
        <v>333</v>
      </c>
      <c r="G47" s="122">
        <f>+BALANCE!H67</f>
        <v>0</v>
      </c>
      <c r="H47" s="263" t="e">
        <f t="shared" si="1"/>
        <v>#DIV/0!</v>
      </c>
      <c r="I47" s="240"/>
    </row>
    <row r="48" spans="1:9" ht="15.75" thickBot="1">
      <c r="A48" s="264"/>
      <c r="B48" s="287"/>
      <c r="C48" s="296"/>
      <c r="D48" s="297"/>
      <c r="E48" s="188"/>
      <c r="F48" s="275" t="s">
        <v>334</v>
      </c>
      <c r="G48" s="298">
        <f>+SUM(G49:G50)</f>
        <v>0</v>
      </c>
      <c r="H48" s="263" t="e">
        <f t="shared" si="1"/>
        <v>#DIV/0!</v>
      </c>
      <c r="I48" s="240"/>
    </row>
    <row r="49" spans="1:8" ht="15.75" thickBot="1">
      <c r="A49" s="264"/>
      <c r="B49" s="293"/>
      <c r="C49" s="299"/>
      <c r="D49" s="300"/>
      <c r="E49" s="188"/>
      <c r="F49" s="270" t="s">
        <v>335</v>
      </c>
      <c r="G49" s="246">
        <f>+BALANCE!H152</f>
        <v>0</v>
      </c>
      <c r="H49" s="263" t="e">
        <f t="shared" si="1"/>
        <v>#DIV/0!</v>
      </c>
    </row>
    <row r="50" spans="1:8" ht="15.75" thickBot="1">
      <c r="A50" s="86"/>
      <c r="B50" s="301"/>
      <c r="C50" s="302"/>
      <c r="D50" s="303"/>
      <c r="E50" s="188"/>
      <c r="F50" s="270" t="s">
        <v>336</v>
      </c>
      <c r="G50" s="246">
        <f>+BALANCE!H70</f>
        <v>0</v>
      </c>
      <c r="H50" s="263" t="e">
        <f t="shared" si="1"/>
        <v>#DIV/0!</v>
      </c>
    </row>
    <row r="51" spans="1:8" ht="15.75" thickBot="1">
      <c r="A51" s="1023" t="s">
        <v>337</v>
      </c>
      <c r="B51" s="1044"/>
      <c r="C51" s="295">
        <f>ROUND(SUM(C10,C39),2)</f>
        <v>0</v>
      </c>
      <c r="D51" s="303">
        <v>1</v>
      </c>
      <c r="E51" s="304"/>
      <c r="F51" s="202" t="s">
        <v>338</v>
      </c>
      <c r="G51" s="142">
        <f>ROUND(SUM(G10,G35),2)</f>
        <v>0</v>
      </c>
      <c r="H51" s="263" t="e">
        <f t="shared" si="1"/>
        <v>#DIV/0!</v>
      </c>
    </row>
    <row r="52" spans="1:8">
      <c r="A52" s="86"/>
      <c r="B52" s="305"/>
      <c r="C52" s="166"/>
      <c r="D52" s="306"/>
      <c r="E52" s="237"/>
      <c r="F52" s="307"/>
      <c r="G52" s="308">
        <f>+C51-G51</f>
        <v>0</v>
      </c>
      <c r="H52" s="309"/>
    </row>
    <row r="53" spans="1:8">
      <c r="A53" s="237"/>
      <c r="B53" s="219"/>
      <c r="C53" s="219"/>
      <c r="D53" s="219"/>
      <c r="E53" s="219"/>
      <c r="F53" s="219"/>
      <c r="G53" s="219"/>
      <c r="H53" s="256"/>
    </row>
    <row r="54" spans="1:8">
      <c r="A54" s="1001" t="s">
        <v>232</v>
      </c>
      <c r="B54" s="1001"/>
      <c r="C54" s="1001"/>
      <c r="D54" s="1001"/>
      <c r="E54" s="1001"/>
      <c r="F54" s="1001"/>
      <c r="G54" s="1001"/>
      <c r="H54" s="1001"/>
    </row>
    <row r="55" spans="1:8">
      <c r="A55" s="1051" t="s">
        <v>233</v>
      </c>
      <c r="B55" s="1051"/>
      <c r="C55" s="1051"/>
      <c r="D55" s="1051"/>
      <c r="E55" s="1051"/>
      <c r="F55" s="1051"/>
      <c r="G55" s="1051"/>
      <c r="H55" s="1051"/>
    </row>
    <row r="56" spans="1:8">
      <c r="A56" s="256"/>
      <c r="B56" s="219"/>
      <c r="C56" s="219"/>
      <c r="D56" s="219"/>
      <c r="E56" s="219"/>
      <c r="F56" s="219"/>
      <c r="G56" s="219"/>
      <c r="H56" s="256"/>
    </row>
    <row r="57" spans="1:8">
      <c r="A57" s="256"/>
      <c r="B57" s="219"/>
      <c r="C57" s="219"/>
      <c r="D57" s="234" t="s">
        <v>234</v>
      </c>
      <c r="E57" s="219"/>
      <c r="F57" s="310" t="str">
        <f>+STATISTICS!C94</f>
        <v>/Нэр/</v>
      </c>
      <c r="G57" s="219"/>
      <c r="H57" s="256"/>
    </row>
    <row r="58" spans="1:8">
      <c r="A58" s="256"/>
      <c r="B58" s="219"/>
      <c r="C58" s="219"/>
      <c r="D58" s="235"/>
      <c r="E58" s="219"/>
      <c r="F58" s="310"/>
      <c r="G58" s="219"/>
      <c r="H58" s="256"/>
    </row>
    <row r="59" spans="1:8">
      <c r="A59" s="256"/>
      <c r="B59" s="219"/>
      <c r="C59" s="219"/>
      <c r="D59" s="234" t="s">
        <v>236</v>
      </c>
      <c r="E59" s="219"/>
      <c r="F59" s="310" t="str">
        <f>+STATISTICS!C96</f>
        <v>/Нэр/</v>
      </c>
      <c r="G59" s="219"/>
      <c r="H59" s="256"/>
    </row>
    <row r="60" spans="1:8">
      <c r="A60" s="256"/>
      <c r="B60" s="219"/>
      <c r="C60" s="219"/>
      <c r="D60" s="219"/>
      <c r="E60" s="219"/>
      <c r="F60" s="219"/>
      <c r="G60" s="219"/>
      <c r="H60" s="256"/>
    </row>
    <row r="61" spans="1:8">
      <c r="A61" s="256"/>
      <c r="B61" s="219"/>
      <c r="C61" s="219"/>
      <c r="D61" s="219"/>
      <c r="E61" s="219"/>
      <c r="F61" s="219"/>
      <c r="G61" s="219"/>
      <c r="H61" s="256"/>
    </row>
    <row r="62" spans="1:8">
      <c r="A62" s="256"/>
      <c r="B62" s="219"/>
      <c r="C62" s="219"/>
      <c r="D62" s="219"/>
      <c r="E62" s="219"/>
      <c r="F62" s="219"/>
      <c r="G62" s="219"/>
      <c r="H62" s="256"/>
    </row>
    <row r="63" spans="1:8">
      <c r="A63" s="256"/>
      <c r="B63" s="256"/>
      <c r="C63" s="256"/>
      <c r="D63" s="256"/>
      <c r="E63" s="256"/>
      <c r="F63" s="256"/>
      <c r="G63" s="256"/>
      <c r="H63" s="256"/>
    </row>
    <row r="64" spans="1:8">
      <c r="A64" s="256"/>
      <c r="B64" s="256"/>
      <c r="C64" s="256"/>
      <c r="D64" s="256"/>
      <c r="E64" s="256"/>
      <c r="F64" s="256"/>
      <c r="G64" s="256"/>
      <c r="H64" s="256"/>
    </row>
    <row r="65" spans="5:6">
      <c r="E65" s="256"/>
      <c r="F65" s="256"/>
    </row>
    <row r="70" spans="5:6">
      <c r="E70" s="256"/>
      <c r="F70" s="256"/>
    </row>
    <row r="72" spans="5:6">
      <c r="E72" s="237"/>
      <c r="F72" s="237"/>
    </row>
    <row r="73" spans="5:6">
      <c r="E73" s="237"/>
      <c r="F73" s="237"/>
    </row>
    <row r="74" spans="5:6">
      <c r="E74" s="237"/>
      <c r="F74" s="237"/>
    </row>
    <row r="75" spans="5:6">
      <c r="E75" s="237"/>
      <c r="F75" s="312"/>
    </row>
    <row r="76" spans="5:6">
      <c r="E76" s="237"/>
      <c r="F76" s="237"/>
    </row>
    <row r="77" spans="5:6">
      <c r="E77" s="237"/>
      <c r="F77" s="312"/>
    </row>
    <row r="78" spans="5:6">
      <c r="E78" s="256"/>
      <c r="F78" s="256"/>
    </row>
    <row r="79" spans="5:6">
      <c r="E79" s="256"/>
      <c r="F79" s="256"/>
    </row>
    <row r="80" spans="5:6">
      <c r="E80" s="256"/>
      <c r="F80" s="256"/>
    </row>
  </sheetData>
  <sheetProtection algorithmName="SHA-512" hashValue="FQLakox2LMUG3mBMTzleoyoPV+Qc5sZBEWqExUV2Uf2psq69DcuzbKK+VTZsTr5u/eh/3O9XTFvO6scTdlpRKg==" saltValue="33Nv9JrvMSK3UtQL+cR3nw==" spinCount="100000" sheet="1" objects="1" scenarios="1"/>
  <mergeCells count="18">
    <mergeCell ref="A54:H54"/>
    <mergeCell ref="A55:H55"/>
    <mergeCell ref="F1:H1"/>
    <mergeCell ref="F2:H2"/>
    <mergeCell ref="A3:H3"/>
    <mergeCell ref="A4:H4"/>
    <mergeCell ref="A5:H5"/>
    <mergeCell ref="I7:J8"/>
    <mergeCell ref="E35:F35"/>
    <mergeCell ref="A39:B39"/>
    <mergeCell ref="A51:B51"/>
    <mergeCell ref="H8:H9"/>
    <mergeCell ref="A7:B7"/>
    <mergeCell ref="A8:B9"/>
    <mergeCell ref="C8:C9"/>
    <mergeCell ref="D8:D9"/>
    <mergeCell ref="E8:F9"/>
    <mergeCell ref="G8: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46" workbookViewId="0">
      <selection activeCell="E98" sqref="E98"/>
    </sheetView>
  </sheetViews>
  <sheetFormatPr defaultColWidth="12.5703125" defaultRowHeight="15"/>
  <cols>
    <col min="1" max="1" width="4.28515625" style="311" customWidth="1"/>
    <col min="2" max="2" width="1.42578125" style="311" customWidth="1"/>
    <col min="3" max="3" width="3.42578125" style="311" customWidth="1"/>
    <col min="4" max="4" width="56.28515625" style="311" customWidth="1"/>
    <col min="5" max="5" width="22.85546875" style="311" customWidth="1"/>
    <col min="6" max="6" width="11.7109375" style="311" customWidth="1"/>
    <col min="7" max="13" width="9.140625" style="241" customWidth="1"/>
    <col min="14" max="14" width="9.28515625" style="241" customWidth="1"/>
    <col min="15" max="15" width="9.140625" style="241" customWidth="1"/>
    <col min="16" max="26" width="4.28515625" style="241" customWidth="1"/>
    <col min="27" max="16384" width="12.5703125" style="241"/>
  </cols>
  <sheetData>
    <row r="1" spans="1:26" ht="15" customHeight="1">
      <c r="A1" s="257"/>
      <c r="B1" s="257"/>
      <c r="C1" s="257"/>
      <c r="D1" s="1029" t="s">
        <v>749</v>
      </c>
      <c r="E1" s="1029"/>
      <c r="F1" s="1029"/>
      <c r="G1" s="242"/>
      <c r="H1" s="242"/>
      <c r="I1" s="242"/>
      <c r="J1" s="242"/>
      <c r="K1" s="242"/>
      <c r="L1" s="242"/>
      <c r="M1" s="242"/>
      <c r="N1" s="242"/>
      <c r="O1" s="242"/>
      <c r="P1" s="242"/>
      <c r="Q1" s="242"/>
      <c r="R1" s="242"/>
      <c r="S1" s="242"/>
      <c r="T1" s="242"/>
      <c r="U1" s="242"/>
      <c r="V1" s="242"/>
      <c r="W1" s="242"/>
      <c r="X1" s="242"/>
      <c r="Y1" s="242"/>
      <c r="Z1" s="242"/>
    </row>
    <row r="2" spans="1:26" ht="12.75" customHeight="1">
      <c r="A2" s="257"/>
      <c r="B2" s="257"/>
      <c r="C2" s="257"/>
      <c r="D2" s="1029" t="s">
        <v>751</v>
      </c>
      <c r="E2" s="1029"/>
      <c r="F2" s="1029"/>
      <c r="G2" s="242"/>
      <c r="H2" s="242"/>
      <c r="I2" s="242"/>
      <c r="J2" s="242"/>
      <c r="K2" s="242"/>
      <c r="L2" s="242"/>
      <c r="M2" s="242"/>
      <c r="N2" s="242"/>
      <c r="O2" s="242"/>
      <c r="P2" s="242"/>
      <c r="Q2" s="242"/>
      <c r="R2" s="242"/>
      <c r="S2" s="242"/>
      <c r="T2" s="242"/>
      <c r="U2" s="242"/>
      <c r="V2" s="242"/>
      <c r="W2" s="242"/>
      <c r="X2" s="242"/>
      <c r="Y2" s="242"/>
      <c r="Z2" s="242"/>
    </row>
    <row r="3" spans="1:26" ht="13.5" customHeight="1">
      <c r="A3" s="237"/>
      <c r="B3" s="237"/>
      <c r="C3" s="237"/>
      <c r="D3" s="237"/>
      <c r="E3" s="336" t="s">
        <v>339</v>
      </c>
      <c r="F3" s="337"/>
      <c r="G3" s="135"/>
      <c r="H3" s="135"/>
      <c r="I3" s="135"/>
      <c r="J3" s="135"/>
      <c r="K3" s="135"/>
      <c r="L3" s="135"/>
      <c r="M3" s="135"/>
      <c r="N3" s="135"/>
      <c r="O3" s="135"/>
      <c r="P3" s="135"/>
      <c r="Q3" s="135"/>
      <c r="R3" s="135"/>
      <c r="S3" s="135"/>
      <c r="T3" s="135"/>
      <c r="U3" s="135"/>
      <c r="V3" s="135"/>
      <c r="W3" s="135"/>
      <c r="X3" s="135"/>
      <c r="Y3" s="135"/>
      <c r="Z3" s="135"/>
    </row>
    <row r="4" spans="1:26" ht="12.75" customHeight="1">
      <c r="A4" s="997" t="s">
        <v>340</v>
      </c>
      <c r="B4" s="1052"/>
      <c r="C4" s="1052"/>
      <c r="D4" s="1052"/>
      <c r="E4" s="1052"/>
      <c r="F4" s="1052"/>
      <c r="G4" s="135"/>
      <c r="H4" s="135"/>
      <c r="I4" s="135"/>
      <c r="J4" s="135"/>
      <c r="K4" s="135"/>
      <c r="L4" s="135"/>
      <c r="M4" s="135"/>
      <c r="N4" s="135"/>
      <c r="O4" s="135"/>
      <c r="P4" s="135"/>
      <c r="Q4" s="135"/>
      <c r="R4" s="135"/>
      <c r="S4" s="135"/>
      <c r="T4" s="135"/>
      <c r="U4" s="135"/>
      <c r="V4" s="135"/>
      <c r="W4" s="135"/>
      <c r="X4" s="135"/>
      <c r="Y4" s="135"/>
      <c r="Z4" s="135"/>
    </row>
    <row r="5" spans="1:26" ht="12.75" customHeight="1">
      <c r="A5" s="1037" t="str">
        <f>+STATISTICS!A4</f>
        <v>ХАДГАЛАМЖ, ЗЭЭЛИЙН ХОРШООНЫ НЭР</v>
      </c>
      <c r="B5" s="1052"/>
      <c r="C5" s="1052"/>
      <c r="D5" s="1052"/>
      <c r="E5" s="1052"/>
      <c r="F5" s="1052"/>
      <c r="G5" s="135"/>
      <c r="H5" s="135"/>
      <c r="I5" s="135"/>
      <c r="J5" s="135"/>
      <c r="K5" s="135"/>
      <c r="L5" s="135"/>
      <c r="M5" s="135"/>
      <c r="N5" s="135"/>
      <c r="O5" s="135"/>
      <c r="P5" s="135"/>
      <c r="Q5" s="135"/>
      <c r="R5" s="135"/>
      <c r="S5" s="135"/>
      <c r="T5" s="135"/>
      <c r="U5" s="135"/>
      <c r="V5" s="135"/>
      <c r="W5" s="135"/>
      <c r="X5" s="135"/>
      <c r="Y5" s="135"/>
      <c r="Z5" s="135"/>
    </row>
    <row r="6" spans="1:26" ht="12.75" customHeight="1">
      <c r="A6" s="997" t="s">
        <v>4</v>
      </c>
      <c r="B6" s="1052"/>
      <c r="C6" s="1052"/>
      <c r="D6" s="1052"/>
      <c r="E6" s="1052"/>
      <c r="F6" s="1052"/>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36"/>
      <c r="F7" s="337"/>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38" t="str">
        <f>+STATISTICS!A7</f>
        <v>Огноо</v>
      </c>
      <c r="B8" s="1053"/>
      <c r="C8" s="1053"/>
      <c r="D8" s="1053"/>
      <c r="E8" s="338"/>
      <c r="F8" s="339" t="s">
        <v>5</v>
      </c>
      <c r="G8" s="313"/>
      <c r="H8" s="313"/>
      <c r="I8" s="313"/>
      <c r="J8" s="313"/>
      <c r="K8" s="313"/>
      <c r="L8" s="313"/>
      <c r="M8" s="313"/>
      <c r="N8" s="313"/>
      <c r="O8" s="313"/>
      <c r="P8" s="313"/>
      <c r="Q8" s="313"/>
      <c r="R8" s="313"/>
      <c r="S8" s="313"/>
      <c r="T8" s="313"/>
      <c r="U8" s="313"/>
      <c r="V8" s="313"/>
      <c r="W8" s="313"/>
      <c r="X8" s="313"/>
      <c r="Y8" s="313"/>
      <c r="Z8" s="313"/>
    </row>
    <row r="9" spans="1:26" ht="16.5" customHeight="1">
      <c r="A9" s="1060" t="s">
        <v>341</v>
      </c>
      <c r="B9" s="1058"/>
      <c r="C9" s="1058"/>
      <c r="D9" s="1058"/>
      <c r="E9" s="1061" t="str">
        <f>+BALANCE!D8</f>
        <v>.... р сарын ...</v>
      </c>
      <c r="F9" s="1063"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47"/>
      <c r="B10" s="1047"/>
      <c r="C10" s="1047"/>
      <c r="D10" s="1047"/>
      <c r="E10" s="1062"/>
      <c r="F10" s="1064"/>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340" t="s">
        <v>239</v>
      </c>
      <c r="B11" s="1056" t="s">
        <v>343</v>
      </c>
      <c r="C11" s="1057"/>
      <c r="D11" s="1058"/>
      <c r="E11" s="341">
        <f>ROUND(SUM(E12,E13,E14,E15,E16-E17),2)</f>
        <v>0</v>
      </c>
      <c r="F11" s="342"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264"/>
      <c r="B12" s="237"/>
      <c r="C12" s="237"/>
      <c r="D12" s="343" t="s">
        <v>126</v>
      </c>
      <c r="E12" s="314">
        <f>+BALANCE!H73</f>
        <v>0</v>
      </c>
      <c r="F12" s="344"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264"/>
      <c r="B13" s="237"/>
      <c r="C13" s="237"/>
      <c r="D13" s="345" t="s">
        <v>344</v>
      </c>
      <c r="E13" s="315">
        <f>+BALANCE!H74</f>
        <v>0</v>
      </c>
      <c r="F13" s="344"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264"/>
      <c r="B14" s="237"/>
      <c r="C14" s="237"/>
      <c r="D14" s="346" t="s">
        <v>345</v>
      </c>
      <c r="E14" s="316">
        <f>+BALANCE!H75</f>
        <v>0</v>
      </c>
      <c r="F14" s="344"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264"/>
      <c r="B15" s="237"/>
      <c r="C15" s="237"/>
      <c r="D15" s="347" t="s">
        <v>346</v>
      </c>
      <c r="E15" s="317">
        <f>+BALANCE!H76</f>
        <v>0</v>
      </c>
      <c r="F15" s="344"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264"/>
      <c r="B16" s="237"/>
      <c r="C16" s="237"/>
      <c r="D16" s="347" t="s">
        <v>347</v>
      </c>
      <c r="E16" s="317">
        <f>+BALANCE!H77</f>
        <v>0</v>
      </c>
      <c r="F16" s="344"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264"/>
      <c r="B17" s="237"/>
      <c r="C17" s="237"/>
      <c r="D17" s="348" t="s">
        <v>348</v>
      </c>
      <c r="E17" s="318">
        <f>+BALANCE!H78</f>
        <v>0</v>
      </c>
      <c r="F17" s="344"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81" t="s">
        <v>261</v>
      </c>
      <c r="B18" s="349" t="s">
        <v>349</v>
      </c>
      <c r="C18" s="349"/>
      <c r="D18" s="85"/>
      <c r="E18" s="350">
        <f>ROUND(SUM(E19,E20,E21,E22-E23),2)</f>
        <v>0</v>
      </c>
      <c r="F18" s="342"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264"/>
      <c r="B19" s="237"/>
      <c r="C19" s="237"/>
      <c r="D19" s="351" t="s">
        <v>160</v>
      </c>
      <c r="E19" s="319">
        <f>+BALANCE!D92</f>
        <v>0</v>
      </c>
      <c r="F19" s="352"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264"/>
      <c r="B20" s="237"/>
      <c r="C20" s="237"/>
      <c r="D20" s="347" t="s">
        <v>350</v>
      </c>
      <c r="E20" s="320">
        <f>+BALANCE!D93</f>
        <v>0</v>
      </c>
      <c r="F20" s="352" t="e">
        <f t="shared" si="1"/>
        <v>#DIV/0!</v>
      </c>
      <c r="G20" s="135"/>
      <c r="H20" s="321"/>
      <c r="I20" s="135"/>
      <c r="J20" s="135"/>
      <c r="K20" s="135"/>
      <c r="L20" s="135"/>
      <c r="M20" s="135"/>
      <c r="N20" s="135"/>
      <c r="O20" s="135"/>
      <c r="P20" s="135"/>
      <c r="Q20" s="135"/>
      <c r="R20" s="135"/>
      <c r="S20" s="135"/>
      <c r="T20" s="135"/>
      <c r="U20" s="135"/>
      <c r="V20" s="135"/>
      <c r="W20" s="135"/>
      <c r="X20" s="135"/>
      <c r="Y20" s="135"/>
      <c r="Z20" s="135"/>
    </row>
    <row r="21" spans="1:26" ht="12.75" customHeight="1">
      <c r="A21" s="264"/>
      <c r="B21" s="237"/>
      <c r="C21" s="237"/>
      <c r="D21" s="347" t="s">
        <v>163</v>
      </c>
      <c r="E21" s="320">
        <f>+BALANCE!D94</f>
        <v>0</v>
      </c>
      <c r="F21" s="352"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264"/>
      <c r="B22" s="237"/>
      <c r="C22" s="237"/>
      <c r="D22" s="347" t="s">
        <v>351</v>
      </c>
      <c r="E22" s="320">
        <f>+BALANCE!D95</f>
        <v>0</v>
      </c>
      <c r="F22" s="352"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264"/>
      <c r="B23" s="237"/>
      <c r="C23" s="237"/>
      <c r="D23" s="348" t="s">
        <v>352</v>
      </c>
      <c r="E23" s="322">
        <f>+BALANCE!D96</f>
        <v>0</v>
      </c>
      <c r="F23" s="353"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81"/>
      <c r="B24" s="349" t="s">
        <v>353</v>
      </c>
      <c r="C24" s="349"/>
      <c r="D24" s="354"/>
      <c r="E24" s="355">
        <f>E11-E18</f>
        <v>0</v>
      </c>
      <c r="F24" s="342"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340" t="s">
        <v>279</v>
      </c>
      <c r="B25" s="349" t="s">
        <v>354</v>
      </c>
      <c r="C25" s="349"/>
      <c r="D25" s="265"/>
      <c r="E25" s="356">
        <f>ROUND(SUM(E26,E27-E28),2)</f>
        <v>0</v>
      </c>
      <c r="F25" s="342" t="e">
        <f>E25/$E$96</f>
        <v>#DIV/0!</v>
      </c>
      <c r="G25" s="135"/>
      <c r="H25" s="323"/>
      <c r="I25" s="135"/>
      <c r="J25" s="135"/>
      <c r="K25" s="135"/>
      <c r="L25" s="135"/>
      <c r="M25" s="135"/>
      <c r="N25" s="135"/>
      <c r="O25" s="135"/>
      <c r="P25" s="135"/>
      <c r="Q25" s="135"/>
      <c r="R25" s="135"/>
      <c r="S25" s="135"/>
      <c r="T25" s="135"/>
      <c r="U25" s="135"/>
      <c r="V25" s="135"/>
      <c r="W25" s="135"/>
      <c r="X25" s="135"/>
      <c r="Y25" s="135"/>
      <c r="Z25" s="135"/>
    </row>
    <row r="26" spans="1:26" ht="12.75" customHeight="1">
      <c r="A26" s="264"/>
      <c r="B26" s="237"/>
      <c r="C26" s="237"/>
      <c r="D26" s="343" t="s">
        <v>355</v>
      </c>
      <c r="E26" s="315">
        <f>+BALANCE!D98</f>
        <v>0</v>
      </c>
      <c r="F26" s="344"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264"/>
      <c r="B27" s="237"/>
      <c r="C27" s="237"/>
      <c r="D27" s="345" t="s">
        <v>356</v>
      </c>
      <c r="E27" s="315">
        <f>+BALANCE!D99</f>
        <v>0</v>
      </c>
      <c r="F27" s="344"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264"/>
      <c r="B28" s="237"/>
      <c r="C28" s="237"/>
      <c r="D28" s="357" t="s">
        <v>357</v>
      </c>
      <c r="E28" s="315">
        <f>+BALANCE!D100</f>
        <v>0</v>
      </c>
      <c r="F28" s="344" t="e">
        <f t="shared" si="3"/>
        <v>#DIV/0!</v>
      </c>
      <c r="G28" s="135"/>
      <c r="H28" s="321"/>
      <c r="I28" s="135"/>
      <c r="J28" s="135"/>
      <c r="K28" s="135"/>
      <c r="L28" s="135"/>
      <c r="M28" s="135"/>
      <c r="N28" s="135"/>
      <c r="O28" s="135"/>
      <c r="P28" s="135"/>
      <c r="Q28" s="135"/>
      <c r="R28" s="135"/>
      <c r="S28" s="135"/>
      <c r="T28" s="135"/>
      <c r="U28" s="135"/>
      <c r="V28" s="135"/>
      <c r="W28" s="135"/>
      <c r="X28" s="135"/>
      <c r="Y28" s="135"/>
      <c r="Z28" s="135"/>
    </row>
    <row r="29" spans="1:26" ht="12.75" customHeight="1" thickBot="1">
      <c r="A29" s="358"/>
      <c r="B29" s="265" t="s">
        <v>358</v>
      </c>
      <c r="C29" s="265"/>
      <c r="D29" s="359"/>
      <c r="E29" s="341">
        <f>ROUND(SUM(E24-E25),2)</f>
        <v>0</v>
      </c>
      <c r="F29" s="342" t="e">
        <f t="shared" ref="F29:F35" si="4">E29/$E$95</f>
        <v>#DIV/0!</v>
      </c>
      <c r="G29" s="135"/>
      <c r="H29" s="321"/>
      <c r="I29" s="135"/>
      <c r="J29" s="135"/>
      <c r="K29" s="135"/>
      <c r="L29" s="135"/>
      <c r="M29" s="135"/>
      <c r="N29" s="135"/>
      <c r="O29" s="135"/>
      <c r="P29" s="135"/>
      <c r="Q29" s="135"/>
      <c r="R29" s="135"/>
      <c r="S29" s="135"/>
      <c r="T29" s="135"/>
      <c r="U29" s="135"/>
      <c r="V29" s="135"/>
      <c r="W29" s="135"/>
      <c r="X29" s="135"/>
      <c r="Y29" s="135"/>
      <c r="Z29" s="135"/>
    </row>
    <row r="30" spans="1:26" ht="12.75" customHeight="1" thickBot="1">
      <c r="A30" s="360" t="s">
        <v>280</v>
      </c>
      <c r="B30" s="361" t="s">
        <v>359</v>
      </c>
      <c r="C30" s="361"/>
      <c r="D30" s="362"/>
      <c r="E30" s="363">
        <f>ROUND(SUM(E31,E32,E33,E34,E35),2)</f>
        <v>0</v>
      </c>
      <c r="F30" s="342"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264"/>
      <c r="B31" s="237"/>
      <c r="C31" s="237"/>
      <c r="D31" s="351" t="s">
        <v>360</v>
      </c>
      <c r="E31" s="324">
        <f>+BALANCE!H80</f>
        <v>0</v>
      </c>
      <c r="F31" s="344"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264"/>
      <c r="B32" s="237"/>
      <c r="C32" s="237"/>
      <c r="D32" s="347" t="s">
        <v>361</v>
      </c>
      <c r="E32" s="317">
        <f>+BALANCE!H81</f>
        <v>0</v>
      </c>
      <c r="F32" s="344"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264"/>
      <c r="B33" s="237"/>
      <c r="C33" s="237"/>
      <c r="D33" s="347" t="s">
        <v>362</v>
      </c>
      <c r="E33" s="317">
        <f>+BALANCE!H82</f>
        <v>0</v>
      </c>
      <c r="F33" s="344"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264"/>
      <c r="B34" s="237"/>
      <c r="C34" s="237"/>
      <c r="D34" s="347" t="s">
        <v>363</v>
      </c>
      <c r="E34" s="317">
        <f>+BALANCE!H83</f>
        <v>0</v>
      </c>
      <c r="F34" s="344"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264"/>
      <c r="B35" s="237"/>
      <c r="C35" s="237"/>
      <c r="D35" s="348" t="s">
        <v>364</v>
      </c>
      <c r="E35" s="325">
        <f>+BALANCE!H84</f>
        <v>0</v>
      </c>
      <c r="F35" s="344"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81" t="s">
        <v>282</v>
      </c>
      <c r="B36" s="349" t="s">
        <v>365</v>
      </c>
      <c r="C36" s="349"/>
      <c r="D36" s="354"/>
      <c r="E36" s="364">
        <f>ROUND(SUM(E37,E45),2)</f>
        <v>0</v>
      </c>
      <c r="F36" s="342" t="e">
        <f t="shared" ref="F36:F71" si="5">E36/$E$96</f>
        <v>#DIV/0!</v>
      </c>
      <c r="G36" s="135"/>
      <c r="H36" s="321"/>
      <c r="I36" s="135"/>
      <c r="J36" s="135"/>
      <c r="K36" s="135"/>
      <c r="L36" s="135"/>
      <c r="M36" s="135"/>
      <c r="N36" s="135"/>
      <c r="O36" s="135"/>
      <c r="P36" s="135"/>
      <c r="Q36" s="135"/>
      <c r="R36" s="135"/>
      <c r="S36" s="135"/>
      <c r="T36" s="135"/>
      <c r="U36" s="135"/>
      <c r="V36" s="135"/>
      <c r="W36" s="135"/>
      <c r="X36" s="135"/>
      <c r="Y36" s="135"/>
      <c r="Z36" s="135"/>
    </row>
    <row r="37" spans="1:26" ht="12.75" customHeight="1" thickBot="1">
      <c r="A37" s="365"/>
      <c r="B37" s="219"/>
      <c r="C37" s="215" t="s">
        <v>366</v>
      </c>
      <c r="D37" s="265"/>
      <c r="E37" s="366">
        <f>ROUND(SUM(E38,E39,E40,E41,E42,E43,E44),2)</f>
        <v>0</v>
      </c>
      <c r="F37" s="342"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264"/>
      <c r="B38" s="237"/>
      <c r="C38" s="237"/>
      <c r="D38" s="343" t="s">
        <v>367</v>
      </c>
      <c r="E38" s="132">
        <f>+BALANCE!D102</f>
        <v>0</v>
      </c>
      <c r="F38" s="344"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264"/>
      <c r="B39" s="237"/>
      <c r="C39" s="237"/>
      <c r="D39" s="345" t="s">
        <v>368</v>
      </c>
      <c r="E39" s="132">
        <f>+BALANCE!D103</f>
        <v>0</v>
      </c>
      <c r="F39" s="344"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264"/>
      <c r="B40" s="237"/>
      <c r="C40" s="237"/>
      <c r="D40" s="345" t="s">
        <v>369</v>
      </c>
      <c r="E40" s="132">
        <f>+BALANCE!D104</f>
        <v>0</v>
      </c>
      <c r="F40" s="344"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264"/>
      <c r="B41" s="237"/>
      <c r="C41" s="237"/>
      <c r="D41" s="345" t="s">
        <v>370</v>
      </c>
      <c r="E41" s="132">
        <f>+BALANCE!D105</f>
        <v>0</v>
      </c>
      <c r="F41" s="344"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264"/>
      <c r="B42" s="237"/>
      <c r="C42" s="237"/>
      <c r="D42" s="345" t="s">
        <v>371</v>
      </c>
      <c r="E42" s="132">
        <f>+BALANCE!D106</f>
        <v>0</v>
      </c>
      <c r="F42" s="344" t="e">
        <f t="shared" si="5"/>
        <v>#DIV/0!</v>
      </c>
      <c r="G42" s="135"/>
      <c r="H42" s="1059"/>
      <c r="I42" s="1043"/>
      <c r="J42" s="1043"/>
      <c r="K42" s="1043"/>
      <c r="L42" s="1043"/>
      <c r="M42" s="1043"/>
      <c r="N42" s="1043"/>
      <c r="O42" s="1043"/>
      <c r="P42" s="135"/>
      <c r="Q42" s="135"/>
      <c r="R42" s="135"/>
      <c r="S42" s="135"/>
      <c r="T42" s="135"/>
      <c r="U42" s="135"/>
      <c r="V42" s="135"/>
      <c r="W42" s="135"/>
      <c r="X42" s="135"/>
      <c r="Y42" s="135"/>
      <c r="Z42" s="135"/>
    </row>
    <row r="43" spans="1:26" ht="12.75" customHeight="1">
      <c r="A43" s="264"/>
      <c r="B43" s="237"/>
      <c r="C43" s="237"/>
      <c r="D43" s="345" t="s">
        <v>372</v>
      </c>
      <c r="E43" s="132">
        <f>+BALANCE!D107</f>
        <v>0</v>
      </c>
      <c r="F43" s="344"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264"/>
      <c r="B44" s="237"/>
      <c r="C44" s="237"/>
      <c r="D44" s="357" t="s">
        <v>373</v>
      </c>
      <c r="E44" s="132">
        <f>+BALANCE!D108</f>
        <v>0</v>
      </c>
      <c r="F44" s="344"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264"/>
      <c r="B45" s="237"/>
      <c r="C45" s="215" t="s">
        <v>374</v>
      </c>
      <c r="D45" s="359"/>
      <c r="E45" s="367">
        <f>ROUND(SUM(E46,E47,E48,E49,E50,E51,E52,E53,E54,E55,E56,E57,E58,E59,E60,E61,E62,E63,E64,E65,E66,E67,E68,E69,E70,E71),2)</f>
        <v>0</v>
      </c>
      <c r="F45" s="342"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264"/>
      <c r="B46" s="237"/>
      <c r="C46" s="237"/>
      <c r="D46" s="368" t="s">
        <v>375</v>
      </c>
      <c r="E46" s="326">
        <f>+BALANCE!D110</f>
        <v>0</v>
      </c>
      <c r="F46" s="344" t="e">
        <f t="shared" si="5"/>
        <v>#DIV/0!</v>
      </c>
      <c r="G46" s="135"/>
      <c r="H46" s="327"/>
      <c r="I46" s="135"/>
      <c r="J46" s="135"/>
      <c r="K46" s="135"/>
      <c r="L46" s="135"/>
      <c r="M46" s="135"/>
      <c r="N46" s="135"/>
      <c r="O46" s="135"/>
      <c r="P46" s="135"/>
      <c r="Q46" s="135"/>
      <c r="R46" s="135"/>
      <c r="S46" s="135"/>
      <c r="T46" s="135"/>
      <c r="U46" s="135"/>
      <c r="V46" s="135"/>
      <c r="W46" s="135"/>
      <c r="X46" s="135"/>
      <c r="Y46" s="135"/>
      <c r="Z46" s="135"/>
    </row>
    <row r="47" spans="1:26" ht="12.75" customHeight="1">
      <c r="A47" s="264"/>
      <c r="B47" s="237"/>
      <c r="C47" s="237"/>
      <c r="D47" s="347" t="s">
        <v>376</v>
      </c>
      <c r="E47" s="328">
        <f>+BALANCE!D111</f>
        <v>0</v>
      </c>
      <c r="F47" s="344"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264"/>
      <c r="B48" s="237"/>
      <c r="C48" s="237"/>
      <c r="D48" s="369" t="s">
        <v>181</v>
      </c>
      <c r="E48" s="329">
        <f>+BALANCE!D112</f>
        <v>0</v>
      </c>
      <c r="F48" s="344"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264"/>
      <c r="B49" s="237"/>
      <c r="C49" s="237"/>
      <c r="D49" s="347" t="s">
        <v>182</v>
      </c>
      <c r="E49" s="329">
        <f>+BALANCE!D113</f>
        <v>0</v>
      </c>
      <c r="F49" s="344"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264"/>
      <c r="B50" s="237"/>
      <c r="C50" s="237"/>
      <c r="D50" s="369" t="s">
        <v>377</v>
      </c>
      <c r="E50" s="329">
        <f>+BALANCE!D114</f>
        <v>0</v>
      </c>
      <c r="F50" s="344"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264"/>
      <c r="B51" s="237"/>
      <c r="C51" s="237"/>
      <c r="D51" s="347" t="s">
        <v>378</v>
      </c>
      <c r="E51" s="330">
        <f>+BALANCE!D115</f>
        <v>0</v>
      </c>
      <c r="F51" s="344"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264"/>
      <c r="B52" s="237"/>
      <c r="C52" s="237"/>
      <c r="D52" s="370" t="s">
        <v>379</v>
      </c>
      <c r="E52" s="331">
        <f>+BALANCE!D116</f>
        <v>0</v>
      </c>
      <c r="F52" s="344"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264"/>
      <c r="B53" s="237"/>
      <c r="C53" s="237"/>
      <c r="D53" s="371" t="s">
        <v>380</v>
      </c>
      <c r="E53" s="330">
        <f>+BALANCE!D117</f>
        <v>0</v>
      </c>
      <c r="F53" s="344"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264"/>
      <c r="B54" s="237"/>
      <c r="C54" s="237"/>
      <c r="D54" s="371" t="s">
        <v>187</v>
      </c>
      <c r="E54" s="330">
        <f>+BALANCE!D118</f>
        <v>0</v>
      </c>
      <c r="F54" s="344"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264"/>
      <c r="B55" s="237"/>
      <c r="C55" s="237"/>
      <c r="D55" s="371" t="s">
        <v>381</v>
      </c>
      <c r="E55" s="331">
        <f>+BALANCE!D119</f>
        <v>0</v>
      </c>
      <c r="F55" s="344"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264"/>
      <c r="B56" s="237"/>
      <c r="C56" s="237"/>
      <c r="D56" s="371" t="s">
        <v>382</v>
      </c>
      <c r="E56" s="329">
        <f>+BALANCE!D120</f>
        <v>0</v>
      </c>
      <c r="F56" s="344"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264"/>
      <c r="B57" s="237"/>
      <c r="C57" s="237"/>
      <c r="D57" s="371" t="s">
        <v>383</v>
      </c>
      <c r="E57" s="329">
        <f>+BALANCE!D121</f>
        <v>0</v>
      </c>
      <c r="F57" s="344"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264"/>
      <c r="B58" s="237"/>
      <c r="C58" s="237"/>
      <c r="D58" s="347" t="s">
        <v>384</v>
      </c>
      <c r="E58" s="330">
        <f>+BALANCE!D122</f>
        <v>0</v>
      </c>
      <c r="F58" s="344"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264"/>
      <c r="B59" s="237"/>
      <c r="C59" s="237"/>
      <c r="D59" s="370" t="s">
        <v>385</v>
      </c>
      <c r="E59" s="330">
        <f>+BALANCE!D123</f>
        <v>0</v>
      </c>
      <c r="F59" s="344"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264"/>
      <c r="B60" s="237"/>
      <c r="C60" s="237"/>
      <c r="D60" s="371" t="s">
        <v>386</v>
      </c>
      <c r="E60" s="330">
        <f>+BALANCE!D124</f>
        <v>0</v>
      </c>
      <c r="F60" s="344"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264"/>
      <c r="B61" s="237"/>
      <c r="C61" s="237"/>
      <c r="D61" s="347" t="s">
        <v>387</v>
      </c>
      <c r="E61" s="330">
        <f>+BALANCE!D125</f>
        <v>0</v>
      </c>
      <c r="F61" s="344"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264"/>
      <c r="B62" s="237"/>
      <c r="C62" s="237"/>
      <c r="D62" s="370" t="s">
        <v>388</v>
      </c>
      <c r="E62" s="330">
        <f>+BALANCE!D126</f>
        <v>0</v>
      </c>
      <c r="F62" s="344"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264"/>
      <c r="B63" s="237"/>
      <c r="C63" s="237"/>
      <c r="D63" s="371" t="s">
        <v>389</v>
      </c>
      <c r="E63" s="328">
        <f>+BALANCE!D127</f>
        <v>0</v>
      </c>
      <c r="F63" s="344"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264"/>
      <c r="B64" s="237"/>
      <c r="C64" s="237"/>
      <c r="D64" s="371" t="s">
        <v>197</v>
      </c>
      <c r="E64" s="332">
        <f>+BALANCE!D128</f>
        <v>0</v>
      </c>
      <c r="F64" s="344"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264"/>
      <c r="B65" s="237"/>
      <c r="C65" s="237"/>
      <c r="D65" s="347" t="s">
        <v>390</v>
      </c>
      <c r="E65" s="328">
        <f>+BALANCE!D129</f>
        <v>0</v>
      </c>
      <c r="F65" s="344"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264"/>
      <c r="B66" s="237"/>
      <c r="C66" s="237"/>
      <c r="D66" s="370" t="s">
        <v>391</v>
      </c>
      <c r="E66" s="328">
        <f>+BALANCE!D130</f>
        <v>0</v>
      </c>
      <c r="F66" s="344"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264"/>
      <c r="B67" s="237"/>
      <c r="C67" s="237"/>
      <c r="D67" s="371" t="s">
        <v>200</v>
      </c>
      <c r="E67" s="328">
        <f>+BALANCE!D131</f>
        <v>0</v>
      </c>
      <c r="F67" s="344"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264"/>
      <c r="B68" s="237"/>
      <c r="C68" s="237"/>
      <c r="D68" s="346" t="s">
        <v>201</v>
      </c>
      <c r="E68" s="328">
        <f>+BALANCE!D132</f>
        <v>0</v>
      </c>
      <c r="F68" s="344"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264"/>
      <c r="B69" s="237"/>
      <c r="C69" s="237"/>
      <c r="D69" s="347" t="s">
        <v>202</v>
      </c>
      <c r="E69" s="330">
        <f>+BALANCE!D133</f>
        <v>0</v>
      </c>
      <c r="F69" s="344"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264"/>
      <c r="B70" s="237"/>
      <c r="C70" s="237"/>
      <c r="D70" s="347" t="s">
        <v>392</v>
      </c>
      <c r="E70" s="330">
        <f>+BALANCE!D134</f>
        <v>0</v>
      </c>
      <c r="F70" s="344"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264"/>
      <c r="B71" s="237"/>
      <c r="C71" s="237"/>
      <c r="D71" s="372" t="s">
        <v>393</v>
      </c>
      <c r="E71" s="333">
        <f>+BALANCE!D135</f>
        <v>0</v>
      </c>
      <c r="F71" s="344"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81"/>
      <c r="B72" s="349" t="s">
        <v>394</v>
      </c>
      <c r="C72" s="349"/>
      <c r="D72" s="354"/>
      <c r="E72" s="373">
        <f>ROUND(SUM(E29,E30-E36),2)</f>
        <v>0</v>
      </c>
      <c r="F72" s="342"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340" t="s">
        <v>395</v>
      </c>
      <c r="B73" s="349" t="s">
        <v>396</v>
      </c>
      <c r="C73" s="349"/>
      <c r="D73" s="265"/>
      <c r="E73" s="366">
        <f>ROUND(SUM(E74,E75,E76,E77,E78,E79),2)</f>
        <v>0</v>
      </c>
      <c r="F73" s="342"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264"/>
      <c r="B74" s="237"/>
      <c r="C74" s="237"/>
      <c r="D74" s="343" t="s">
        <v>397</v>
      </c>
      <c r="E74" s="132">
        <f>+BALANCE!H86</f>
        <v>0</v>
      </c>
      <c r="F74" s="344"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264"/>
      <c r="B75" s="237"/>
      <c r="C75" s="237"/>
      <c r="D75" s="345" t="s">
        <v>151</v>
      </c>
      <c r="E75" s="132">
        <f>+BALANCE!H87</f>
        <v>0</v>
      </c>
      <c r="F75" s="344"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264"/>
      <c r="B76" s="237"/>
      <c r="C76" s="237"/>
      <c r="D76" s="345" t="s">
        <v>398</v>
      </c>
      <c r="E76" s="132">
        <f>+BALANCE!H88</f>
        <v>0</v>
      </c>
      <c r="F76" s="344"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264"/>
      <c r="B77" s="237"/>
      <c r="C77" s="237"/>
      <c r="D77" s="345" t="s">
        <v>155</v>
      </c>
      <c r="E77" s="132">
        <f>+BALANCE!H89</f>
        <v>0</v>
      </c>
      <c r="F77" s="344"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264"/>
      <c r="B78" s="237"/>
      <c r="C78" s="237"/>
      <c r="D78" s="345" t="s">
        <v>399</v>
      </c>
      <c r="E78" s="132">
        <f>+BALANCE!H90</f>
        <v>0</v>
      </c>
      <c r="F78" s="344"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264"/>
      <c r="B79" s="237"/>
      <c r="C79" s="237"/>
      <c r="D79" s="372" t="s">
        <v>400</v>
      </c>
      <c r="E79" s="132">
        <f>+BALANCE!H91</f>
        <v>0</v>
      </c>
      <c r="F79" s="344" t="e">
        <f t="shared" si="6"/>
        <v>#DIV/0!</v>
      </c>
      <c r="G79" s="135"/>
      <c r="H79" s="321"/>
      <c r="I79" s="135"/>
      <c r="J79" s="135"/>
      <c r="K79" s="135"/>
      <c r="L79" s="135"/>
      <c r="M79" s="135"/>
      <c r="N79" s="135"/>
      <c r="O79" s="135"/>
      <c r="P79" s="135"/>
      <c r="Q79" s="135"/>
      <c r="R79" s="135"/>
      <c r="S79" s="135"/>
      <c r="T79" s="135"/>
      <c r="U79" s="135"/>
      <c r="V79" s="135"/>
      <c r="W79" s="135"/>
      <c r="X79" s="135"/>
      <c r="Y79" s="135"/>
      <c r="Z79" s="135"/>
    </row>
    <row r="80" spans="1:26" ht="12.75" customHeight="1" thickBot="1">
      <c r="A80" s="81" t="s">
        <v>401</v>
      </c>
      <c r="B80" s="349" t="s">
        <v>402</v>
      </c>
      <c r="C80" s="349"/>
      <c r="D80" s="359"/>
      <c r="E80" s="367">
        <f>ROUND(SUM(E81,E82,E83,E84,E85,E86,E87,E88,E89,E90),2)</f>
        <v>0</v>
      </c>
      <c r="F80" s="342"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264"/>
      <c r="B81" s="237"/>
      <c r="C81" s="237"/>
      <c r="D81" s="343" t="s">
        <v>403</v>
      </c>
      <c r="E81" s="334">
        <f>+BALANCE!D137</f>
        <v>0</v>
      </c>
      <c r="F81" s="374"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264"/>
      <c r="B82" s="237"/>
      <c r="C82" s="237"/>
      <c r="D82" s="345" t="s">
        <v>404</v>
      </c>
      <c r="E82" s="334">
        <f>+BALANCE!D138</f>
        <v>0</v>
      </c>
      <c r="F82" s="352"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264"/>
      <c r="B83" s="237"/>
      <c r="C83" s="237"/>
      <c r="D83" s="345" t="s">
        <v>207</v>
      </c>
      <c r="E83" s="334">
        <f>+BALANCE!D139</f>
        <v>0</v>
      </c>
      <c r="F83" s="352"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264"/>
      <c r="B84" s="237"/>
      <c r="C84" s="237"/>
      <c r="D84" s="345" t="s">
        <v>208</v>
      </c>
      <c r="E84" s="334">
        <f>+BALANCE!D140</f>
        <v>0</v>
      </c>
      <c r="F84" s="352"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264"/>
      <c r="B85" s="237"/>
      <c r="C85" s="237"/>
      <c r="D85" s="345" t="s">
        <v>209</v>
      </c>
      <c r="E85" s="334">
        <f>+BALANCE!D141</f>
        <v>0</v>
      </c>
      <c r="F85" s="352"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264"/>
      <c r="B86" s="237"/>
      <c r="C86" s="237"/>
      <c r="D86" s="345" t="s">
        <v>405</v>
      </c>
      <c r="E86" s="334">
        <f>+BALANCE!D142</f>
        <v>0</v>
      </c>
      <c r="F86" s="352"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264"/>
      <c r="B87" s="237"/>
      <c r="C87" s="237"/>
      <c r="D87" s="345" t="s">
        <v>210</v>
      </c>
      <c r="E87" s="334">
        <f>+BALANCE!D143</f>
        <v>0</v>
      </c>
      <c r="F87" s="352"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264"/>
      <c r="B88" s="237"/>
      <c r="C88" s="237"/>
      <c r="D88" s="345" t="s">
        <v>211</v>
      </c>
      <c r="E88" s="334">
        <f>+BALANCE!D144</f>
        <v>0</v>
      </c>
      <c r="F88" s="352"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264"/>
      <c r="B89" s="237"/>
      <c r="C89" s="237"/>
      <c r="D89" s="345" t="s">
        <v>212</v>
      </c>
      <c r="E89" s="334">
        <f>+BALANCE!D145</f>
        <v>0</v>
      </c>
      <c r="F89" s="352"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264"/>
      <c r="B90" s="237"/>
      <c r="C90" s="237"/>
      <c r="D90" s="372" t="s">
        <v>406</v>
      </c>
      <c r="E90" s="334">
        <f>+BALANCE!D146</f>
        <v>0</v>
      </c>
      <c r="F90" s="353"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81" t="s">
        <v>407</v>
      </c>
      <c r="B91" s="349" t="s">
        <v>408</v>
      </c>
      <c r="C91" s="349"/>
      <c r="D91" s="359"/>
      <c r="E91" s="142">
        <f>ROUND(SUM(E72+E73-E80),2)</f>
        <v>0</v>
      </c>
      <c r="F91" s="375"/>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76"/>
      <c r="B92" s="377"/>
      <c r="C92" s="377"/>
      <c r="D92" s="378" t="s">
        <v>409</v>
      </c>
      <c r="E92" s="335">
        <f>+BALANCE!D147</f>
        <v>0</v>
      </c>
      <c r="F92" s="342"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340" t="s">
        <v>410</v>
      </c>
      <c r="B93" s="349" t="s">
        <v>411</v>
      </c>
      <c r="C93" s="349"/>
      <c r="D93" s="354"/>
      <c r="E93" s="144">
        <f>ROUND(SUM(E91-E92),2)</f>
        <v>0</v>
      </c>
      <c r="F93" s="379"/>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380"/>
      <c r="F94" s="381"/>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82" t="s">
        <v>412</v>
      </c>
      <c r="E95" s="383">
        <f>ROUND(SUM(E11,E30,E73),2)</f>
        <v>0</v>
      </c>
      <c r="F95" s="384">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82" t="s">
        <v>413</v>
      </c>
      <c r="E96" s="385">
        <f>ROUND(SUM(E18,E25,E36,E80,E92),2)</f>
        <v>0</v>
      </c>
      <c r="F96" s="384">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86" t="s">
        <v>414</v>
      </c>
      <c r="E97" s="385">
        <f>ROUND(SUM(E95-E96),2)</f>
        <v>0</v>
      </c>
      <c r="F97" s="384">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87"/>
      <c r="E98" s="336"/>
      <c r="F98" s="337"/>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236"/>
      <c r="E99" s="336"/>
      <c r="F99" s="337"/>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997" t="s">
        <v>232</v>
      </c>
      <c r="B100" s="997"/>
      <c r="C100" s="997"/>
      <c r="D100" s="997"/>
      <c r="E100" s="997"/>
      <c r="F100" s="997"/>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54" t="s">
        <v>233</v>
      </c>
      <c r="B101" s="1055"/>
      <c r="C101" s="1055"/>
      <c r="D101" s="1055"/>
      <c r="E101" s="1055"/>
      <c r="F101" s="105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36"/>
      <c r="F102" s="337"/>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234" t="s">
        <v>234</v>
      </c>
      <c r="E103" s="336" t="str">
        <f>+STATISTICS!C94</f>
        <v>/Нэр/</v>
      </c>
      <c r="F103" s="337"/>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36"/>
      <c r="F104" s="337"/>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234" t="s">
        <v>236</v>
      </c>
      <c r="E105" s="336" t="str">
        <f>+STATISTICS!C96</f>
        <v>/Нэр/</v>
      </c>
      <c r="F105" s="337"/>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36"/>
      <c r="F106" s="337"/>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36"/>
      <c r="F107" s="337"/>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36"/>
      <c r="F108" s="337"/>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36"/>
      <c r="F109" s="337"/>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36"/>
      <c r="F110" s="337"/>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36"/>
      <c r="F111" s="337"/>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36"/>
      <c r="F112" s="337"/>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36"/>
      <c r="F113" s="337"/>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36"/>
      <c r="F114" s="337"/>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36"/>
      <c r="F115" s="337"/>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36"/>
      <c r="F116" s="337"/>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36"/>
      <c r="F117" s="337"/>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36"/>
      <c r="F118" s="337"/>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36"/>
      <c r="F119" s="337"/>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36"/>
      <c r="F120" s="337"/>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36"/>
      <c r="F121" s="337"/>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36"/>
      <c r="F122" s="337"/>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36"/>
      <c r="F123" s="337"/>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36"/>
      <c r="F124" s="337"/>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36"/>
      <c r="F125" s="337"/>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36"/>
      <c r="F126" s="337"/>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36"/>
      <c r="F127" s="337"/>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36"/>
      <c r="F128" s="337"/>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36"/>
      <c r="F129" s="337"/>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36"/>
      <c r="F130" s="337"/>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36"/>
      <c r="F131" s="337"/>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36"/>
      <c r="F132" s="337"/>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36"/>
      <c r="F133" s="337"/>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36"/>
      <c r="F134" s="337"/>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36"/>
      <c r="F135" s="337"/>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36"/>
      <c r="F136" s="337"/>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36"/>
      <c r="F137" s="337"/>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36"/>
      <c r="F138" s="337"/>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36"/>
      <c r="F139" s="337"/>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36"/>
      <c r="F140" s="337"/>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36"/>
      <c r="F141" s="337"/>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36"/>
      <c r="F142" s="337"/>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36"/>
      <c r="F143" s="337"/>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36"/>
      <c r="F144" s="337"/>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36"/>
      <c r="F145" s="337"/>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36"/>
      <c r="F146" s="337"/>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36"/>
      <c r="F147" s="337"/>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36"/>
      <c r="F148" s="337"/>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36"/>
      <c r="F149" s="337"/>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36"/>
      <c r="F150" s="337"/>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36"/>
      <c r="F151" s="337"/>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36"/>
      <c r="F152" s="337"/>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36"/>
      <c r="F153" s="337"/>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36"/>
      <c r="F154" s="337"/>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36"/>
      <c r="F155" s="337"/>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36"/>
      <c r="F156" s="337"/>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36"/>
      <c r="F157" s="337"/>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36"/>
      <c r="F158" s="337"/>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36"/>
      <c r="F159" s="337"/>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36"/>
      <c r="F160" s="337"/>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36"/>
      <c r="F161" s="337"/>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36"/>
      <c r="F162" s="337"/>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36"/>
      <c r="F163" s="337"/>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36"/>
      <c r="F164" s="337"/>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36"/>
      <c r="F165" s="337"/>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36"/>
      <c r="F166" s="337"/>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36"/>
      <c r="F167" s="337"/>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36"/>
      <c r="F168" s="337"/>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36"/>
      <c r="F169" s="337"/>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36"/>
      <c r="F170" s="337"/>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36"/>
      <c r="F171" s="337"/>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36"/>
      <c r="F172" s="337"/>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36"/>
      <c r="F173" s="337"/>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36"/>
      <c r="F174" s="337"/>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36"/>
      <c r="F175" s="337"/>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36"/>
      <c r="F176" s="337"/>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36"/>
      <c r="F177" s="337"/>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36"/>
      <c r="F178" s="337"/>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36"/>
      <c r="F179" s="337"/>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36"/>
      <c r="F180" s="337"/>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36"/>
      <c r="F181" s="337"/>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36"/>
      <c r="F182" s="337"/>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36"/>
      <c r="F183" s="337"/>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36"/>
      <c r="F184" s="337"/>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36"/>
      <c r="F185" s="337"/>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36"/>
      <c r="F186" s="337"/>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36"/>
      <c r="F187" s="337"/>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36"/>
      <c r="F188" s="337"/>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36"/>
      <c r="F189" s="337"/>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36"/>
      <c r="F190" s="337"/>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36"/>
      <c r="F191" s="337"/>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36"/>
      <c r="F192" s="337"/>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36"/>
      <c r="F193" s="337"/>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36"/>
      <c r="F194" s="337"/>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36"/>
      <c r="F195" s="337"/>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36"/>
      <c r="F196" s="337"/>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36"/>
      <c r="F197" s="337"/>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36"/>
      <c r="F198" s="337"/>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36"/>
      <c r="F199" s="337"/>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36"/>
      <c r="F200" s="337"/>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36"/>
      <c r="F201" s="337"/>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36"/>
      <c r="F202" s="337"/>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36"/>
      <c r="F203" s="337"/>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36"/>
      <c r="F204" s="337"/>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36"/>
      <c r="F205" s="337"/>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36"/>
      <c r="F206" s="337"/>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36"/>
      <c r="F207" s="337"/>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36"/>
      <c r="F208" s="337"/>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36"/>
      <c r="F209" s="337"/>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36"/>
      <c r="F210" s="337"/>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36"/>
      <c r="F211" s="337"/>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36"/>
      <c r="F212" s="337"/>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36"/>
      <c r="F213" s="337"/>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36"/>
      <c r="F214" s="337"/>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36"/>
      <c r="F215" s="337"/>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36"/>
      <c r="F216" s="337"/>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36"/>
      <c r="F217" s="337"/>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36"/>
      <c r="F218" s="337"/>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36"/>
      <c r="F219" s="337"/>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36"/>
      <c r="F220" s="337"/>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36"/>
      <c r="F221" s="337"/>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36"/>
      <c r="F222" s="337"/>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36"/>
      <c r="F223" s="337"/>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36"/>
      <c r="F224" s="337"/>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36"/>
      <c r="F225" s="337"/>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36"/>
      <c r="F226" s="337"/>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36"/>
      <c r="F227" s="337"/>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36"/>
      <c r="F228" s="337"/>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36"/>
      <c r="F229" s="337"/>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36"/>
      <c r="F230" s="337"/>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36"/>
      <c r="F231" s="337"/>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36"/>
      <c r="F232" s="337"/>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36"/>
      <c r="F233" s="337"/>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36"/>
      <c r="F234" s="337"/>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36"/>
      <c r="F235" s="337"/>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36"/>
      <c r="F236" s="337"/>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36"/>
      <c r="F237" s="337"/>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36"/>
      <c r="F238" s="337"/>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36"/>
      <c r="F239" s="337"/>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36"/>
      <c r="F240" s="337"/>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36"/>
      <c r="F241" s="337"/>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36"/>
      <c r="F242" s="337"/>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36"/>
      <c r="F243" s="337"/>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36"/>
      <c r="F244" s="337"/>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36"/>
      <c r="F245" s="337"/>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36"/>
      <c r="F246" s="337"/>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36"/>
      <c r="F247" s="337"/>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36"/>
      <c r="F248" s="337"/>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36"/>
      <c r="F249" s="337"/>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36"/>
      <c r="F250" s="337"/>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36"/>
      <c r="F251" s="337"/>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36"/>
      <c r="F252" s="337"/>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36"/>
      <c r="F253" s="337"/>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36"/>
      <c r="F254" s="337"/>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36"/>
      <c r="F255" s="337"/>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36"/>
      <c r="F256" s="337"/>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36"/>
      <c r="F257" s="337"/>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36"/>
      <c r="F258" s="337"/>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36"/>
      <c r="F259" s="337"/>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36"/>
      <c r="F260" s="337"/>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36"/>
      <c r="F261" s="337"/>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36"/>
      <c r="F262" s="337"/>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36"/>
      <c r="F263" s="337"/>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36"/>
      <c r="F264" s="337"/>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36"/>
      <c r="F265" s="337"/>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36"/>
      <c r="F266" s="337"/>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36"/>
      <c r="F267" s="337"/>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36"/>
      <c r="F268" s="337"/>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36"/>
      <c r="F269" s="337"/>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36"/>
      <c r="F270" s="337"/>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36"/>
      <c r="F271" s="337"/>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36"/>
      <c r="F272" s="337"/>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36"/>
      <c r="F273" s="337"/>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36"/>
      <c r="F274" s="337"/>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36"/>
      <c r="F275" s="337"/>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36"/>
      <c r="F276" s="337"/>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36"/>
      <c r="F277" s="337"/>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36"/>
      <c r="F278" s="337"/>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36"/>
      <c r="F279" s="337"/>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36"/>
      <c r="F280" s="337"/>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36"/>
      <c r="F281" s="337"/>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36"/>
      <c r="F282" s="337"/>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36"/>
      <c r="F283" s="337"/>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36"/>
      <c r="F284" s="337"/>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36"/>
      <c r="F285" s="337"/>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36"/>
      <c r="F286" s="337"/>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36"/>
      <c r="F287" s="337"/>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36"/>
      <c r="F288" s="337"/>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36"/>
      <c r="F289" s="337"/>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36"/>
      <c r="F290" s="337"/>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36"/>
      <c r="F291" s="337"/>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36"/>
      <c r="F292" s="337"/>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36"/>
      <c r="F293" s="337"/>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36"/>
      <c r="F294" s="337"/>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36"/>
      <c r="F295" s="337"/>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36"/>
      <c r="F296" s="337"/>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36"/>
      <c r="F297" s="337"/>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36"/>
      <c r="F298" s="337"/>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36"/>
      <c r="F299" s="337"/>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36"/>
      <c r="F300" s="337"/>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36"/>
      <c r="F301" s="337"/>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36"/>
      <c r="F302" s="337"/>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36"/>
      <c r="F303" s="337"/>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36"/>
      <c r="F304" s="337"/>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36"/>
      <c r="F305" s="337"/>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36"/>
      <c r="F306" s="337"/>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36"/>
      <c r="F307" s="337"/>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36"/>
      <c r="F308" s="337"/>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36"/>
      <c r="F309" s="337"/>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36"/>
      <c r="F310" s="337"/>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36"/>
      <c r="F311" s="337"/>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36"/>
      <c r="F312" s="337"/>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36"/>
      <c r="F313" s="337"/>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36"/>
      <c r="F314" s="337"/>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36"/>
      <c r="F315" s="337"/>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36"/>
      <c r="F316" s="337"/>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36"/>
      <c r="F317" s="337"/>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36"/>
      <c r="F318" s="337"/>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36"/>
      <c r="F319" s="337"/>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36"/>
      <c r="F320" s="337"/>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36"/>
      <c r="F321" s="337"/>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36"/>
      <c r="F322" s="337"/>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36"/>
      <c r="F323" s="337"/>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36"/>
      <c r="F324" s="337"/>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36"/>
      <c r="F325" s="337"/>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36"/>
      <c r="F326" s="337"/>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36"/>
      <c r="F327" s="337"/>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36"/>
      <c r="F328" s="337"/>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36"/>
      <c r="F329" s="337"/>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36"/>
      <c r="F330" s="337"/>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36"/>
      <c r="F331" s="337"/>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36"/>
      <c r="F332" s="337"/>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36"/>
      <c r="F333" s="337"/>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36"/>
      <c r="F334" s="337"/>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36"/>
      <c r="F335" s="337"/>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36"/>
      <c r="F336" s="337"/>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36"/>
      <c r="F337" s="337"/>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36"/>
      <c r="F338" s="337"/>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36"/>
      <c r="F339" s="337"/>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36"/>
      <c r="F340" s="337"/>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36"/>
      <c r="F341" s="337"/>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36"/>
      <c r="F342" s="337"/>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36"/>
      <c r="F343" s="337"/>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36"/>
      <c r="F344" s="337"/>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36"/>
      <c r="F345" s="337"/>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36"/>
      <c r="F346" s="337"/>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36"/>
      <c r="F347" s="337"/>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36"/>
      <c r="F348" s="337"/>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36"/>
      <c r="F349" s="337"/>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36"/>
      <c r="F350" s="337"/>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36"/>
      <c r="F351" s="337"/>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36"/>
      <c r="F352" s="337"/>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36"/>
      <c r="F353" s="337"/>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36"/>
      <c r="F354" s="337"/>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36"/>
      <c r="F355" s="337"/>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36"/>
      <c r="F356" s="337"/>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36"/>
      <c r="F357" s="337"/>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36"/>
      <c r="F358" s="337"/>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36"/>
      <c r="F359" s="337"/>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36"/>
      <c r="F360" s="337"/>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36"/>
      <c r="F361" s="337"/>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36"/>
      <c r="F362" s="337"/>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36"/>
      <c r="F363" s="337"/>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36"/>
      <c r="F364" s="337"/>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36"/>
      <c r="F365" s="337"/>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36"/>
      <c r="F366" s="337"/>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36"/>
      <c r="F367" s="337"/>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36"/>
      <c r="F368" s="337"/>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36"/>
      <c r="F369" s="337"/>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36"/>
      <c r="F370" s="337"/>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36"/>
      <c r="F371" s="337"/>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36"/>
      <c r="F372" s="337"/>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36"/>
      <c r="F373" s="337"/>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36"/>
      <c r="F374" s="337"/>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36"/>
      <c r="F375" s="337"/>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36"/>
      <c r="F376" s="337"/>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36"/>
      <c r="F377" s="337"/>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36"/>
      <c r="F378" s="337"/>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36"/>
      <c r="F379" s="337"/>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36"/>
      <c r="F380" s="337"/>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36"/>
      <c r="F381" s="337"/>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36"/>
      <c r="F382" s="337"/>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36"/>
      <c r="F383" s="337"/>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36"/>
      <c r="F384" s="337"/>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36"/>
      <c r="F385" s="337"/>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36"/>
      <c r="F386" s="337"/>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36"/>
      <c r="F387" s="337"/>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36"/>
      <c r="F388" s="337"/>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36"/>
      <c r="F389" s="337"/>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36"/>
      <c r="F390" s="337"/>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36"/>
      <c r="F391" s="337"/>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36"/>
      <c r="F392" s="337"/>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36"/>
      <c r="F393" s="337"/>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36"/>
      <c r="F394" s="337"/>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36"/>
      <c r="F395" s="337"/>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36"/>
      <c r="F396" s="337"/>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36"/>
      <c r="F397" s="337"/>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36"/>
      <c r="F398" s="337"/>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36"/>
      <c r="F399" s="337"/>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36"/>
      <c r="F400" s="337"/>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36"/>
      <c r="F401" s="337"/>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36"/>
      <c r="F402" s="337"/>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36"/>
      <c r="F403" s="337"/>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36"/>
      <c r="F404" s="337"/>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36"/>
      <c r="F405" s="337"/>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36"/>
      <c r="F406" s="337"/>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36"/>
      <c r="F407" s="337"/>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36"/>
      <c r="F408" s="337"/>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36"/>
      <c r="F409" s="337"/>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36"/>
      <c r="F410" s="337"/>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36"/>
      <c r="F411" s="337"/>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36"/>
      <c r="F412" s="337"/>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36"/>
      <c r="F413" s="337"/>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36"/>
      <c r="F414" s="337"/>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36"/>
      <c r="F415" s="337"/>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36"/>
      <c r="F416" s="337"/>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36"/>
      <c r="F417" s="337"/>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36"/>
      <c r="F418" s="337"/>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36"/>
      <c r="F419" s="337"/>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36"/>
      <c r="F420" s="337"/>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36"/>
      <c r="F421" s="337"/>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36"/>
      <c r="F422" s="337"/>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36"/>
      <c r="F423" s="337"/>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36"/>
      <c r="F424" s="337"/>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36"/>
      <c r="F425" s="337"/>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36"/>
      <c r="F426" s="337"/>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36"/>
      <c r="F427" s="337"/>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36"/>
      <c r="F428" s="337"/>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36"/>
      <c r="F429" s="337"/>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36"/>
      <c r="F430" s="337"/>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36"/>
      <c r="F431" s="337"/>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36"/>
      <c r="F432" s="337"/>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36"/>
      <c r="F433" s="337"/>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36"/>
      <c r="F434" s="337"/>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36"/>
      <c r="F435" s="337"/>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36"/>
      <c r="F436" s="337"/>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36"/>
      <c r="F437" s="337"/>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36"/>
      <c r="F438" s="337"/>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36"/>
      <c r="F439" s="337"/>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36"/>
      <c r="F440" s="337"/>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36"/>
      <c r="F441" s="337"/>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36"/>
      <c r="F442" s="337"/>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36"/>
      <c r="F443" s="337"/>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36"/>
      <c r="F444" s="337"/>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36"/>
      <c r="F445" s="337"/>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36"/>
      <c r="F446" s="337"/>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36"/>
      <c r="F447" s="337"/>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36"/>
      <c r="F448" s="337"/>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36"/>
      <c r="F449" s="337"/>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36"/>
      <c r="F450" s="337"/>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36"/>
      <c r="F451" s="337"/>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36"/>
      <c r="F452" s="337"/>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36"/>
      <c r="F453" s="337"/>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36"/>
      <c r="F454" s="337"/>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36"/>
      <c r="F455" s="337"/>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36"/>
      <c r="F456" s="337"/>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36"/>
      <c r="F457" s="337"/>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36"/>
      <c r="F458" s="337"/>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36"/>
      <c r="F459" s="337"/>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36"/>
      <c r="F460" s="337"/>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36"/>
      <c r="F461" s="337"/>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36"/>
      <c r="F462" s="337"/>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36"/>
      <c r="F463" s="337"/>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36"/>
      <c r="F464" s="337"/>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36"/>
      <c r="F465" s="337"/>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36"/>
      <c r="F466" s="337"/>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36"/>
      <c r="F467" s="337"/>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36"/>
      <c r="F468" s="337"/>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36"/>
      <c r="F469" s="337"/>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36"/>
      <c r="F470" s="337"/>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36"/>
      <c r="F471" s="337"/>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36"/>
      <c r="F472" s="337"/>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36"/>
      <c r="F473" s="337"/>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36"/>
      <c r="F474" s="337"/>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36"/>
      <c r="F475" s="337"/>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36"/>
      <c r="F476" s="337"/>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36"/>
      <c r="F477" s="337"/>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36"/>
      <c r="F478" s="337"/>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36"/>
      <c r="F479" s="337"/>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36"/>
      <c r="F480" s="337"/>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36"/>
      <c r="F481" s="337"/>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36"/>
      <c r="F482" s="337"/>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36"/>
      <c r="F483" s="337"/>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36"/>
      <c r="F484" s="337"/>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36"/>
      <c r="F485" s="337"/>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36"/>
      <c r="F486" s="337"/>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36"/>
      <c r="F487" s="337"/>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36"/>
      <c r="F488" s="337"/>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36"/>
      <c r="F489" s="337"/>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36"/>
      <c r="F490" s="337"/>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36"/>
      <c r="F491" s="337"/>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36"/>
      <c r="F492" s="337"/>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36"/>
      <c r="F493" s="337"/>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36"/>
      <c r="F494" s="337"/>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36"/>
      <c r="F495" s="337"/>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36"/>
      <c r="F496" s="337"/>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36"/>
      <c r="F497" s="337"/>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36"/>
      <c r="F498" s="337"/>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36"/>
      <c r="F499" s="337"/>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36"/>
      <c r="F500" s="337"/>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36"/>
      <c r="F501" s="337"/>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36"/>
      <c r="F502" s="337"/>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36"/>
      <c r="F503" s="337"/>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36"/>
      <c r="F504" s="337"/>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36"/>
      <c r="F505" s="337"/>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36"/>
      <c r="F506" s="337"/>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36"/>
      <c r="F507" s="337"/>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36"/>
      <c r="F508" s="337"/>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36"/>
      <c r="F509" s="337"/>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36"/>
      <c r="F510" s="337"/>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36"/>
      <c r="F511" s="337"/>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36"/>
      <c r="F512" s="337"/>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36"/>
      <c r="F513" s="337"/>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36"/>
      <c r="F514" s="337"/>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36"/>
      <c r="F515" s="337"/>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36"/>
      <c r="F516" s="337"/>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36"/>
      <c r="F517" s="337"/>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36"/>
      <c r="F518" s="337"/>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36"/>
      <c r="F519" s="337"/>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36"/>
      <c r="F520" s="337"/>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36"/>
      <c r="F521" s="337"/>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36"/>
      <c r="F522" s="337"/>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36"/>
      <c r="F523" s="337"/>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36"/>
      <c r="F524" s="337"/>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36"/>
      <c r="F525" s="337"/>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36"/>
      <c r="F526" s="337"/>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36"/>
      <c r="F527" s="337"/>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36"/>
      <c r="F528" s="337"/>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36"/>
      <c r="F529" s="337"/>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36"/>
      <c r="F530" s="337"/>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36"/>
      <c r="F531" s="337"/>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36"/>
      <c r="F532" s="337"/>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36"/>
      <c r="F533" s="337"/>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36"/>
      <c r="F534" s="337"/>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36"/>
      <c r="F535" s="337"/>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36"/>
      <c r="F536" s="337"/>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36"/>
      <c r="F537" s="337"/>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36"/>
      <c r="F538" s="337"/>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36"/>
      <c r="F539" s="337"/>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36"/>
      <c r="F540" s="337"/>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36"/>
      <c r="F541" s="337"/>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36"/>
      <c r="F542" s="337"/>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36"/>
      <c r="F543" s="337"/>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36"/>
      <c r="F544" s="337"/>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36"/>
      <c r="F545" s="337"/>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36"/>
      <c r="F546" s="337"/>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36"/>
      <c r="F547" s="337"/>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36"/>
      <c r="F548" s="337"/>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36"/>
      <c r="F549" s="337"/>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36"/>
      <c r="F550" s="337"/>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36"/>
      <c r="F551" s="337"/>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36"/>
      <c r="F552" s="337"/>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36"/>
      <c r="F553" s="337"/>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36"/>
      <c r="F554" s="337"/>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36"/>
      <c r="F555" s="337"/>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36"/>
      <c r="F556" s="337"/>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36"/>
      <c r="F557" s="337"/>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36"/>
      <c r="F558" s="337"/>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36"/>
      <c r="F559" s="337"/>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36"/>
      <c r="F560" s="337"/>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36"/>
      <c r="F561" s="337"/>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36"/>
      <c r="F562" s="337"/>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36"/>
      <c r="F563" s="337"/>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36"/>
      <c r="F564" s="337"/>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36"/>
      <c r="F565" s="337"/>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36"/>
      <c r="F566" s="337"/>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36"/>
      <c r="F567" s="337"/>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36"/>
      <c r="F568" s="337"/>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36"/>
      <c r="F569" s="337"/>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36"/>
      <c r="F570" s="337"/>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36"/>
      <c r="F571" s="337"/>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36"/>
      <c r="F572" s="337"/>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36"/>
      <c r="F573" s="337"/>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36"/>
      <c r="F574" s="337"/>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36"/>
      <c r="F575" s="337"/>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36"/>
      <c r="F576" s="337"/>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36"/>
      <c r="F577" s="337"/>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36"/>
      <c r="F578" s="337"/>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36"/>
      <c r="F579" s="337"/>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36"/>
      <c r="F580" s="337"/>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36"/>
      <c r="F581" s="337"/>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36"/>
      <c r="F582" s="337"/>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36"/>
      <c r="F583" s="337"/>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36"/>
      <c r="F584" s="337"/>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36"/>
      <c r="F585" s="337"/>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36"/>
      <c r="F586" s="337"/>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36"/>
      <c r="F587" s="337"/>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36"/>
      <c r="F588" s="337"/>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36"/>
      <c r="F589" s="337"/>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36"/>
      <c r="F590" s="337"/>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36"/>
      <c r="F591" s="337"/>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36"/>
      <c r="F592" s="337"/>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36"/>
      <c r="F593" s="337"/>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36"/>
      <c r="F594" s="337"/>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36"/>
      <c r="F595" s="337"/>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36"/>
      <c r="F596" s="337"/>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36"/>
      <c r="F597" s="337"/>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36"/>
      <c r="F598" s="337"/>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36"/>
      <c r="F599" s="337"/>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36"/>
      <c r="F600" s="337"/>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36"/>
      <c r="F601" s="337"/>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36"/>
      <c r="F602" s="337"/>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36"/>
      <c r="F603" s="337"/>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36"/>
      <c r="F604" s="337"/>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36"/>
      <c r="F605" s="337"/>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36"/>
      <c r="F606" s="337"/>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36"/>
      <c r="F607" s="337"/>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36"/>
      <c r="F608" s="337"/>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36"/>
      <c r="F609" s="337"/>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36"/>
      <c r="F610" s="337"/>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36"/>
      <c r="F611" s="337"/>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36"/>
      <c r="F612" s="337"/>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36"/>
      <c r="F613" s="337"/>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36"/>
      <c r="F614" s="337"/>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36"/>
      <c r="F615" s="337"/>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36"/>
      <c r="F616" s="337"/>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36"/>
      <c r="F617" s="337"/>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36"/>
      <c r="F618" s="337"/>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36"/>
      <c r="F619" s="337"/>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36"/>
      <c r="F620" s="337"/>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36"/>
      <c r="F621" s="337"/>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36"/>
      <c r="F622" s="337"/>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36"/>
      <c r="F623" s="337"/>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36"/>
      <c r="F624" s="337"/>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36"/>
      <c r="F625" s="337"/>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36"/>
      <c r="F626" s="337"/>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36"/>
      <c r="F627" s="337"/>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36"/>
      <c r="F628" s="337"/>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36"/>
      <c r="F629" s="337"/>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36"/>
      <c r="F630" s="337"/>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36"/>
      <c r="F631" s="337"/>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36"/>
      <c r="F632" s="337"/>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36"/>
      <c r="F633" s="337"/>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36"/>
      <c r="F634" s="337"/>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36"/>
      <c r="F635" s="337"/>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36"/>
      <c r="F636" s="337"/>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36"/>
      <c r="F637" s="337"/>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36"/>
      <c r="F638" s="337"/>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36"/>
      <c r="F639" s="337"/>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36"/>
      <c r="F640" s="337"/>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36"/>
      <c r="F641" s="337"/>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36"/>
      <c r="F642" s="337"/>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36"/>
      <c r="F643" s="337"/>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36"/>
      <c r="F644" s="337"/>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36"/>
      <c r="F645" s="337"/>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36"/>
      <c r="F646" s="337"/>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36"/>
      <c r="F647" s="337"/>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36"/>
      <c r="F648" s="337"/>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36"/>
      <c r="F649" s="337"/>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36"/>
      <c r="F650" s="337"/>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36"/>
      <c r="F651" s="337"/>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36"/>
      <c r="F652" s="337"/>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36"/>
      <c r="F653" s="337"/>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36"/>
      <c r="F654" s="337"/>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36"/>
      <c r="F655" s="337"/>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36"/>
      <c r="F656" s="337"/>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36"/>
      <c r="F657" s="337"/>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36"/>
      <c r="F658" s="337"/>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36"/>
      <c r="F659" s="337"/>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36"/>
      <c r="F660" s="337"/>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36"/>
      <c r="F661" s="337"/>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36"/>
      <c r="F662" s="337"/>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36"/>
      <c r="F663" s="337"/>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36"/>
      <c r="F664" s="337"/>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36"/>
      <c r="F665" s="337"/>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36"/>
      <c r="F666" s="337"/>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36"/>
      <c r="F667" s="337"/>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36"/>
      <c r="F668" s="337"/>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36"/>
      <c r="F669" s="337"/>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36"/>
      <c r="F670" s="337"/>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36"/>
      <c r="F671" s="337"/>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36"/>
      <c r="F672" s="337"/>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36"/>
      <c r="F673" s="337"/>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36"/>
      <c r="F674" s="337"/>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36"/>
      <c r="F675" s="337"/>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36"/>
      <c r="F676" s="337"/>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36"/>
      <c r="F677" s="337"/>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36"/>
      <c r="F678" s="337"/>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36"/>
      <c r="F679" s="337"/>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36"/>
      <c r="F680" s="337"/>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36"/>
      <c r="F681" s="337"/>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36"/>
      <c r="F682" s="337"/>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36"/>
      <c r="F683" s="337"/>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36"/>
      <c r="F684" s="337"/>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36"/>
      <c r="F685" s="337"/>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36"/>
      <c r="F686" s="337"/>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36"/>
      <c r="F687" s="337"/>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36"/>
      <c r="F688" s="337"/>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36"/>
      <c r="F689" s="337"/>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36"/>
      <c r="F690" s="337"/>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36"/>
      <c r="F691" s="337"/>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36"/>
      <c r="F692" s="337"/>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36"/>
      <c r="F693" s="337"/>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36"/>
      <c r="F694" s="337"/>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36"/>
      <c r="F695" s="337"/>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36"/>
      <c r="F696" s="337"/>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36"/>
      <c r="F697" s="337"/>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36"/>
      <c r="F698" s="337"/>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36"/>
      <c r="F699" s="337"/>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36"/>
      <c r="F700" s="337"/>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36"/>
      <c r="F701" s="337"/>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36"/>
      <c r="F702" s="337"/>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36"/>
      <c r="F703" s="337"/>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36"/>
      <c r="F704" s="337"/>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36"/>
      <c r="F705" s="337"/>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36"/>
      <c r="F706" s="337"/>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36"/>
      <c r="F707" s="337"/>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36"/>
      <c r="F708" s="337"/>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36"/>
      <c r="F709" s="337"/>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36"/>
      <c r="F710" s="337"/>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36"/>
      <c r="F711" s="337"/>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36"/>
      <c r="F712" s="337"/>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36"/>
      <c r="F713" s="337"/>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36"/>
      <c r="F714" s="337"/>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36"/>
      <c r="F715" s="337"/>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36"/>
      <c r="F716" s="337"/>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36"/>
      <c r="F717" s="337"/>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36"/>
      <c r="F718" s="337"/>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36"/>
      <c r="F719" s="337"/>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36"/>
      <c r="F720" s="337"/>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36"/>
      <c r="F721" s="337"/>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36"/>
      <c r="F722" s="337"/>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36"/>
      <c r="F723" s="337"/>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36"/>
      <c r="F724" s="337"/>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36"/>
      <c r="F725" s="337"/>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36"/>
      <c r="F726" s="337"/>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36"/>
      <c r="F727" s="337"/>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36"/>
      <c r="F728" s="337"/>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36"/>
      <c r="F729" s="337"/>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36"/>
      <c r="F730" s="337"/>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36"/>
      <c r="F731" s="337"/>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36"/>
      <c r="F732" s="337"/>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36"/>
      <c r="F733" s="337"/>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36"/>
      <c r="F734" s="337"/>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36"/>
      <c r="F735" s="337"/>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36"/>
      <c r="F736" s="337"/>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36"/>
      <c r="F737" s="337"/>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36"/>
      <c r="F738" s="337"/>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36"/>
      <c r="F739" s="337"/>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36"/>
      <c r="F740" s="337"/>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36"/>
      <c r="F741" s="337"/>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36"/>
      <c r="F742" s="337"/>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36"/>
      <c r="F743" s="337"/>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36"/>
      <c r="F744" s="337"/>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36"/>
      <c r="F745" s="337"/>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36"/>
      <c r="F746" s="337"/>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36"/>
      <c r="F747" s="337"/>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36"/>
      <c r="F748" s="337"/>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36"/>
      <c r="F749" s="337"/>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36"/>
      <c r="F750" s="337"/>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36"/>
      <c r="F751" s="337"/>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36"/>
      <c r="F752" s="337"/>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36"/>
      <c r="F753" s="337"/>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36"/>
      <c r="F754" s="337"/>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36"/>
      <c r="F755" s="337"/>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36"/>
      <c r="F756" s="337"/>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36"/>
      <c r="F757" s="337"/>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36"/>
      <c r="F758" s="337"/>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36"/>
      <c r="F759" s="337"/>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36"/>
      <c r="F760" s="337"/>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36"/>
      <c r="F761" s="337"/>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36"/>
      <c r="F762" s="337"/>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36"/>
      <c r="F763" s="337"/>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36"/>
      <c r="F764" s="337"/>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36"/>
      <c r="F765" s="337"/>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36"/>
      <c r="F766" s="337"/>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36"/>
      <c r="F767" s="337"/>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36"/>
      <c r="F768" s="337"/>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36"/>
      <c r="F769" s="337"/>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36"/>
      <c r="F770" s="337"/>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36"/>
      <c r="F771" s="337"/>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36"/>
      <c r="F772" s="337"/>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36"/>
      <c r="F773" s="337"/>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36"/>
      <c r="F774" s="337"/>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36"/>
      <c r="F775" s="337"/>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36"/>
      <c r="F776" s="337"/>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36"/>
      <c r="F777" s="337"/>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36"/>
      <c r="F778" s="337"/>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36"/>
      <c r="F779" s="337"/>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36"/>
      <c r="F780" s="337"/>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36"/>
      <c r="F781" s="337"/>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36"/>
      <c r="F782" s="337"/>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36"/>
      <c r="F783" s="337"/>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36"/>
      <c r="F784" s="337"/>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36"/>
      <c r="F785" s="337"/>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36"/>
      <c r="F786" s="337"/>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36"/>
      <c r="F787" s="337"/>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36"/>
      <c r="F788" s="337"/>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36"/>
      <c r="F789" s="337"/>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36"/>
      <c r="F790" s="337"/>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36"/>
      <c r="F791" s="337"/>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36"/>
      <c r="F792" s="337"/>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36"/>
      <c r="F793" s="337"/>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36"/>
      <c r="F794" s="337"/>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36"/>
      <c r="F795" s="337"/>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36"/>
      <c r="F796" s="337"/>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36"/>
      <c r="F797" s="337"/>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36"/>
      <c r="F798" s="337"/>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36"/>
      <c r="F799" s="337"/>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36"/>
      <c r="F800" s="337"/>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36"/>
      <c r="F801" s="337"/>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36"/>
      <c r="F802" s="337"/>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36"/>
      <c r="F803" s="337"/>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36"/>
      <c r="F804" s="337"/>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36"/>
      <c r="F805" s="337"/>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36"/>
      <c r="F806" s="337"/>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36"/>
      <c r="F807" s="337"/>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36"/>
      <c r="F808" s="337"/>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36"/>
      <c r="F809" s="337"/>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36"/>
      <c r="F810" s="337"/>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36"/>
      <c r="F811" s="337"/>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36"/>
      <c r="F812" s="337"/>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36"/>
      <c r="F813" s="337"/>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36"/>
      <c r="F814" s="337"/>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36"/>
      <c r="F815" s="337"/>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36"/>
      <c r="F816" s="337"/>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36"/>
      <c r="F817" s="337"/>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36"/>
      <c r="F818" s="337"/>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36"/>
      <c r="F819" s="337"/>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36"/>
      <c r="F820" s="337"/>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36"/>
      <c r="F821" s="337"/>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36"/>
      <c r="F822" s="337"/>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36"/>
      <c r="F823" s="337"/>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36"/>
      <c r="F824" s="337"/>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36"/>
      <c r="F825" s="337"/>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36"/>
      <c r="F826" s="337"/>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36"/>
      <c r="F827" s="337"/>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36"/>
      <c r="F828" s="337"/>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36"/>
      <c r="F829" s="337"/>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36"/>
      <c r="F830" s="337"/>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36"/>
      <c r="F831" s="337"/>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36"/>
      <c r="F832" s="337"/>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36"/>
      <c r="F833" s="337"/>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36"/>
      <c r="F834" s="337"/>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36"/>
      <c r="F835" s="337"/>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36"/>
      <c r="F836" s="337"/>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36"/>
      <c r="F837" s="337"/>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36"/>
      <c r="F838" s="337"/>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36"/>
      <c r="F839" s="337"/>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36"/>
      <c r="F840" s="337"/>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36"/>
      <c r="F841" s="337"/>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36"/>
      <c r="F842" s="337"/>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36"/>
      <c r="F843" s="337"/>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36"/>
      <c r="F844" s="337"/>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36"/>
      <c r="F845" s="337"/>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36"/>
      <c r="F846" s="337"/>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36"/>
      <c r="F847" s="337"/>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36"/>
      <c r="F848" s="337"/>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36"/>
      <c r="F849" s="337"/>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36"/>
      <c r="F850" s="337"/>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36"/>
      <c r="F851" s="337"/>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36"/>
      <c r="F852" s="337"/>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36"/>
      <c r="F853" s="337"/>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36"/>
      <c r="F854" s="337"/>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36"/>
      <c r="F855" s="337"/>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36"/>
      <c r="F856" s="337"/>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36"/>
      <c r="F857" s="337"/>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36"/>
      <c r="F858" s="337"/>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36"/>
      <c r="F859" s="337"/>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36"/>
      <c r="F860" s="337"/>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36"/>
      <c r="F861" s="337"/>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36"/>
      <c r="F862" s="337"/>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36"/>
      <c r="F863" s="337"/>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36"/>
      <c r="F864" s="337"/>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36"/>
      <c r="F865" s="337"/>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36"/>
      <c r="F866" s="337"/>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36"/>
      <c r="F867" s="337"/>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36"/>
      <c r="F868" s="337"/>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36"/>
      <c r="F869" s="337"/>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36"/>
      <c r="F870" s="337"/>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36"/>
      <c r="F871" s="337"/>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36"/>
      <c r="F872" s="337"/>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36"/>
      <c r="F873" s="337"/>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36"/>
      <c r="F874" s="337"/>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36"/>
      <c r="F875" s="337"/>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36"/>
      <c r="F876" s="337"/>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36"/>
      <c r="F877" s="337"/>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36"/>
      <c r="F878" s="337"/>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36"/>
      <c r="F879" s="337"/>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36"/>
      <c r="F880" s="337"/>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36"/>
      <c r="F881" s="337"/>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36"/>
      <c r="F882" s="337"/>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36"/>
      <c r="F883" s="337"/>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36"/>
      <c r="F884" s="337"/>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36"/>
      <c r="F885" s="337"/>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36"/>
      <c r="F886" s="337"/>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36"/>
      <c r="F887" s="337"/>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36"/>
      <c r="F888" s="337"/>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36"/>
      <c r="F889" s="337"/>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36"/>
      <c r="F890" s="337"/>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36"/>
      <c r="F891" s="337"/>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36"/>
      <c r="F892" s="337"/>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36"/>
      <c r="F893" s="337"/>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36"/>
      <c r="F894" s="337"/>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36"/>
      <c r="F895" s="337"/>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36"/>
      <c r="F896" s="337"/>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36"/>
      <c r="F897" s="337"/>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36"/>
      <c r="F898" s="337"/>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36"/>
      <c r="F899" s="337"/>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36"/>
      <c r="F900" s="337"/>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36"/>
      <c r="F901" s="337"/>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36"/>
      <c r="F902" s="337"/>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36"/>
      <c r="F903" s="337"/>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36"/>
      <c r="F904" s="337"/>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36"/>
      <c r="F905" s="337"/>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36"/>
      <c r="F906" s="337"/>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36"/>
      <c r="F907" s="337"/>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36"/>
      <c r="F908" s="337"/>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36"/>
      <c r="F909" s="337"/>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36"/>
      <c r="F910" s="337"/>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36"/>
      <c r="F911" s="337"/>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36"/>
      <c r="F912" s="337"/>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36"/>
      <c r="F913" s="337"/>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36"/>
      <c r="F914" s="337"/>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36"/>
      <c r="F915" s="337"/>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36"/>
      <c r="F916" s="337"/>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36"/>
      <c r="F917" s="337"/>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36"/>
      <c r="F918" s="337"/>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36"/>
      <c r="F919" s="337"/>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36"/>
      <c r="F920" s="337"/>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36"/>
      <c r="F921" s="337"/>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36"/>
      <c r="F922" s="337"/>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36"/>
      <c r="F923" s="337"/>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36"/>
      <c r="F924" s="337"/>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36"/>
      <c r="F925" s="337"/>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36"/>
      <c r="F926" s="337"/>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36"/>
      <c r="F927" s="337"/>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36"/>
      <c r="F928" s="337"/>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36"/>
      <c r="F929" s="337"/>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36"/>
      <c r="F930" s="337"/>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36"/>
      <c r="F931" s="337"/>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36"/>
      <c r="F932" s="337"/>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36"/>
      <c r="F933" s="337"/>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36"/>
      <c r="F934" s="337"/>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36"/>
      <c r="F935" s="337"/>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36"/>
      <c r="F936" s="337"/>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36"/>
      <c r="F937" s="337"/>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36"/>
      <c r="F938" s="337"/>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36"/>
      <c r="F939" s="337"/>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36"/>
      <c r="F940" s="337"/>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36"/>
      <c r="F941" s="337"/>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36"/>
      <c r="F942" s="337"/>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36"/>
      <c r="F943" s="337"/>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36"/>
      <c r="F944" s="337"/>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36"/>
      <c r="F945" s="337"/>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36"/>
      <c r="F946" s="337"/>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36"/>
      <c r="F947" s="337"/>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36"/>
      <c r="F948" s="337"/>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36"/>
      <c r="F949" s="337"/>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36"/>
      <c r="F950" s="337"/>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36"/>
      <c r="F951" s="337"/>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36"/>
      <c r="F952" s="337"/>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36"/>
      <c r="F953" s="337"/>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36"/>
      <c r="F954" s="337"/>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36"/>
      <c r="F955" s="337"/>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36"/>
      <c r="F956" s="337"/>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36"/>
      <c r="F957" s="337"/>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36"/>
      <c r="F958" s="337"/>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36"/>
      <c r="F959" s="337"/>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36"/>
      <c r="F960" s="337"/>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36"/>
      <c r="F961" s="337"/>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36"/>
      <c r="F962" s="337"/>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36"/>
      <c r="F963" s="337"/>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36"/>
      <c r="F964" s="337"/>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36"/>
      <c r="F965" s="337"/>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36"/>
      <c r="F966" s="337"/>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36"/>
      <c r="F967" s="337"/>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36"/>
      <c r="F968" s="337"/>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36"/>
      <c r="F969" s="337"/>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36"/>
      <c r="F970" s="337"/>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36"/>
      <c r="F971" s="337"/>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36"/>
      <c r="F972" s="337"/>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36"/>
      <c r="F973" s="337"/>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36"/>
      <c r="F974" s="337"/>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36"/>
      <c r="F975" s="337"/>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36"/>
      <c r="F976" s="337"/>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36"/>
      <c r="F977" s="337"/>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36"/>
      <c r="F978" s="337"/>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36"/>
      <c r="F979" s="337"/>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36"/>
      <c r="F980" s="337"/>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36"/>
      <c r="F981" s="337"/>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36"/>
      <c r="F982" s="337"/>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36"/>
      <c r="F983" s="337"/>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36"/>
      <c r="F984" s="337"/>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36"/>
      <c r="F985" s="337"/>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36"/>
      <c r="F986" s="337"/>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36"/>
      <c r="F987" s="337"/>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36"/>
      <c r="F988" s="337"/>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36"/>
      <c r="F989" s="337"/>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36"/>
      <c r="F990" s="337"/>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36"/>
      <c r="F991" s="337"/>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36"/>
      <c r="F992" s="337"/>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36"/>
      <c r="F993" s="337"/>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36"/>
      <c r="F994" s="337"/>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36"/>
      <c r="F995" s="337"/>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36"/>
      <c r="F996" s="337"/>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36"/>
      <c r="F997" s="337"/>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36"/>
      <c r="F998" s="337"/>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36"/>
      <c r="F999" s="337"/>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36"/>
      <c r="F1000" s="337"/>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algorithmName="SHA-512" hashValue="LAhyUABryHJwaL6cRNyMZPsQb7WDHggfgH1lhJsIFh0dKDQrPPMvxhgDC5l/r2F216oUl+MsQK7QU1DHo6kStA==" saltValue="j3Ew7oB54YL0y4CH9z9ZKw==" spinCount="100000" sheet="1" objects="1" scenarios="1"/>
  <mergeCells count="13">
    <mergeCell ref="A100:F100"/>
    <mergeCell ref="A101:F101"/>
    <mergeCell ref="D2:F2"/>
    <mergeCell ref="B11:D11"/>
    <mergeCell ref="H42:O42"/>
    <mergeCell ref="A9:D10"/>
    <mergeCell ref="E9:E10"/>
    <mergeCell ref="F9:F10"/>
    <mergeCell ref="D1:F1"/>
    <mergeCell ref="A4:F4"/>
    <mergeCell ref="A5:F5"/>
    <mergeCell ref="A6:F6"/>
    <mergeCell ref="A8:D8"/>
  </mergeCells>
  <dataValidations count="1">
    <dataValidation type="decimal" allowBlank="1" showInputMessage="1" showErrorMessage="1" sqref="E11:E97">
      <formula1>0</formula1>
      <formula2>1000000000000000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zoomScale="70" zoomScaleNormal="70" workbookViewId="0">
      <selection activeCell="C29" sqref="C29 C8"/>
    </sheetView>
  </sheetViews>
  <sheetFormatPr defaultRowHeight="15"/>
  <cols>
    <col min="1" max="1" width="48.28515625" style="80" customWidth="1"/>
    <col min="2" max="2" width="15" style="80" customWidth="1"/>
    <col min="3" max="3" width="12.140625" style="80" customWidth="1"/>
    <col min="4" max="4" width="15.7109375" style="80" customWidth="1"/>
    <col min="5" max="6" width="12.140625" style="80" customWidth="1"/>
    <col min="7" max="7" width="16" style="80" customWidth="1"/>
    <col min="8" max="9" width="12.140625" style="80" customWidth="1"/>
    <col min="10" max="10" width="16.85546875" style="80" customWidth="1"/>
    <col min="11" max="14" width="12.140625" style="80" customWidth="1"/>
    <col min="15" max="15" width="9.42578125" style="80" bestFit="1" customWidth="1"/>
    <col min="16" max="16384" width="9.140625" style="80"/>
  </cols>
  <sheetData>
    <row r="1" spans="1:16" ht="30" customHeight="1">
      <c r="I1" s="1075" t="s">
        <v>820</v>
      </c>
      <c r="J1" s="1029"/>
      <c r="K1" s="1029"/>
      <c r="L1" s="1029"/>
      <c r="M1" s="1029"/>
      <c r="N1" s="1029"/>
    </row>
    <row r="2" spans="1:16">
      <c r="A2" s="1001" t="s">
        <v>415</v>
      </c>
      <c r="B2" s="1052"/>
      <c r="C2" s="1052"/>
      <c r="D2" s="1052"/>
      <c r="E2" s="1052"/>
      <c r="F2" s="1052"/>
      <c r="G2" s="1052"/>
      <c r="H2" s="1052"/>
      <c r="I2" s="1052"/>
      <c r="J2" s="1052"/>
      <c r="K2" s="1052"/>
      <c r="L2" s="1052"/>
      <c r="M2" s="1052"/>
      <c r="N2" s="1052"/>
    </row>
    <row r="3" spans="1:16">
      <c r="A3" s="1078" t="str">
        <f>+STATISTICS!A4</f>
        <v>ХАДГАЛАМЖ, ЗЭЭЛИЙН ХОРШООНЫ НЭР</v>
      </c>
      <c r="B3" s="1078"/>
      <c r="C3" s="1078"/>
      <c r="D3" s="1078"/>
      <c r="E3" s="1078"/>
      <c r="F3" s="1078"/>
      <c r="G3" s="1078"/>
      <c r="H3" s="1078"/>
      <c r="I3" s="1078"/>
      <c r="J3" s="1078"/>
      <c r="K3" s="1078"/>
      <c r="L3" s="1078"/>
      <c r="M3" s="1078"/>
      <c r="N3" s="1078"/>
    </row>
    <row r="4" spans="1:16">
      <c r="A4" s="1001" t="s">
        <v>4</v>
      </c>
      <c r="B4" s="1052"/>
      <c r="C4" s="1052"/>
      <c r="D4" s="1052"/>
      <c r="E4" s="1052"/>
      <c r="F4" s="1052"/>
      <c r="G4" s="1052"/>
      <c r="H4" s="1052"/>
      <c r="I4" s="1052"/>
      <c r="J4" s="1052"/>
      <c r="K4" s="1052"/>
      <c r="L4" s="1052"/>
      <c r="M4" s="1052"/>
      <c r="N4" s="1052"/>
    </row>
    <row r="5" spans="1:16" ht="15.75" thickBot="1">
      <c r="A5" s="677" t="str">
        <f>+STATISTICS!A7</f>
        <v>Огноо</v>
      </c>
      <c r="B5" s="539"/>
      <c r="C5" s="539"/>
      <c r="D5" s="539"/>
      <c r="E5" s="539"/>
      <c r="F5" s="539"/>
      <c r="G5" s="539"/>
      <c r="H5" s="539"/>
      <c r="I5" s="539"/>
      <c r="J5" s="539"/>
      <c r="K5" s="539"/>
      <c r="L5" s="539"/>
      <c r="M5" s="539"/>
      <c r="N5" s="390" t="s">
        <v>5</v>
      </c>
      <c r="O5" s="678"/>
      <c r="P5" s="678"/>
    </row>
    <row r="6" spans="1:16" ht="30" customHeight="1">
      <c r="A6" s="1079" t="s">
        <v>416</v>
      </c>
      <c r="B6" s="1081" t="s">
        <v>417</v>
      </c>
      <c r="C6" s="1082"/>
      <c r="D6" s="1081" t="s">
        <v>808</v>
      </c>
      <c r="E6" s="1082"/>
      <c r="F6" s="1083" t="s">
        <v>418</v>
      </c>
      <c r="G6" s="1081" t="s">
        <v>807</v>
      </c>
      <c r="H6" s="1085"/>
      <c r="I6" s="1086"/>
      <c r="J6" s="1081" t="s">
        <v>420</v>
      </c>
      <c r="K6" s="1082"/>
      <c r="L6" s="1087" t="s">
        <v>418</v>
      </c>
      <c r="M6" s="1076" t="s">
        <v>421</v>
      </c>
      <c r="N6" s="1077"/>
      <c r="O6" s="678"/>
      <c r="P6" s="678"/>
    </row>
    <row r="7" spans="1:16" ht="41.25" customHeight="1" thickBot="1">
      <c r="A7" s="1080"/>
      <c r="B7" s="391" t="s">
        <v>422</v>
      </c>
      <c r="C7" s="392" t="s">
        <v>423</v>
      </c>
      <c r="D7" s="391" t="s">
        <v>422</v>
      </c>
      <c r="E7" s="392" t="s">
        <v>423</v>
      </c>
      <c r="F7" s="1084"/>
      <c r="G7" s="391" t="s">
        <v>422</v>
      </c>
      <c r="H7" s="393" t="s">
        <v>792</v>
      </c>
      <c r="I7" s="394" t="s">
        <v>793</v>
      </c>
      <c r="J7" s="391" t="s">
        <v>422</v>
      </c>
      <c r="K7" s="392" t="s">
        <v>423</v>
      </c>
      <c r="L7" s="1088"/>
      <c r="M7" s="395" t="s">
        <v>424</v>
      </c>
      <c r="N7" s="396" t="s">
        <v>425</v>
      </c>
      <c r="O7" s="678"/>
      <c r="P7" s="678"/>
    </row>
    <row r="8" spans="1:16">
      <c r="A8" s="397" t="s">
        <v>426</v>
      </c>
      <c r="B8" s="398">
        <f t="shared" ref="B8:E8" si="0">+SUM(B9:B27)</f>
        <v>0</v>
      </c>
      <c r="C8" s="845">
        <f t="shared" si="0"/>
        <v>0</v>
      </c>
      <c r="D8" s="400">
        <f t="shared" si="0"/>
        <v>0</v>
      </c>
      <c r="E8" s="845">
        <f t="shared" si="0"/>
        <v>0</v>
      </c>
      <c r="F8" s="401" t="e">
        <f>+(D9*F9+D10*F10+D11*F11+D12*F12+D13*F13+D14*F14+D15*F15+D16*F16+D17*F17+D18*F18+D19*F19+D20*F20+F21*D21+D22*F22+D23*F23+D24*F24+D25*F25+D26*F26+D27*F27)/D8</f>
        <v>#DIV/0!</v>
      </c>
      <c r="G8" s="402">
        <f t="shared" ref="G8:J8" si="1">+SUM(G9:G27)</f>
        <v>0</v>
      </c>
      <c r="H8" s="854">
        <f t="shared" si="1"/>
        <v>0</v>
      </c>
      <c r="I8" s="855">
        <f t="shared" si="1"/>
        <v>0</v>
      </c>
      <c r="J8" s="402">
        <f t="shared" si="1"/>
        <v>0</v>
      </c>
      <c r="K8" s="399">
        <f>+SUM(K9:K27)</f>
        <v>0</v>
      </c>
      <c r="L8" s="837" t="e">
        <f>+(J9*L9+J10*L10+J11*L11+J12*L12+J13*L13+J14*L14+J15*L15+J16*L16+J17*L17+J18*L18+J19*L19+J20*L20+J21*L21+J22*L22+J23*L23+J24*L24+J25*L25+J26*L26+J27*L27)/J8</f>
        <v>#DIV/0!</v>
      </c>
      <c r="M8" s="403">
        <f>+MAX(M9:M27)</f>
        <v>0</v>
      </c>
      <c r="N8" s="403">
        <f>+MIN(N9:N27)</f>
        <v>0</v>
      </c>
      <c r="O8" s="678"/>
      <c r="P8" s="678"/>
    </row>
    <row r="9" spans="1:16">
      <c r="A9" s="404" t="s">
        <v>427</v>
      </c>
      <c r="B9" s="697"/>
      <c r="C9" s="846"/>
      <c r="D9" s="698"/>
      <c r="E9" s="846"/>
      <c r="F9" s="905"/>
      <c r="G9" s="699"/>
      <c r="H9" s="856"/>
      <c r="I9" s="857"/>
      <c r="J9" s="974">
        <f t="shared" ref="J9:J16" si="2">+B9+D9-G9</f>
        <v>0</v>
      </c>
      <c r="K9" s="975">
        <f t="shared" ref="K9:K16" si="3">+C9+E9-I9</f>
        <v>0</v>
      </c>
      <c r="L9" s="908"/>
      <c r="M9" s="909"/>
      <c r="N9" s="910"/>
      <c r="O9" s="678"/>
      <c r="P9" s="678"/>
    </row>
    <row r="10" spans="1:16">
      <c r="A10" s="404" t="s">
        <v>428</v>
      </c>
      <c r="B10" s="700"/>
      <c r="C10" s="846"/>
      <c r="D10" s="699"/>
      <c r="E10" s="846"/>
      <c r="F10" s="906"/>
      <c r="G10" s="699"/>
      <c r="H10" s="856"/>
      <c r="I10" s="857"/>
      <c r="J10" s="974">
        <f t="shared" si="2"/>
        <v>0</v>
      </c>
      <c r="K10" s="975">
        <f t="shared" si="3"/>
        <v>0</v>
      </c>
      <c r="L10" s="908"/>
      <c r="M10" s="909"/>
      <c r="N10" s="910"/>
      <c r="O10" s="678"/>
      <c r="P10" s="678"/>
    </row>
    <row r="11" spans="1:16">
      <c r="A11" s="405" t="s">
        <v>429</v>
      </c>
      <c r="B11" s="700"/>
      <c r="C11" s="846"/>
      <c r="D11" s="699"/>
      <c r="E11" s="846"/>
      <c r="F11" s="906"/>
      <c r="G11" s="699"/>
      <c r="H11" s="856"/>
      <c r="I11" s="857"/>
      <c r="J11" s="974">
        <f t="shared" si="2"/>
        <v>0</v>
      </c>
      <c r="K11" s="975">
        <f t="shared" si="3"/>
        <v>0</v>
      </c>
      <c r="L11" s="908"/>
      <c r="M11" s="909"/>
      <c r="N11" s="910"/>
      <c r="O11" s="678"/>
      <c r="P11" s="678"/>
    </row>
    <row r="12" spans="1:16">
      <c r="A12" s="405" t="s">
        <v>430</v>
      </c>
      <c r="B12" s="700"/>
      <c r="C12" s="846"/>
      <c r="D12" s="699"/>
      <c r="E12" s="846"/>
      <c r="F12" s="905"/>
      <c r="G12" s="699"/>
      <c r="H12" s="856"/>
      <c r="I12" s="857"/>
      <c r="J12" s="974">
        <f t="shared" si="2"/>
        <v>0</v>
      </c>
      <c r="K12" s="975">
        <f t="shared" si="3"/>
        <v>0</v>
      </c>
      <c r="L12" s="908"/>
      <c r="M12" s="909"/>
      <c r="N12" s="910"/>
      <c r="O12" s="678"/>
      <c r="P12" s="678"/>
    </row>
    <row r="13" spans="1:16" ht="25.5">
      <c r="A13" s="405" t="s">
        <v>431</v>
      </c>
      <c r="B13" s="700"/>
      <c r="C13" s="846"/>
      <c r="D13" s="699"/>
      <c r="E13" s="846"/>
      <c r="F13" s="905"/>
      <c r="G13" s="699"/>
      <c r="H13" s="856"/>
      <c r="I13" s="857"/>
      <c r="J13" s="974">
        <f t="shared" si="2"/>
        <v>0</v>
      </c>
      <c r="K13" s="975">
        <f t="shared" si="3"/>
        <v>0</v>
      </c>
      <c r="L13" s="908"/>
      <c r="M13" s="909"/>
      <c r="N13" s="910"/>
      <c r="O13" s="678"/>
      <c r="P13" s="678"/>
    </row>
    <row r="14" spans="1:16">
      <c r="A14" s="405" t="s">
        <v>432</v>
      </c>
      <c r="B14" s="700"/>
      <c r="C14" s="846"/>
      <c r="D14" s="699"/>
      <c r="E14" s="846"/>
      <c r="F14" s="905"/>
      <c r="G14" s="699"/>
      <c r="H14" s="856"/>
      <c r="I14" s="857"/>
      <c r="J14" s="974">
        <f t="shared" si="2"/>
        <v>0</v>
      </c>
      <c r="K14" s="975">
        <f t="shared" si="3"/>
        <v>0</v>
      </c>
      <c r="L14" s="908"/>
      <c r="M14" s="909"/>
      <c r="N14" s="910"/>
      <c r="O14" s="678"/>
      <c r="P14" s="678"/>
    </row>
    <row r="15" spans="1:16">
      <c r="A15" s="405" t="s">
        <v>433</v>
      </c>
      <c r="B15" s="700"/>
      <c r="C15" s="846"/>
      <c r="D15" s="699"/>
      <c r="E15" s="846"/>
      <c r="F15" s="905"/>
      <c r="G15" s="699"/>
      <c r="H15" s="856"/>
      <c r="I15" s="857"/>
      <c r="J15" s="974">
        <f t="shared" si="2"/>
        <v>0</v>
      </c>
      <c r="K15" s="975">
        <f t="shared" si="3"/>
        <v>0</v>
      </c>
      <c r="L15" s="908"/>
      <c r="M15" s="909"/>
      <c r="N15" s="910"/>
      <c r="O15" s="678"/>
      <c r="P15" s="678"/>
    </row>
    <row r="16" spans="1:16">
      <c r="A16" s="405" t="s">
        <v>434</v>
      </c>
      <c r="B16" s="700"/>
      <c r="C16" s="846"/>
      <c r="D16" s="700"/>
      <c r="E16" s="846"/>
      <c r="F16" s="905"/>
      <c r="G16" s="700"/>
      <c r="H16" s="856"/>
      <c r="I16" s="857"/>
      <c r="J16" s="974">
        <f t="shared" si="2"/>
        <v>0</v>
      </c>
      <c r="K16" s="975">
        <f t="shared" si="3"/>
        <v>0</v>
      </c>
      <c r="L16" s="908"/>
      <c r="M16" s="909"/>
      <c r="N16" s="910"/>
      <c r="O16" s="678"/>
      <c r="P16" s="678"/>
    </row>
    <row r="17" spans="1:17">
      <c r="A17" s="405" t="s">
        <v>435</v>
      </c>
      <c r="B17" s="700"/>
      <c r="C17" s="847"/>
      <c r="D17" s="700"/>
      <c r="E17" s="847"/>
      <c r="F17" s="905"/>
      <c r="G17" s="700"/>
      <c r="H17" s="856"/>
      <c r="I17" s="857"/>
      <c r="J17" s="974">
        <f>+B17+D17-G17</f>
        <v>0</v>
      </c>
      <c r="K17" s="975">
        <f>+C17+E17-I17</f>
        <v>0</v>
      </c>
      <c r="L17" s="908"/>
      <c r="M17" s="909"/>
      <c r="N17" s="910"/>
      <c r="O17" s="678"/>
      <c r="P17" s="678"/>
    </row>
    <row r="18" spans="1:17" ht="25.5">
      <c r="A18" s="405" t="s">
        <v>436</v>
      </c>
      <c r="B18" s="700"/>
      <c r="C18" s="847"/>
      <c r="D18" s="700"/>
      <c r="E18" s="847"/>
      <c r="F18" s="905"/>
      <c r="G18" s="700"/>
      <c r="H18" s="856"/>
      <c r="I18" s="857"/>
      <c r="J18" s="974">
        <f t="shared" ref="J18:J27" si="4">+B18+D18-G18</f>
        <v>0</v>
      </c>
      <c r="K18" s="975">
        <f t="shared" ref="K18:K28" si="5">+C18+E18-I18</f>
        <v>0</v>
      </c>
      <c r="L18" s="908"/>
      <c r="M18" s="909"/>
      <c r="N18" s="910"/>
      <c r="O18" s="678"/>
      <c r="P18" s="678"/>
    </row>
    <row r="19" spans="1:17">
      <c r="A19" s="405" t="s">
        <v>437</v>
      </c>
      <c r="B19" s="700"/>
      <c r="C19" s="847"/>
      <c r="D19" s="700"/>
      <c r="E19" s="847"/>
      <c r="F19" s="905"/>
      <c r="G19" s="700"/>
      <c r="H19" s="856"/>
      <c r="I19" s="857"/>
      <c r="J19" s="974">
        <f t="shared" si="4"/>
        <v>0</v>
      </c>
      <c r="K19" s="975">
        <f t="shared" si="5"/>
        <v>0</v>
      </c>
      <c r="L19" s="908"/>
      <c r="M19" s="909"/>
      <c r="N19" s="910"/>
      <c r="O19" s="678"/>
      <c r="P19" s="678"/>
    </row>
    <row r="20" spans="1:17">
      <c r="A20" s="405" t="s">
        <v>438</v>
      </c>
      <c r="B20" s="700"/>
      <c r="C20" s="847"/>
      <c r="D20" s="700"/>
      <c r="E20" s="847"/>
      <c r="F20" s="905"/>
      <c r="G20" s="700"/>
      <c r="H20" s="856"/>
      <c r="I20" s="857"/>
      <c r="J20" s="974">
        <f t="shared" si="4"/>
        <v>0</v>
      </c>
      <c r="K20" s="975">
        <f t="shared" si="5"/>
        <v>0</v>
      </c>
      <c r="L20" s="908"/>
      <c r="M20" s="909"/>
      <c r="N20" s="910"/>
      <c r="O20" s="678"/>
      <c r="P20" s="678"/>
    </row>
    <row r="21" spans="1:17">
      <c r="A21" s="405" t="s">
        <v>439</v>
      </c>
      <c r="B21" s="700"/>
      <c r="C21" s="847"/>
      <c r="D21" s="700"/>
      <c r="E21" s="847"/>
      <c r="F21" s="905"/>
      <c r="G21" s="700"/>
      <c r="H21" s="856"/>
      <c r="I21" s="857"/>
      <c r="J21" s="974">
        <f t="shared" si="4"/>
        <v>0</v>
      </c>
      <c r="K21" s="975">
        <f t="shared" si="5"/>
        <v>0</v>
      </c>
      <c r="L21" s="908"/>
      <c r="M21" s="909"/>
      <c r="N21" s="910"/>
      <c r="O21" s="678"/>
      <c r="P21" s="678"/>
      <c r="Q21" s="80" t="s">
        <v>847</v>
      </c>
    </row>
    <row r="22" spans="1:17" ht="25.5">
      <c r="A22" s="405" t="s">
        <v>440</v>
      </c>
      <c r="B22" s="700"/>
      <c r="C22" s="847"/>
      <c r="D22" s="700"/>
      <c r="E22" s="847"/>
      <c r="F22" s="905"/>
      <c r="G22" s="700"/>
      <c r="H22" s="856"/>
      <c r="I22" s="857"/>
      <c r="J22" s="974">
        <f t="shared" si="4"/>
        <v>0</v>
      </c>
      <c r="K22" s="975">
        <f t="shared" si="5"/>
        <v>0</v>
      </c>
      <c r="L22" s="908"/>
      <c r="M22" s="909"/>
      <c r="N22" s="910"/>
      <c r="O22" s="678"/>
      <c r="P22" s="678"/>
    </row>
    <row r="23" spans="1:17">
      <c r="A23" s="405" t="s">
        <v>441</v>
      </c>
      <c r="B23" s="700"/>
      <c r="C23" s="847"/>
      <c r="D23" s="700"/>
      <c r="E23" s="847"/>
      <c r="F23" s="905"/>
      <c r="G23" s="700"/>
      <c r="H23" s="856"/>
      <c r="I23" s="857"/>
      <c r="J23" s="974">
        <f t="shared" si="4"/>
        <v>0</v>
      </c>
      <c r="K23" s="975">
        <f t="shared" si="5"/>
        <v>0</v>
      </c>
      <c r="L23" s="908"/>
      <c r="M23" s="909"/>
      <c r="N23" s="910"/>
      <c r="O23" s="678"/>
      <c r="P23" s="678"/>
    </row>
    <row r="24" spans="1:17" ht="25.5">
      <c r="A24" s="405" t="s">
        <v>442</v>
      </c>
      <c r="B24" s="700"/>
      <c r="C24" s="847"/>
      <c r="D24" s="700"/>
      <c r="E24" s="847"/>
      <c r="F24" s="905"/>
      <c r="G24" s="700"/>
      <c r="H24" s="856"/>
      <c r="I24" s="857"/>
      <c r="J24" s="974">
        <f t="shared" si="4"/>
        <v>0</v>
      </c>
      <c r="K24" s="975">
        <f t="shared" si="5"/>
        <v>0</v>
      </c>
      <c r="L24" s="908"/>
      <c r="M24" s="909"/>
      <c r="N24" s="910"/>
      <c r="O24" s="678"/>
      <c r="P24" s="678"/>
    </row>
    <row r="25" spans="1:17">
      <c r="A25" s="405" t="s">
        <v>443</v>
      </c>
      <c r="B25" s="700"/>
      <c r="C25" s="847"/>
      <c r="D25" s="700"/>
      <c r="E25" s="847"/>
      <c r="F25" s="905"/>
      <c r="G25" s="700"/>
      <c r="H25" s="856"/>
      <c r="I25" s="857"/>
      <c r="J25" s="974">
        <f t="shared" si="4"/>
        <v>0</v>
      </c>
      <c r="K25" s="975">
        <f t="shared" si="5"/>
        <v>0</v>
      </c>
      <c r="L25" s="908"/>
      <c r="M25" s="909"/>
      <c r="N25" s="910"/>
      <c r="O25" s="678"/>
      <c r="P25" s="678"/>
    </row>
    <row r="26" spans="1:17">
      <c r="A26" s="405" t="s">
        <v>444</v>
      </c>
      <c r="B26" s="697"/>
      <c r="C26" s="846"/>
      <c r="D26" s="697"/>
      <c r="E26" s="846"/>
      <c r="F26" s="905"/>
      <c r="G26" s="700"/>
      <c r="H26" s="856"/>
      <c r="I26" s="857"/>
      <c r="J26" s="974">
        <f t="shared" si="4"/>
        <v>0</v>
      </c>
      <c r="K26" s="975">
        <f t="shared" si="5"/>
        <v>0</v>
      </c>
      <c r="L26" s="908"/>
      <c r="M26" s="909"/>
      <c r="N26" s="910"/>
      <c r="O26" s="678"/>
      <c r="P26" s="678"/>
    </row>
    <row r="27" spans="1:17">
      <c r="A27" s="405" t="s">
        <v>445</v>
      </c>
      <c r="B27" s="700"/>
      <c r="C27" s="846"/>
      <c r="D27" s="697"/>
      <c r="E27" s="846"/>
      <c r="F27" s="905"/>
      <c r="G27" s="700"/>
      <c r="H27" s="856"/>
      <c r="I27" s="857"/>
      <c r="J27" s="974">
        <f t="shared" si="4"/>
        <v>0</v>
      </c>
      <c r="K27" s="975">
        <f t="shared" si="5"/>
        <v>0</v>
      </c>
      <c r="L27" s="908"/>
      <c r="M27" s="909"/>
      <c r="N27" s="910"/>
      <c r="O27" s="678"/>
      <c r="P27" s="678"/>
    </row>
    <row r="28" spans="1:17" ht="25.5">
      <c r="A28" s="406" t="s">
        <v>446</v>
      </c>
      <c r="B28" s="701"/>
      <c r="C28" s="848"/>
      <c r="D28" s="702"/>
      <c r="E28" s="848"/>
      <c r="F28" s="907"/>
      <c r="G28" s="701"/>
      <c r="H28" s="858"/>
      <c r="I28" s="859"/>
      <c r="J28" s="976">
        <f>+B28+D28-G28</f>
        <v>0</v>
      </c>
      <c r="K28" s="977">
        <f t="shared" si="5"/>
        <v>0</v>
      </c>
      <c r="L28" s="911"/>
      <c r="M28" s="912"/>
      <c r="N28" s="913"/>
      <c r="O28" s="678"/>
      <c r="P28" s="678"/>
    </row>
    <row r="29" spans="1:17">
      <c r="A29" s="407" t="s">
        <v>447</v>
      </c>
      <c r="B29" s="703">
        <f>+SUM(B30:B48)</f>
        <v>0</v>
      </c>
      <c r="C29" s="849">
        <f t="shared" ref="C29" si="6">+SUM(C30:C48)</f>
        <v>0</v>
      </c>
      <c r="D29" s="703">
        <f>+SUM(D30:D48)</f>
        <v>0</v>
      </c>
      <c r="E29" s="852">
        <f t="shared" ref="E29:K29" si="7">+SUM(E30:E48)</f>
        <v>0</v>
      </c>
      <c r="F29" s="705" t="e">
        <f>+(D30*F30+D31*F31+D32*F32+D33*F33+D34*F34+D35*F35+D36*F36+D37*F37+D38*F38+D39*F39+D40*F40+D41*F41+D42*F42+D43*F43+D44*F44+D45*F45+D46*F46+D47*F47+D48*F48)/D29</f>
        <v>#DIV/0!</v>
      </c>
      <c r="G29" s="706">
        <f t="shared" si="7"/>
        <v>0</v>
      </c>
      <c r="H29" s="860">
        <f t="shared" si="7"/>
        <v>0</v>
      </c>
      <c r="I29" s="849">
        <f t="shared" si="7"/>
        <v>0</v>
      </c>
      <c r="J29" s="703">
        <f t="shared" si="7"/>
        <v>0</v>
      </c>
      <c r="K29" s="704">
        <f t="shared" si="7"/>
        <v>0</v>
      </c>
      <c r="L29" s="963" t="e">
        <f>+(J30*L30+J31*L31+J32*L32+J33*L33+J34*L34+J35*L35+J36*L36+J37*L37+J38*L38+J39*L39+J40*L40+J41*L41+J42*L42+J43*L43+J44*L44+J45*L45+J46*L46+J47*L47+J48*L48)/J29</f>
        <v>#DIV/0!</v>
      </c>
      <c r="M29" s="707">
        <f>+MAX(M30:M48)</f>
        <v>0</v>
      </c>
      <c r="N29" s="707">
        <f>+MIN(N30:N48)</f>
        <v>0</v>
      </c>
      <c r="O29" s="678"/>
      <c r="P29" s="678"/>
    </row>
    <row r="30" spans="1:17">
      <c r="A30" s="404" t="s">
        <v>448</v>
      </c>
      <c r="B30" s="700"/>
      <c r="C30" s="846"/>
      <c r="D30" s="697"/>
      <c r="E30" s="846"/>
      <c r="F30" s="905"/>
      <c r="G30" s="700"/>
      <c r="H30" s="856"/>
      <c r="I30" s="857"/>
      <c r="J30" s="974">
        <f t="shared" ref="J30:J37" si="8">+B30+D30-G30</f>
        <v>0</v>
      </c>
      <c r="K30" s="975">
        <f t="shared" ref="K30:K37" si="9">+C30+E30-I30</f>
        <v>0</v>
      </c>
      <c r="L30" s="908"/>
      <c r="M30" s="909"/>
      <c r="N30" s="910"/>
      <c r="O30" s="678"/>
      <c r="P30" s="678"/>
    </row>
    <row r="31" spans="1:17">
      <c r="A31" s="404" t="s">
        <v>449</v>
      </c>
      <c r="B31" s="700"/>
      <c r="C31" s="846"/>
      <c r="D31" s="697"/>
      <c r="E31" s="846"/>
      <c r="F31" s="905"/>
      <c r="G31" s="700"/>
      <c r="H31" s="856"/>
      <c r="I31" s="857"/>
      <c r="J31" s="974">
        <f t="shared" si="8"/>
        <v>0</v>
      </c>
      <c r="K31" s="975">
        <f t="shared" si="9"/>
        <v>0</v>
      </c>
      <c r="L31" s="908"/>
      <c r="M31" s="909"/>
      <c r="N31" s="910"/>
      <c r="O31" s="678"/>
      <c r="P31" s="678"/>
    </row>
    <row r="32" spans="1:17">
      <c r="A32" s="405" t="s">
        <v>450</v>
      </c>
      <c r="B32" s="700"/>
      <c r="C32" s="846"/>
      <c r="D32" s="697"/>
      <c r="E32" s="846"/>
      <c r="F32" s="905"/>
      <c r="G32" s="700"/>
      <c r="H32" s="856"/>
      <c r="I32" s="857"/>
      <c r="J32" s="974">
        <f t="shared" si="8"/>
        <v>0</v>
      </c>
      <c r="K32" s="975">
        <f t="shared" si="9"/>
        <v>0</v>
      </c>
      <c r="L32" s="908"/>
      <c r="M32" s="909"/>
      <c r="N32" s="910"/>
      <c r="O32" s="678"/>
      <c r="P32" s="678"/>
    </row>
    <row r="33" spans="1:16">
      <c r="A33" s="405" t="s">
        <v>451</v>
      </c>
      <c r="B33" s="697"/>
      <c r="C33" s="846"/>
      <c r="D33" s="697"/>
      <c r="E33" s="846"/>
      <c r="F33" s="905"/>
      <c r="G33" s="700"/>
      <c r="H33" s="856"/>
      <c r="I33" s="857"/>
      <c r="J33" s="974">
        <f t="shared" si="8"/>
        <v>0</v>
      </c>
      <c r="K33" s="975">
        <f t="shared" si="9"/>
        <v>0</v>
      </c>
      <c r="L33" s="908"/>
      <c r="M33" s="909"/>
      <c r="N33" s="910"/>
      <c r="O33" s="678"/>
      <c r="P33" s="678"/>
    </row>
    <row r="34" spans="1:16" ht="25.5">
      <c r="A34" s="405" t="s">
        <v>452</v>
      </c>
      <c r="B34" s="700"/>
      <c r="C34" s="846"/>
      <c r="D34" s="700"/>
      <c r="E34" s="846"/>
      <c r="F34" s="905"/>
      <c r="G34" s="700"/>
      <c r="H34" s="856"/>
      <c r="I34" s="857"/>
      <c r="J34" s="974">
        <f t="shared" si="8"/>
        <v>0</v>
      </c>
      <c r="K34" s="975">
        <f t="shared" si="9"/>
        <v>0</v>
      </c>
      <c r="L34" s="908"/>
      <c r="M34" s="909"/>
      <c r="N34" s="910"/>
      <c r="O34" s="678"/>
      <c r="P34" s="678"/>
    </row>
    <row r="35" spans="1:16">
      <c r="A35" s="405" t="s">
        <v>453</v>
      </c>
      <c r="B35" s="700"/>
      <c r="C35" s="846"/>
      <c r="D35" s="700"/>
      <c r="E35" s="846"/>
      <c r="F35" s="905"/>
      <c r="G35" s="700"/>
      <c r="H35" s="856"/>
      <c r="I35" s="857"/>
      <c r="J35" s="974">
        <f t="shared" si="8"/>
        <v>0</v>
      </c>
      <c r="K35" s="975">
        <f t="shared" si="9"/>
        <v>0</v>
      </c>
      <c r="L35" s="908"/>
      <c r="M35" s="909"/>
      <c r="N35" s="910"/>
      <c r="O35" s="678"/>
      <c r="P35" s="678"/>
    </row>
    <row r="36" spans="1:16">
      <c r="A36" s="405" t="s">
        <v>454</v>
      </c>
      <c r="B36" s="700"/>
      <c r="C36" s="846"/>
      <c r="D36" s="700"/>
      <c r="E36" s="846"/>
      <c r="F36" s="905"/>
      <c r="G36" s="700"/>
      <c r="H36" s="856"/>
      <c r="I36" s="857"/>
      <c r="J36" s="974">
        <f t="shared" si="8"/>
        <v>0</v>
      </c>
      <c r="K36" s="975">
        <f t="shared" si="9"/>
        <v>0</v>
      </c>
      <c r="L36" s="908"/>
      <c r="M36" s="909"/>
      <c r="N36" s="910"/>
      <c r="O36" s="678"/>
      <c r="P36" s="678"/>
    </row>
    <row r="37" spans="1:16">
      <c r="A37" s="405" t="s">
        <v>455</v>
      </c>
      <c r="B37" s="700"/>
      <c r="C37" s="846"/>
      <c r="D37" s="700"/>
      <c r="E37" s="846"/>
      <c r="F37" s="905"/>
      <c r="G37" s="700"/>
      <c r="H37" s="856"/>
      <c r="I37" s="857"/>
      <c r="J37" s="974">
        <f t="shared" si="8"/>
        <v>0</v>
      </c>
      <c r="K37" s="975">
        <f t="shared" si="9"/>
        <v>0</v>
      </c>
      <c r="L37" s="908"/>
      <c r="M37" s="909"/>
      <c r="N37" s="910"/>
      <c r="O37" s="678"/>
      <c r="P37" s="678"/>
    </row>
    <row r="38" spans="1:16">
      <c r="A38" s="405" t="s">
        <v>456</v>
      </c>
      <c r="B38" s="700"/>
      <c r="C38" s="846"/>
      <c r="D38" s="700"/>
      <c r="E38" s="846"/>
      <c r="F38" s="905"/>
      <c r="G38" s="700"/>
      <c r="H38" s="856"/>
      <c r="I38" s="857"/>
      <c r="J38" s="974">
        <f>+B38+D38-G38</f>
        <v>0</v>
      </c>
      <c r="K38" s="975">
        <f>+C38+E38-I38</f>
        <v>0</v>
      </c>
      <c r="L38" s="908"/>
      <c r="M38" s="909"/>
      <c r="N38" s="910"/>
      <c r="O38" s="678"/>
      <c r="P38" s="678"/>
    </row>
    <row r="39" spans="1:16" ht="25.5">
      <c r="A39" s="405" t="s">
        <v>457</v>
      </c>
      <c r="B39" s="700"/>
      <c r="C39" s="846"/>
      <c r="D39" s="700"/>
      <c r="E39" s="846"/>
      <c r="F39" s="905"/>
      <c r="G39" s="700"/>
      <c r="H39" s="856"/>
      <c r="I39" s="857"/>
      <c r="J39" s="974">
        <f t="shared" ref="J39:J48" si="10">+B39+D39-G39</f>
        <v>0</v>
      </c>
      <c r="K39" s="975">
        <f t="shared" ref="K39:K49" si="11">+C39+E39-I39</f>
        <v>0</v>
      </c>
      <c r="L39" s="908"/>
      <c r="M39" s="909"/>
      <c r="N39" s="910"/>
      <c r="O39" s="678"/>
      <c r="P39" s="678"/>
    </row>
    <row r="40" spans="1:16">
      <c r="A40" s="405" t="s">
        <v>458</v>
      </c>
      <c r="B40" s="700"/>
      <c r="C40" s="846"/>
      <c r="D40" s="700"/>
      <c r="E40" s="846"/>
      <c r="F40" s="905"/>
      <c r="G40" s="700"/>
      <c r="H40" s="856"/>
      <c r="I40" s="857"/>
      <c r="J40" s="974">
        <f t="shared" si="10"/>
        <v>0</v>
      </c>
      <c r="K40" s="975">
        <f t="shared" si="11"/>
        <v>0</v>
      </c>
      <c r="L40" s="908"/>
      <c r="M40" s="909"/>
      <c r="N40" s="910"/>
      <c r="O40" s="678"/>
      <c r="P40" s="678"/>
    </row>
    <row r="41" spans="1:16">
      <c r="A41" s="405" t="s">
        <v>459</v>
      </c>
      <c r="B41" s="700"/>
      <c r="C41" s="846"/>
      <c r="D41" s="700"/>
      <c r="E41" s="846"/>
      <c r="F41" s="905"/>
      <c r="G41" s="700"/>
      <c r="H41" s="856"/>
      <c r="I41" s="857"/>
      <c r="J41" s="974">
        <f t="shared" si="10"/>
        <v>0</v>
      </c>
      <c r="K41" s="975">
        <f t="shared" si="11"/>
        <v>0</v>
      </c>
      <c r="L41" s="908"/>
      <c r="M41" s="909"/>
      <c r="N41" s="910"/>
      <c r="O41" s="678"/>
      <c r="P41" s="678"/>
    </row>
    <row r="42" spans="1:16">
      <c r="A42" s="405" t="s">
        <v>460</v>
      </c>
      <c r="B42" s="700"/>
      <c r="C42" s="846"/>
      <c r="D42" s="700"/>
      <c r="E42" s="846"/>
      <c r="F42" s="905"/>
      <c r="G42" s="700"/>
      <c r="H42" s="856"/>
      <c r="I42" s="857"/>
      <c r="J42" s="974">
        <f t="shared" si="10"/>
        <v>0</v>
      </c>
      <c r="K42" s="975">
        <f t="shared" si="11"/>
        <v>0</v>
      </c>
      <c r="L42" s="908"/>
      <c r="M42" s="909"/>
      <c r="N42" s="910"/>
      <c r="O42" s="678"/>
      <c r="P42" s="678"/>
    </row>
    <row r="43" spans="1:16" ht="25.5">
      <c r="A43" s="405" t="s">
        <v>461</v>
      </c>
      <c r="B43" s="700"/>
      <c r="C43" s="846"/>
      <c r="D43" s="700"/>
      <c r="E43" s="846"/>
      <c r="F43" s="905"/>
      <c r="G43" s="700"/>
      <c r="H43" s="856"/>
      <c r="I43" s="857"/>
      <c r="J43" s="974">
        <f t="shared" si="10"/>
        <v>0</v>
      </c>
      <c r="K43" s="975">
        <f>+C43+E43-I43</f>
        <v>0</v>
      </c>
      <c r="L43" s="908"/>
      <c r="M43" s="909"/>
      <c r="N43" s="910"/>
      <c r="O43" s="678"/>
      <c r="P43" s="678"/>
    </row>
    <row r="44" spans="1:16">
      <c r="A44" s="405" t="s">
        <v>462</v>
      </c>
      <c r="B44" s="700"/>
      <c r="C44" s="846"/>
      <c r="D44" s="700"/>
      <c r="E44" s="846"/>
      <c r="F44" s="905"/>
      <c r="G44" s="700"/>
      <c r="H44" s="856"/>
      <c r="I44" s="857"/>
      <c r="J44" s="974">
        <f t="shared" si="10"/>
        <v>0</v>
      </c>
      <c r="K44" s="975">
        <f t="shared" si="11"/>
        <v>0</v>
      </c>
      <c r="L44" s="908"/>
      <c r="M44" s="909"/>
      <c r="N44" s="910"/>
      <c r="O44" s="678"/>
      <c r="P44" s="678"/>
    </row>
    <row r="45" spans="1:16" ht="25.5">
      <c r="A45" s="405" t="s">
        <v>463</v>
      </c>
      <c r="B45" s="700"/>
      <c r="C45" s="846"/>
      <c r="D45" s="700"/>
      <c r="E45" s="846"/>
      <c r="F45" s="905"/>
      <c r="G45" s="700"/>
      <c r="H45" s="856"/>
      <c r="I45" s="857"/>
      <c r="J45" s="974">
        <f t="shared" si="10"/>
        <v>0</v>
      </c>
      <c r="K45" s="975">
        <f t="shared" si="11"/>
        <v>0</v>
      </c>
      <c r="L45" s="908"/>
      <c r="M45" s="909"/>
      <c r="N45" s="910"/>
      <c r="O45" s="678"/>
      <c r="P45" s="678"/>
    </row>
    <row r="46" spans="1:16">
      <c r="A46" s="405" t="s">
        <v>464</v>
      </c>
      <c r="B46" s="700"/>
      <c r="C46" s="846"/>
      <c r="D46" s="700"/>
      <c r="E46" s="846"/>
      <c r="F46" s="905"/>
      <c r="G46" s="700"/>
      <c r="H46" s="856"/>
      <c r="I46" s="857"/>
      <c r="J46" s="974">
        <f t="shared" si="10"/>
        <v>0</v>
      </c>
      <c r="K46" s="975">
        <f t="shared" si="11"/>
        <v>0</v>
      </c>
      <c r="L46" s="908"/>
      <c r="M46" s="909"/>
      <c r="N46" s="910"/>
      <c r="O46" s="678"/>
      <c r="P46" s="678"/>
    </row>
    <row r="47" spans="1:16">
      <c r="A47" s="405" t="s">
        <v>465</v>
      </c>
      <c r="B47" s="700"/>
      <c r="C47" s="846"/>
      <c r="D47" s="700"/>
      <c r="E47" s="846"/>
      <c r="F47" s="905"/>
      <c r="G47" s="700"/>
      <c r="H47" s="856"/>
      <c r="I47" s="857"/>
      <c r="J47" s="974">
        <f t="shared" si="10"/>
        <v>0</v>
      </c>
      <c r="K47" s="975">
        <f t="shared" si="11"/>
        <v>0</v>
      </c>
      <c r="L47" s="908"/>
      <c r="M47" s="909"/>
      <c r="N47" s="910"/>
      <c r="O47" s="678"/>
      <c r="P47" s="678"/>
    </row>
    <row r="48" spans="1:16">
      <c r="A48" s="405" t="s">
        <v>466</v>
      </c>
      <c r="B48" s="708"/>
      <c r="C48" s="846"/>
      <c r="D48" s="708"/>
      <c r="E48" s="846"/>
      <c r="F48" s="914"/>
      <c r="G48" s="700"/>
      <c r="H48" s="856"/>
      <c r="I48" s="857"/>
      <c r="J48" s="974">
        <f t="shared" si="10"/>
        <v>0</v>
      </c>
      <c r="K48" s="975">
        <f t="shared" si="11"/>
        <v>0</v>
      </c>
      <c r="L48" s="916"/>
      <c r="M48" s="917"/>
      <c r="N48" s="918"/>
      <c r="O48" s="678"/>
      <c r="P48" s="678"/>
    </row>
    <row r="49" spans="1:16" ht="26.25" thickBot="1">
      <c r="A49" s="408" t="s">
        <v>467</v>
      </c>
      <c r="B49" s="709"/>
      <c r="C49" s="850"/>
      <c r="D49" s="709"/>
      <c r="E49" s="850"/>
      <c r="F49" s="915"/>
      <c r="G49" s="710"/>
      <c r="H49" s="861"/>
      <c r="I49" s="862"/>
      <c r="J49" s="976">
        <f>+B49+D49-G49</f>
        <v>0</v>
      </c>
      <c r="K49" s="977">
        <f t="shared" si="11"/>
        <v>0</v>
      </c>
      <c r="L49" s="919"/>
      <c r="M49" s="920"/>
      <c r="N49" s="921"/>
      <c r="O49" s="678"/>
      <c r="P49" s="678"/>
    </row>
    <row r="50" spans="1:16" ht="15.75" thickBot="1">
      <c r="A50" s="409" t="s">
        <v>469</v>
      </c>
      <c r="B50" s="1095" t="s">
        <v>482</v>
      </c>
      <c r="C50" s="1096"/>
      <c r="D50" s="933">
        <f>+SUM(D51:D56)</f>
        <v>0</v>
      </c>
      <c r="E50" s="853">
        <f>+SUM(E51:E56)</f>
        <v>0</v>
      </c>
      <c r="F50" s="934" t="e">
        <f>+(D51*F51+D52*F52+D53*F53+D54*F54+D55*F55+D56*F56)/D50</f>
        <v>#DIV/0!</v>
      </c>
      <c r="G50" s="933">
        <f>+SUM(G51:G56)</f>
        <v>0</v>
      </c>
      <c r="H50" s="863">
        <f>+SUM(H51:H56)</f>
        <v>0</v>
      </c>
      <c r="I50" s="851">
        <f>+SUM(I51:I56)</f>
        <v>0</v>
      </c>
      <c r="J50" s="1089" t="s">
        <v>482</v>
      </c>
      <c r="K50" s="1090"/>
      <c r="L50" s="1090"/>
      <c r="M50" s="1090"/>
      <c r="N50" s="1091"/>
      <c r="O50" s="678"/>
      <c r="P50" s="678"/>
    </row>
    <row r="51" spans="1:16">
      <c r="A51" s="410" t="s">
        <v>470</v>
      </c>
      <c r="B51" s="1097"/>
      <c r="C51" s="1098"/>
      <c r="D51" s="679"/>
      <c r="E51" s="680"/>
      <c r="F51" s="922"/>
      <c r="G51" s="679"/>
      <c r="H51" s="681"/>
      <c r="I51" s="682"/>
      <c r="J51" s="1092"/>
      <c r="K51" s="1093"/>
      <c r="L51" s="1093"/>
      <c r="M51" s="1093"/>
      <c r="N51" s="1094"/>
      <c r="O51" s="678"/>
      <c r="P51" s="678"/>
    </row>
    <row r="52" spans="1:16">
      <c r="A52" s="411" t="s">
        <v>471</v>
      </c>
      <c r="B52" s="1097"/>
      <c r="C52" s="1098"/>
      <c r="D52" s="683"/>
      <c r="E52" s="684"/>
      <c r="F52" s="923"/>
      <c r="G52" s="683"/>
      <c r="H52" s="685"/>
      <c r="I52" s="686"/>
      <c r="J52" s="1092"/>
      <c r="K52" s="1093"/>
      <c r="L52" s="1093"/>
      <c r="M52" s="1093"/>
      <c r="N52" s="1094"/>
      <c r="O52" s="678"/>
      <c r="P52" s="678"/>
    </row>
    <row r="53" spans="1:16">
      <c r="A53" s="411" t="s">
        <v>795</v>
      </c>
      <c r="B53" s="1097"/>
      <c r="C53" s="1098"/>
      <c r="D53" s="683"/>
      <c r="E53" s="684"/>
      <c r="F53" s="923"/>
      <c r="G53" s="683"/>
      <c r="H53" s="685"/>
      <c r="I53" s="686"/>
      <c r="J53" s="1092"/>
      <c r="K53" s="1093"/>
      <c r="L53" s="1093"/>
      <c r="M53" s="1093"/>
      <c r="N53" s="1094"/>
      <c r="O53" s="678"/>
      <c r="P53" s="678"/>
    </row>
    <row r="54" spans="1:16">
      <c r="A54" s="411" t="s">
        <v>472</v>
      </c>
      <c r="B54" s="1097"/>
      <c r="C54" s="1098"/>
      <c r="D54" s="683"/>
      <c r="E54" s="684"/>
      <c r="F54" s="923"/>
      <c r="G54" s="683"/>
      <c r="H54" s="685"/>
      <c r="I54" s="686"/>
      <c r="J54" s="1092"/>
      <c r="K54" s="1093"/>
      <c r="L54" s="1093"/>
      <c r="M54" s="1093"/>
      <c r="N54" s="1094"/>
      <c r="O54" s="678"/>
      <c r="P54" s="678"/>
    </row>
    <row r="55" spans="1:16">
      <c r="A55" s="411" t="s">
        <v>776</v>
      </c>
      <c r="B55" s="1097"/>
      <c r="C55" s="1098"/>
      <c r="D55" s="683"/>
      <c r="E55" s="684"/>
      <c r="F55" s="923"/>
      <c r="G55" s="683"/>
      <c r="H55" s="685"/>
      <c r="I55" s="686"/>
      <c r="J55" s="1092"/>
      <c r="K55" s="1093"/>
      <c r="L55" s="1093"/>
      <c r="M55" s="1093"/>
      <c r="N55" s="1094"/>
      <c r="O55" s="678"/>
      <c r="P55" s="678"/>
    </row>
    <row r="56" spans="1:16" ht="15.75" thickBot="1">
      <c r="A56" s="412" t="s">
        <v>473</v>
      </c>
      <c r="B56" s="1097"/>
      <c r="C56" s="1098"/>
      <c r="D56" s="687"/>
      <c r="E56" s="688"/>
      <c r="F56" s="924"/>
      <c r="G56" s="687"/>
      <c r="H56" s="689"/>
      <c r="I56" s="690"/>
      <c r="J56" s="1092"/>
      <c r="K56" s="1093"/>
      <c r="L56" s="1093"/>
      <c r="M56" s="1093"/>
      <c r="N56" s="1094"/>
      <c r="O56" s="678"/>
      <c r="P56" s="678"/>
    </row>
    <row r="57" spans="1:16" ht="15.75" thickBot="1">
      <c r="A57" s="954" t="s">
        <v>474</v>
      </c>
      <c r="B57" s="968">
        <f>+B58+B64</f>
        <v>0</v>
      </c>
      <c r="C57" s="969">
        <f>+C58+C64</f>
        <v>0</v>
      </c>
      <c r="D57" s="968">
        <f>+D58+D64</f>
        <v>0</v>
      </c>
      <c r="E57" s="970">
        <f>+E58+E64</f>
        <v>0</v>
      </c>
      <c r="F57" s="971" t="e">
        <f>+(D59*F59+D60*F60+D61*F61+D62*F62+D63*F63+D65*F65+D66*F66+D67*F67+D68*F68)/D57</f>
        <v>#DIV/0!</v>
      </c>
      <c r="G57" s="968">
        <f>+G58+G64</f>
        <v>0</v>
      </c>
      <c r="H57" s="970">
        <f>+H58+H64</f>
        <v>0</v>
      </c>
      <c r="I57" s="969">
        <f>+I58+I64</f>
        <v>0</v>
      </c>
      <c r="J57" s="968">
        <f>+J58+J64</f>
        <v>0</v>
      </c>
      <c r="K57" s="972">
        <f>+K58+K64</f>
        <v>0</v>
      </c>
      <c r="L57" s="971" t="e">
        <f>+(J59*L59+J60*L60+J61*L61+J62*L62+J63*L63+J65*L65+J66*L66+J67*L67+J68*L68)/J57</f>
        <v>#DIV/0!</v>
      </c>
      <c r="M57" s="965">
        <f>+MAX(M59:M63,M65:M68)</f>
        <v>0</v>
      </c>
      <c r="N57" s="967">
        <f>+MIN(N59:N63,N65:N68)</f>
        <v>0</v>
      </c>
      <c r="O57" s="678"/>
      <c r="P57" s="678"/>
    </row>
    <row r="58" spans="1:16">
      <c r="A58" s="413" t="s">
        <v>475</v>
      </c>
      <c r="B58" s="955">
        <f>+SUM(B59:B63)</f>
        <v>0</v>
      </c>
      <c r="C58" s="956">
        <f>+SUM(C59:C63)</f>
        <v>0</v>
      </c>
      <c r="D58" s="955">
        <f>+SUM(D59:D63)</f>
        <v>0</v>
      </c>
      <c r="E58" s="957">
        <f>+SUM(E59:E63)</f>
        <v>0</v>
      </c>
      <c r="F58" s="960" t="e">
        <f>+(D59*F59+D60*F60+D61*F61+D62*F62+D63*F63)/D58</f>
        <v>#DIV/0!</v>
      </c>
      <c r="G58" s="955">
        <f>+SUM(G59:G63)</f>
        <v>0</v>
      </c>
      <c r="H58" s="958">
        <f>+SUM(H59:H63)</f>
        <v>0</v>
      </c>
      <c r="I58" s="956">
        <f>+SUM(I59:I63)</f>
        <v>0</v>
      </c>
      <c r="J58" s="955">
        <f>+SUM(J59:J63)</f>
        <v>0</v>
      </c>
      <c r="K58" s="959">
        <f>+SUM(K59:K63)</f>
        <v>0</v>
      </c>
      <c r="L58" s="960" t="e">
        <f>+(J59*L59+J60*L60+J61*L61+J62*L62+J63*L63)/J58</f>
        <v>#DIV/0!</v>
      </c>
      <c r="M58" s="714">
        <f>+MAX(M59:M63)</f>
        <v>0</v>
      </c>
      <c r="N58" s="714">
        <f>+MIN(N59:N63)</f>
        <v>0</v>
      </c>
      <c r="O58" s="678"/>
      <c r="P58" s="678"/>
    </row>
    <row r="59" spans="1:16">
      <c r="A59" s="414" t="s">
        <v>476</v>
      </c>
      <c r="B59" s="712"/>
      <c r="C59" s="839"/>
      <c r="D59" s="712"/>
      <c r="E59" s="864"/>
      <c r="F59" s="947"/>
      <c r="G59" s="713"/>
      <c r="H59" s="870"/>
      <c r="I59" s="839"/>
      <c r="J59" s="974">
        <f t="shared" ref="J59:J63" si="12">+B59+D59-G59</f>
        <v>0</v>
      </c>
      <c r="K59" s="975">
        <f t="shared" ref="K59:K63" si="13">+C59+E59-I59</f>
        <v>0</v>
      </c>
      <c r="L59" s="925"/>
      <c r="M59" s="926"/>
      <c r="N59" s="927"/>
      <c r="O59" s="678"/>
      <c r="P59" s="678"/>
    </row>
    <row r="60" spans="1:16">
      <c r="A60" s="414" t="s">
        <v>477</v>
      </c>
      <c r="B60" s="712"/>
      <c r="C60" s="839"/>
      <c r="D60" s="712"/>
      <c r="E60" s="864"/>
      <c r="F60" s="947"/>
      <c r="G60" s="713"/>
      <c r="H60" s="870"/>
      <c r="I60" s="839"/>
      <c r="J60" s="974">
        <f t="shared" si="12"/>
        <v>0</v>
      </c>
      <c r="K60" s="975">
        <f t="shared" si="13"/>
        <v>0</v>
      </c>
      <c r="L60" s="925"/>
      <c r="M60" s="926"/>
      <c r="N60" s="927"/>
      <c r="O60" s="678"/>
      <c r="P60" s="678"/>
    </row>
    <row r="61" spans="1:16">
      <c r="A61" s="414" t="s">
        <v>478</v>
      </c>
      <c r="B61" s="712"/>
      <c r="C61" s="839"/>
      <c r="D61" s="712"/>
      <c r="E61" s="864"/>
      <c r="F61" s="947"/>
      <c r="G61" s="713"/>
      <c r="H61" s="870"/>
      <c r="I61" s="839"/>
      <c r="J61" s="974">
        <f t="shared" si="12"/>
        <v>0</v>
      </c>
      <c r="K61" s="975">
        <f t="shared" si="13"/>
        <v>0</v>
      </c>
      <c r="L61" s="925"/>
      <c r="M61" s="926"/>
      <c r="N61" s="927"/>
      <c r="O61" s="678"/>
      <c r="P61" s="678"/>
    </row>
    <row r="62" spans="1:16">
      <c r="A62" s="414" t="s">
        <v>479</v>
      </c>
      <c r="B62" s="712"/>
      <c r="C62" s="839"/>
      <c r="D62" s="712"/>
      <c r="E62" s="864"/>
      <c r="F62" s="947"/>
      <c r="G62" s="713"/>
      <c r="H62" s="870"/>
      <c r="I62" s="839"/>
      <c r="J62" s="974">
        <f t="shared" si="12"/>
        <v>0</v>
      </c>
      <c r="K62" s="975">
        <f t="shared" si="13"/>
        <v>0</v>
      </c>
      <c r="L62" s="925"/>
      <c r="M62" s="926"/>
      <c r="N62" s="927"/>
      <c r="O62" s="678"/>
      <c r="P62" s="678"/>
    </row>
    <row r="63" spans="1:16">
      <c r="A63" s="414" t="s">
        <v>480</v>
      </c>
      <c r="B63" s="711"/>
      <c r="C63" s="839"/>
      <c r="D63" s="712"/>
      <c r="E63" s="864"/>
      <c r="F63" s="948"/>
      <c r="G63" s="713"/>
      <c r="H63" s="870"/>
      <c r="I63" s="839"/>
      <c r="J63" s="974">
        <f t="shared" si="12"/>
        <v>0</v>
      </c>
      <c r="K63" s="975">
        <f t="shared" si="13"/>
        <v>0</v>
      </c>
      <c r="L63" s="928"/>
      <c r="M63" s="926"/>
      <c r="N63" s="927"/>
      <c r="O63" s="678"/>
      <c r="P63" s="678"/>
    </row>
    <row r="64" spans="1:16">
      <c r="A64" s="415" t="s">
        <v>481</v>
      </c>
      <c r="B64" s="715">
        <f>+SUM(B65:B68)</f>
        <v>0</v>
      </c>
      <c r="C64" s="840">
        <f>+SUM(C65:C68)</f>
        <v>0</v>
      </c>
      <c r="D64" s="715">
        <f>+SUM(D65:D68)</f>
        <v>0</v>
      </c>
      <c r="E64" s="865">
        <f>+SUM(E65:E68)</f>
        <v>0</v>
      </c>
      <c r="F64" s="961" t="e">
        <f>+(D65*F65+D66*F66+D67*F67+D68*F68)/D64</f>
        <v>#DIV/0!</v>
      </c>
      <c r="G64" s="716">
        <f>+SUM(G65:G68)</f>
        <v>0</v>
      </c>
      <c r="H64" s="871">
        <f>+SUM(H65:H68)</f>
        <v>0</v>
      </c>
      <c r="I64" s="840">
        <f>+SUM(I65:I68)</f>
        <v>0</v>
      </c>
      <c r="J64" s="715">
        <f>+SUM(J65:J68)</f>
        <v>0</v>
      </c>
      <c r="K64" s="717">
        <f>+SUM(K65:K68)</f>
        <v>0</v>
      </c>
      <c r="L64" s="964" t="e">
        <f>+(J65*L65+J66*L66+J67*L67+J68*L68)/J64</f>
        <v>#DIV/0!</v>
      </c>
      <c r="M64" s="714">
        <f>+MAX(M65:M68)</f>
        <v>0</v>
      </c>
      <c r="N64" s="714">
        <f>+MIN(N65:N68)</f>
        <v>0</v>
      </c>
      <c r="O64" s="678"/>
      <c r="P64" s="678"/>
    </row>
    <row r="65" spans="1:19">
      <c r="A65" s="414" t="s">
        <v>477</v>
      </c>
      <c r="B65" s="718"/>
      <c r="C65" s="841"/>
      <c r="D65" s="718"/>
      <c r="E65" s="866"/>
      <c r="F65" s="947"/>
      <c r="G65" s="719"/>
      <c r="H65" s="872"/>
      <c r="I65" s="841"/>
      <c r="J65" s="974">
        <f t="shared" ref="J65:J68" si="14">+B65+D65-G65</f>
        <v>0</v>
      </c>
      <c r="K65" s="975">
        <f t="shared" ref="K65:K68" si="15">+C65+E65-I65</f>
        <v>0</v>
      </c>
      <c r="L65" s="925"/>
      <c r="M65" s="926"/>
      <c r="N65" s="927"/>
      <c r="O65" s="678"/>
      <c r="P65" s="678"/>
    </row>
    <row r="66" spans="1:19">
      <c r="A66" s="414" t="s">
        <v>478</v>
      </c>
      <c r="B66" s="720"/>
      <c r="C66" s="842"/>
      <c r="D66" s="720"/>
      <c r="E66" s="867"/>
      <c r="F66" s="947"/>
      <c r="G66" s="721"/>
      <c r="H66" s="873"/>
      <c r="I66" s="842"/>
      <c r="J66" s="974">
        <f t="shared" si="14"/>
        <v>0</v>
      </c>
      <c r="K66" s="975">
        <f t="shared" si="15"/>
        <v>0</v>
      </c>
      <c r="L66" s="927"/>
      <c r="M66" s="926"/>
      <c r="N66" s="927"/>
      <c r="O66" s="678"/>
      <c r="P66" s="678"/>
    </row>
    <row r="67" spans="1:19">
      <c r="A67" s="414" t="s">
        <v>479</v>
      </c>
      <c r="B67" s="720"/>
      <c r="C67" s="842"/>
      <c r="D67" s="720"/>
      <c r="E67" s="867"/>
      <c r="F67" s="947"/>
      <c r="G67" s="721"/>
      <c r="H67" s="873"/>
      <c r="I67" s="842"/>
      <c r="J67" s="974">
        <f t="shared" si="14"/>
        <v>0</v>
      </c>
      <c r="K67" s="975">
        <f t="shared" si="15"/>
        <v>0</v>
      </c>
      <c r="L67" s="927"/>
      <c r="M67" s="926"/>
      <c r="N67" s="927"/>
      <c r="O67" s="678"/>
      <c r="P67" s="678"/>
    </row>
    <row r="68" spans="1:19" ht="15.75" thickBot="1">
      <c r="A68" s="416" t="s">
        <v>480</v>
      </c>
      <c r="B68" s="722"/>
      <c r="C68" s="843"/>
      <c r="D68" s="722"/>
      <c r="E68" s="868"/>
      <c r="F68" s="948"/>
      <c r="G68" s="723"/>
      <c r="H68" s="874"/>
      <c r="I68" s="843"/>
      <c r="J68" s="974">
        <f t="shared" si="14"/>
        <v>0</v>
      </c>
      <c r="K68" s="975">
        <f t="shared" si="15"/>
        <v>0</v>
      </c>
      <c r="L68" s="929"/>
      <c r="M68" s="930"/>
      <c r="N68" s="931"/>
      <c r="O68" s="120" t="str">
        <f>IF(SUM(J58+J64)=J69,"","Балансийн дүнтэй зөрүүтэй байна")</f>
        <v/>
      </c>
      <c r="P68" s="678" t="str">
        <f>+IF(SUM(K58,K64)=K69,"","Балансын дүн зөрүүтэй")</f>
        <v/>
      </c>
    </row>
    <row r="69" spans="1:19" ht="15.75" thickBot="1">
      <c r="A69" s="417" t="s">
        <v>468</v>
      </c>
      <c r="B69" s="418">
        <f>+SUM(B29,B8)</f>
        <v>0</v>
      </c>
      <c r="C69" s="844">
        <f>+SUM(C29,C8)</f>
        <v>0</v>
      </c>
      <c r="D69" s="418">
        <f>+SUM(D29,D8)</f>
        <v>0</v>
      </c>
      <c r="E69" s="869">
        <f>+SUM(E29,E8)</f>
        <v>0</v>
      </c>
      <c r="F69" s="932" t="e">
        <f>+(D9*F9+D10*F10+D11*F11+D12*F12+D13*F13+D14*F14+D15*F15+D16*F16+D17*F17+D18*F18+D19*F19+D20*F20+D21*F21+D22*F22+D23*F23+D24*F24+D25*F25+D26*F26+D27*F27+D30*F30+D31*F31+D32*F32+D33*F33+D34*F34+D35*F35+D36*F36+D37*F37+D38*F38+D39*F39+D40*F40+D41*F41+D42*F42+D43*F43+D44*F44+D45*F45+D46*F46+D47*F47+D48*F48)/D69</f>
        <v>#DIV/0!</v>
      </c>
      <c r="G69" s="418">
        <f>+SUM(G29,G8)</f>
        <v>0</v>
      </c>
      <c r="H69" s="875">
        <f>+SUM(H8,H29)</f>
        <v>0</v>
      </c>
      <c r="I69" s="876">
        <f>+SUM(I29,I8)</f>
        <v>0</v>
      </c>
      <c r="J69" s="418">
        <f>+SUM(J29,J8)</f>
        <v>0</v>
      </c>
      <c r="K69" s="419">
        <f>+SUM(K29,K8)</f>
        <v>0</v>
      </c>
      <c r="L69" s="838" t="e">
        <f>+(J9*L9+J10*L10+J11*L11+J12*L12+J13*L13+J14*L14+J15*L15+J16*L16+J17*L17+J18*L18+J19*L19+J20*L20+J21*L21+J22*L22+J23*L23+J24*L24+J25*L25+J26*L26+J27*L27+J30*L30+J31*L31+J32*L32+J33*L33+J34*L34+J35*L35+J36*L36+J37*L37+J38*L38+J39*L39+J40*L40+J41*L41+J42*L42+J43*L43+J44*L44+J45*L45+J46*L46+J47*L47+J48*L48)/J69</f>
        <v>#DIV/0!</v>
      </c>
      <c r="M69" s="724">
        <f>+MAX(M9:M27,M30:M48)</f>
        <v>0</v>
      </c>
      <c r="N69" s="725">
        <f>+MIN(N9:N27,N30:N48)</f>
        <v>0</v>
      </c>
      <c r="O69" s="120" t="str">
        <f>IF(J69=BALANCESHEET!C18,"","Балансийн дүнтэй зөрүүтэй байна")</f>
        <v/>
      </c>
      <c r="P69" s="678"/>
    </row>
    <row r="70" spans="1:19" ht="15.75" thickBot="1">
      <c r="A70" s="1068" t="s">
        <v>782</v>
      </c>
      <c r="B70" s="1069"/>
      <c r="C70" s="1069"/>
      <c r="D70" s="1069"/>
      <c r="E70" s="1069"/>
      <c r="F70" s="1070"/>
      <c r="G70" s="1069"/>
      <c r="H70" s="1069"/>
      <c r="I70" s="1069"/>
      <c r="J70" s="1069"/>
      <c r="K70" s="1069"/>
      <c r="L70" s="1069"/>
      <c r="M70" s="1070"/>
      <c r="N70" s="1071"/>
      <c r="O70" s="678"/>
      <c r="P70" s="678"/>
    </row>
    <row r="71" spans="1:19" s="421" customFormat="1">
      <c r="A71" s="420" t="s">
        <v>475</v>
      </c>
      <c r="B71" s="726"/>
      <c r="C71" s="727"/>
      <c r="D71" s="726"/>
      <c r="E71" s="727"/>
      <c r="F71" s="888"/>
      <c r="G71" s="726"/>
      <c r="H71" s="728"/>
      <c r="I71" s="727"/>
      <c r="J71" s="974">
        <f t="shared" ref="J71:J72" si="16">+B71+D71-G71</f>
        <v>0</v>
      </c>
      <c r="K71" s="975">
        <f t="shared" ref="K71:K72" si="17">+C71+E71-I71</f>
        <v>0</v>
      </c>
      <c r="L71" s="890"/>
      <c r="M71" s="891"/>
      <c r="N71" s="892"/>
      <c r="O71" s="691"/>
      <c r="P71" s="691"/>
    </row>
    <row r="72" spans="1:19" ht="15.75" thickBot="1">
      <c r="A72" s="416" t="s">
        <v>481</v>
      </c>
      <c r="B72" s="729"/>
      <c r="C72" s="730"/>
      <c r="D72" s="729"/>
      <c r="E72" s="730"/>
      <c r="F72" s="889"/>
      <c r="G72" s="729"/>
      <c r="H72" s="731"/>
      <c r="I72" s="730"/>
      <c r="J72" s="974">
        <f t="shared" si="16"/>
        <v>0</v>
      </c>
      <c r="K72" s="975">
        <f t="shared" si="17"/>
        <v>0</v>
      </c>
      <c r="L72" s="893"/>
      <c r="M72" s="894"/>
      <c r="N72" s="895"/>
      <c r="O72" s="678"/>
      <c r="P72" s="678"/>
    </row>
    <row r="73" spans="1:19" ht="15.75" thickBot="1">
      <c r="A73" s="422" t="s">
        <v>468</v>
      </c>
      <c r="B73" s="732">
        <f>+SUM(B71:B72)</f>
        <v>0</v>
      </c>
      <c r="C73" s="733">
        <f>+SUM(C71+C72)</f>
        <v>0</v>
      </c>
      <c r="D73" s="732">
        <f>+SUM(D71:D72)</f>
        <v>0</v>
      </c>
      <c r="E73" s="733">
        <f>+SUM(E71+E72)</f>
        <v>0</v>
      </c>
      <c r="F73" s="962" t="e">
        <f>+(D71*F71+D72*F72)/D73</f>
        <v>#DIV/0!</v>
      </c>
      <c r="G73" s="732">
        <f>+SUM(G71:G72)</f>
        <v>0</v>
      </c>
      <c r="H73" s="734">
        <f>+H71+H72</f>
        <v>0</v>
      </c>
      <c r="I73" s="733">
        <f>+SUM(I71+I72)</f>
        <v>0</v>
      </c>
      <c r="J73" s="732">
        <f>+SUM(J71:J72)</f>
        <v>0</v>
      </c>
      <c r="K73" s="733">
        <f>+SUM(K71+K72)</f>
        <v>0</v>
      </c>
      <c r="L73" s="966" t="e">
        <f>+(J71*L71+J72*L72)/J73</f>
        <v>#DIV/0!</v>
      </c>
      <c r="M73" s="735">
        <f>+MAX(M71:M72)</f>
        <v>0</v>
      </c>
      <c r="N73" s="736">
        <f>+MIN(N71:N72)</f>
        <v>0</v>
      </c>
      <c r="O73" s="678"/>
      <c r="P73" s="678"/>
    </row>
    <row r="74" spans="1:19">
      <c r="A74" s="423"/>
      <c r="B74" s="424"/>
      <c r="C74" s="425"/>
      <c r="D74" s="424"/>
      <c r="E74" s="425"/>
      <c r="F74" s="426"/>
      <c r="G74" s="424"/>
      <c r="H74" s="424"/>
      <c r="I74" s="425"/>
      <c r="J74" s="424"/>
      <c r="K74" s="425"/>
      <c r="L74" s="427"/>
      <c r="M74" s="427"/>
      <c r="N74" s="427"/>
    </row>
    <row r="75" spans="1:19">
      <c r="A75" s="1072" t="s">
        <v>637</v>
      </c>
      <c r="B75" s="1072"/>
      <c r="C75" s="1072"/>
      <c r="D75" s="1072"/>
      <c r="E75" s="1072"/>
      <c r="F75" s="1072"/>
      <c r="G75" s="1072"/>
      <c r="H75" s="1072"/>
      <c r="I75" s="1072"/>
      <c r="J75" s="1072"/>
      <c r="K75" s="1072"/>
      <c r="L75" s="1072"/>
      <c r="M75" s="1072"/>
      <c r="N75" s="1072"/>
    </row>
    <row r="76" spans="1:19" ht="27.75" customHeight="1">
      <c r="A76" s="1065" t="s">
        <v>639</v>
      </c>
      <c r="B76" s="1065"/>
      <c r="C76" s="1065"/>
      <c r="D76" s="1065"/>
      <c r="E76" s="1065"/>
      <c r="F76" s="1065"/>
      <c r="G76" s="1065"/>
      <c r="H76" s="1065"/>
      <c r="I76" s="1065"/>
      <c r="J76" s="1065"/>
      <c r="K76" s="1065"/>
      <c r="L76" s="1065"/>
      <c r="M76" s="1065"/>
      <c r="N76" s="1065"/>
      <c r="O76" s="13"/>
      <c r="P76" s="13"/>
      <c r="Q76" s="13"/>
      <c r="R76" s="13"/>
      <c r="S76" s="13"/>
    </row>
    <row r="77" spans="1:19" ht="27" customHeight="1">
      <c r="A77" s="1066" t="s">
        <v>638</v>
      </c>
      <c r="B77" s="1066"/>
      <c r="C77" s="1066"/>
      <c r="D77" s="1066"/>
      <c r="E77" s="1066"/>
      <c r="F77" s="1066"/>
      <c r="G77" s="1066"/>
      <c r="H77" s="1066"/>
      <c r="I77" s="1066"/>
      <c r="J77" s="1066"/>
      <c r="K77" s="1066"/>
      <c r="L77" s="1066"/>
      <c r="M77" s="1066"/>
      <c r="N77" s="1066"/>
      <c r="O77" s="14"/>
      <c r="P77" s="14"/>
      <c r="Q77" s="14"/>
      <c r="R77" s="14"/>
      <c r="S77" s="14"/>
    </row>
    <row r="78" spans="1:19">
      <c r="A78" s="1067" t="s">
        <v>640</v>
      </c>
      <c r="B78" s="1067"/>
      <c r="C78" s="1067"/>
      <c r="D78" s="1067"/>
      <c r="E78" s="1067"/>
      <c r="F78" s="1067"/>
      <c r="G78" s="1067"/>
      <c r="H78" s="1067"/>
      <c r="I78" s="1067"/>
      <c r="J78" s="1067"/>
      <c r="K78" s="1067"/>
      <c r="L78" s="1067"/>
      <c r="M78" s="1067"/>
      <c r="N78" s="1067"/>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73" t="s">
        <v>232</v>
      </c>
      <c r="B82" s="1073"/>
      <c r="C82" s="1073"/>
      <c r="D82" s="1073"/>
      <c r="E82" s="1073"/>
      <c r="F82" s="1073"/>
      <c r="G82" s="1073"/>
      <c r="H82" s="1073"/>
      <c r="I82" s="1073"/>
      <c r="J82" s="1073"/>
      <c r="K82" s="1073"/>
      <c r="L82" s="1073"/>
      <c r="M82" s="1073"/>
      <c r="N82" s="1073"/>
    </row>
    <row r="83" spans="1:14">
      <c r="A83" s="1074" t="s">
        <v>233</v>
      </c>
      <c r="B83" s="1074"/>
      <c r="C83" s="1074"/>
      <c r="D83" s="1074"/>
      <c r="E83" s="1074"/>
      <c r="F83" s="1074"/>
      <c r="G83" s="1074"/>
      <c r="H83" s="1074"/>
      <c r="I83" s="1074"/>
      <c r="J83" s="1074"/>
      <c r="K83" s="1074"/>
      <c r="L83" s="1074"/>
      <c r="M83" s="1074"/>
      <c r="N83" s="1074"/>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algorithmName="SHA-512" hashValue="S4QHy8d7Mnx2M+S8aEJk28rX11uyu6jl/4ynqmVqXr1k34LEPctyt5to6u27gax830OLADrWloUc595ufCTllg==" saltValue="YFTJurtzMMPSL26yagc0Rw==" spinCount="100000" sheet="1" objects="1" scenarios="1"/>
  <mergeCells count="21">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 ref="A76:N76"/>
    <mergeCell ref="A77:N77"/>
    <mergeCell ref="A78:N78"/>
    <mergeCell ref="A70:N70"/>
    <mergeCell ref="A75:N75"/>
  </mergeCells>
  <dataValidations xWindow="745" yWindow="574" count="3">
    <dataValidation type="decimal" allowBlank="1" showInputMessage="1" showErrorMessage="1" sqref="B58:B69 D58:D69 G58:G69 J8:J49 J58:J69 G71:G73 D71:D73 B71:B73 D51:D56 G51:G56 B8:B49 D8:D49 G8:G49 J71:J73">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D19" zoomScale="70" zoomScaleNormal="70" workbookViewId="0">
      <selection activeCell="O44" sqref="O44"/>
    </sheetView>
  </sheetViews>
  <sheetFormatPr defaultRowHeight="15"/>
  <cols>
    <col min="1" max="1" width="7.140625" style="80" customWidth="1"/>
    <col min="2" max="2" width="28.85546875" style="80" customWidth="1"/>
    <col min="3" max="3" width="26.42578125" style="80" customWidth="1"/>
    <col min="4" max="4" width="9.85546875" style="80" customWidth="1"/>
    <col min="5" max="5" width="28.140625" style="80" customWidth="1"/>
    <col min="6" max="6" width="9.140625" style="80" customWidth="1"/>
    <col min="7" max="7" width="12.42578125" style="80" customWidth="1"/>
    <col min="8" max="8" width="22.42578125" style="80" customWidth="1"/>
    <col min="9" max="9" width="12.42578125" style="80" customWidth="1"/>
    <col min="10" max="10" width="27.28515625" style="80" customWidth="1"/>
    <col min="11" max="11" width="8.42578125" style="80" customWidth="1"/>
    <col min="12" max="12" width="30" style="80" customWidth="1"/>
    <col min="13" max="13" width="19" style="80" customWidth="1"/>
    <col min="14" max="15" width="10.42578125" style="80" customWidth="1"/>
    <col min="16" max="18" width="9.140625" style="80"/>
    <col min="19" max="16384" width="9.140625" style="63"/>
  </cols>
  <sheetData>
    <row r="1" spans="1:15" ht="30.75" customHeight="1">
      <c r="I1" s="450"/>
      <c r="J1" s="1075" t="s">
        <v>821</v>
      </c>
      <c r="K1" s="1029"/>
      <c r="L1" s="1029"/>
      <c r="M1" s="1029"/>
      <c r="N1" s="1029"/>
      <c r="O1" s="1029"/>
    </row>
    <row r="2" spans="1:15">
      <c r="A2" s="1001" t="s">
        <v>483</v>
      </c>
      <c r="B2" s="1001"/>
      <c r="C2" s="1001"/>
      <c r="D2" s="1001"/>
      <c r="E2" s="1001"/>
      <c r="F2" s="1001"/>
      <c r="G2" s="1001"/>
      <c r="H2" s="1001"/>
      <c r="I2" s="1001"/>
      <c r="J2" s="1001"/>
      <c r="K2" s="1001"/>
      <c r="L2" s="1001"/>
      <c r="M2" s="1001"/>
      <c r="N2" s="1001"/>
      <c r="O2" s="1001"/>
    </row>
    <row r="3" spans="1:15">
      <c r="A3" s="1078" t="str">
        <f>+STATISTICS!A4</f>
        <v>ХАДГАЛАМЖ, ЗЭЭЛИЙН ХОРШООНЫ НЭР</v>
      </c>
      <c r="B3" s="1078"/>
      <c r="C3" s="1078"/>
      <c r="D3" s="1078"/>
      <c r="E3" s="1078"/>
      <c r="F3" s="1078"/>
      <c r="G3" s="1078"/>
      <c r="H3" s="1078"/>
      <c r="I3" s="1078"/>
      <c r="J3" s="1078"/>
      <c r="K3" s="1078"/>
      <c r="L3" s="1078"/>
      <c r="M3" s="1078"/>
      <c r="N3" s="1078"/>
      <c r="O3" s="1078"/>
    </row>
    <row r="4" spans="1:15">
      <c r="A4" s="1001" t="s">
        <v>4</v>
      </c>
      <c r="B4" s="1001"/>
      <c r="C4" s="1001"/>
      <c r="D4" s="1001"/>
      <c r="E4" s="1001"/>
      <c r="F4" s="1001"/>
      <c r="G4" s="1001"/>
      <c r="H4" s="1001"/>
      <c r="I4" s="1001"/>
      <c r="J4" s="1001"/>
      <c r="K4" s="1001"/>
      <c r="L4" s="1001"/>
      <c r="M4" s="1001"/>
      <c r="N4" s="1001"/>
      <c r="O4" s="1001"/>
    </row>
    <row r="5" spans="1:15" ht="15.75" thickBot="1">
      <c r="A5" s="1128" t="str">
        <f>+STATISTICS!A7</f>
        <v>Огноо</v>
      </c>
      <c r="B5" s="1128"/>
      <c r="C5" s="136"/>
      <c r="D5" s="136"/>
      <c r="E5" s="136"/>
      <c r="F5" s="136"/>
      <c r="G5" s="136"/>
      <c r="H5" s="136"/>
      <c r="I5" s="136"/>
      <c r="J5" s="136"/>
      <c r="K5" s="136"/>
      <c r="L5" s="136"/>
      <c r="M5" s="136"/>
      <c r="N5" s="136"/>
      <c r="O5" s="451" t="s">
        <v>5</v>
      </c>
    </row>
    <row r="6" spans="1:15" ht="39" thickBot="1">
      <c r="A6" s="452" t="s">
        <v>237</v>
      </c>
      <c r="B6" s="453" t="s">
        <v>484</v>
      </c>
      <c r="C6" s="454" t="s">
        <v>485</v>
      </c>
      <c r="D6" s="455" t="s">
        <v>486</v>
      </c>
      <c r="E6" s="456" t="s">
        <v>487</v>
      </c>
      <c r="F6" s="457" t="s">
        <v>486</v>
      </c>
      <c r="G6" s="458" t="s">
        <v>488</v>
      </c>
      <c r="H6" s="458" t="s">
        <v>572</v>
      </c>
      <c r="I6" s="459" t="s">
        <v>489</v>
      </c>
      <c r="J6" s="460" t="s">
        <v>490</v>
      </c>
      <c r="K6" s="457" t="s">
        <v>486</v>
      </c>
      <c r="L6" s="461" t="s">
        <v>491</v>
      </c>
      <c r="M6" s="457" t="s">
        <v>486</v>
      </c>
      <c r="N6" s="458" t="s">
        <v>492</v>
      </c>
      <c r="O6" s="459" t="s">
        <v>493</v>
      </c>
    </row>
    <row r="7" spans="1:15" ht="15.75" thickBot="1">
      <c r="A7" s="1125" t="s">
        <v>499</v>
      </c>
      <c r="B7" s="1126"/>
      <c r="C7" s="1126"/>
      <c r="D7" s="1126"/>
      <c r="E7" s="1126"/>
      <c r="F7" s="1126"/>
      <c r="G7" s="1126"/>
      <c r="H7" s="1126"/>
      <c r="I7" s="1126"/>
      <c r="J7" s="1126"/>
      <c r="K7" s="1126"/>
      <c r="L7" s="1126"/>
      <c r="M7" s="1126"/>
      <c r="N7" s="1126"/>
      <c r="O7" s="1127"/>
    </row>
    <row r="8" spans="1:15">
      <c r="A8" s="462">
        <v>1</v>
      </c>
      <c r="B8" s="737"/>
      <c r="C8" s="429"/>
      <c r="D8" s="430"/>
      <c r="E8" s="429"/>
      <c r="F8" s="431"/>
      <c r="G8" s="935"/>
      <c r="H8" s="799">
        <f>+E8*G8</f>
        <v>0</v>
      </c>
      <c r="I8" s="1099" t="e">
        <f>H18/E18</f>
        <v>#DIV/0!</v>
      </c>
      <c r="J8" s="432"/>
      <c r="K8" s="433"/>
      <c r="L8" s="978">
        <f>+C8+E8-J8</f>
        <v>0</v>
      </c>
      <c r="M8" s="978">
        <f>+D8+F8-K8</f>
        <v>0</v>
      </c>
      <c r="N8" s="937"/>
      <c r="O8" s="938"/>
    </row>
    <row r="9" spans="1:15">
      <c r="A9" s="463">
        <v>2</v>
      </c>
      <c r="B9" s="738"/>
      <c r="C9" s="435"/>
      <c r="D9" s="436"/>
      <c r="E9" s="435"/>
      <c r="F9" s="437"/>
      <c r="G9" s="936"/>
      <c r="H9" s="799">
        <f t="shared" ref="H9:H17" si="0">+E9*G9</f>
        <v>0</v>
      </c>
      <c r="I9" s="1099"/>
      <c r="J9" s="438"/>
      <c r="K9" s="436"/>
      <c r="L9" s="978">
        <f t="shared" ref="L9:L17" si="1">+C9+E9-J9</f>
        <v>0</v>
      </c>
      <c r="M9" s="978">
        <f t="shared" ref="M9:M17" si="2">+D9+F9-K9</f>
        <v>0</v>
      </c>
      <c r="N9" s="439"/>
      <c r="O9" s="939"/>
    </row>
    <row r="10" spans="1:15">
      <c r="A10" s="463">
        <v>3</v>
      </c>
      <c r="B10" s="738"/>
      <c r="C10" s="435"/>
      <c r="D10" s="436"/>
      <c r="E10" s="435"/>
      <c r="F10" s="437"/>
      <c r="G10" s="936"/>
      <c r="H10" s="799">
        <f t="shared" si="0"/>
        <v>0</v>
      </c>
      <c r="I10" s="1099"/>
      <c r="J10" s="438"/>
      <c r="K10" s="436"/>
      <c r="L10" s="978">
        <f t="shared" si="1"/>
        <v>0</v>
      </c>
      <c r="M10" s="978">
        <f t="shared" si="2"/>
        <v>0</v>
      </c>
      <c r="N10" s="439"/>
      <c r="O10" s="939"/>
    </row>
    <row r="11" spans="1:15">
      <c r="A11" s="463">
        <v>4</v>
      </c>
      <c r="B11" s="738"/>
      <c r="C11" s="435"/>
      <c r="D11" s="436"/>
      <c r="E11" s="435"/>
      <c r="F11" s="437"/>
      <c r="G11" s="936"/>
      <c r="H11" s="799">
        <f t="shared" si="0"/>
        <v>0</v>
      </c>
      <c r="I11" s="1099"/>
      <c r="J11" s="438"/>
      <c r="K11" s="436"/>
      <c r="L11" s="978">
        <f t="shared" si="1"/>
        <v>0</v>
      </c>
      <c r="M11" s="978">
        <f t="shared" si="2"/>
        <v>0</v>
      </c>
      <c r="N11" s="439"/>
      <c r="O11" s="939"/>
    </row>
    <row r="12" spans="1:15">
      <c r="A12" s="463">
        <v>5</v>
      </c>
      <c r="B12" s="738"/>
      <c r="C12" s="435"/>
      <c r="D12" s="436"/>
      <c r="E12" s="435"/>
      <c r="F12" s="437"/>
      <c r="G12" s="936"/>
      <c r="H12" s="799">
        <f t="shared" si="0"/>
        <v>0</v>
      </c>
      <c r="I12" s="1099"/>
      <c r="J12" s="438"/>
      <c r="K12" s="436"/>
      <c r="L12" s="978">
        <f t="shared" si="1"/>
        <v>0</v>
      </c>
      <c r="M12" s="978">
        <f t="shared" si="2"/>
        <v>0</v>
      </c>
      <c r="N12" s="439"/>
      <c r="O12" s="939"/>
    </row>
    <row r="13" spans="1:15">
      <c r="A13" s="463">
        <v>6</v>
      </c>
      <c r="B13" s="738"/>
      <c r="C13" s="435"/>
      <c r="D13" s="436"/>
      <c r="E13" s="435"/>
      <c r="F13" s="437"/>
      <c r="G13" s="936"/>
      <c r="H13" s="799">
        <f t="shared" si="0"/>
        <v>0</v>
      </c>
      <c r="I13" s="1099"/>
      <c r="J13" s="438"/>
      <c r="K13" s="436"/>
      <c r="L13" s="978">
        <f t="shared" si="1"/>
        <v>0</v>
      </c>
      <c r="M13" s="978">
        <f t="shared" si="2"/>
        <v>0</v>
      </c>
      <c r="N13" s="439"/>
      <c r="O13" s="939"/>
    </row>
    <row r="14" spans="1:15">
      <c r="A14" s="463">
        <v>7</v>
      </c>
      <c r="B14" s="738"/>
      <c r="C14" s="435"/>
      <c r="D14" s="436"/>
      <c r="E14" s="435"/>
      <c r="F14" s="437"/>
      <c r="G14" s="936"/>
      <c r="H14" s="799">
        <f t="shared" si="0"/>
        <v>0</v>
      </c>
      <c r="I14" s="1099"/>
      <c r="J14" s="438"/>
      <c r="K14" s="436"/>
      <c r="L14" s="978">
        <f t="shared" si="1"/>
        <v>0</v>
      </c>
      <c r="M14" s="978">
        <f t="shared" si="2"/>
        <v>0</v>
      </c>
      <c r="N14" s="439"/>
      <c r="O14" s="939"/>
    </row>
    <row r="15" spans="1:15">
      <c r="A15" s="463">
        <v>8</v>
      </c>
      <c r="B15" s="738"/>
      <c r="C15" s="435"/>
      <c r="D15" s="436"/>
      <c r="E15" s="435"/>
      <c r="F15" s="437"/>
      <c r="G15" s="936"/>
      <c r="H15" s="799">
        <f t="shared" si="0"/>
        <v>0</v>
      </c>
      <c r="I15" s="1099"/>
      <c r="J15" s="438"/>
      <c r="K15" s="436"/>
      <c r="L15" s="978">
        <f t="shared" si="1"/>
        <v>0</v>
      </c>
      <c r="M15" s="978">
        <f t="shared" si="2"/>
        <v>0</v>
      </c>
      <c r="N15" s="439"/>
      <c r="O15" s="939"/>
    </row>
    <row r="16" spans="1:15">
      <c r="A16" s="463">
        <v>9</v>
      </c>
      <c r="B16" s="738"/>
      <c r="C16" s="435"/>
      <c r="D16" s="436"/>
      <c r="E16" s="435"/>
      <c r="F16" s="437"/>
      <c r="G16" s="936"/>
      <c r="H16" s="799">
        <f t="shared" si="0"/>
        <v>0</v>
      </c>
      <c r="I16" s="1099"/>
      <c r="J16" s="438"/>
      <c r="K16" s="436"/>
      <c r="L16" s="978">
        <f t="shared" si="1"/>
        <v>0</v>
      </c>
      <c r="M16" s="978">
        <f t="shared" si="2"/>
        <v>0</v>
      </c>
      <c r="N16" s="439"/>
      <c r="O16" s="939"/>
    </row>
    <row r="17" spans="1:16" ht="15.75" thickBot="1">
      <c r="A17" s="464">
        <v>10</v>
      </c>
      <c r="B17" s="738"/>
      <c r="C17" s="440"/>
      <c r="D17" s="441"/>
      <c r="E17" s="440"/>
      <c r="F17" s="437"/>
      <c r="G17" s="936"/>
      <c r="H17" s="799">
        <f t="shared" si="0"/>
        <v>0</v>
      </c>
      <c r="I17" s="1100"/>
      <c r="J17" s="438"/>
      <c r="K17" s="436"/>
      <c r="L17" s="978">
        <f t="shared" si="1"/>
        <v>0</v>
      </c>
      <c r="M17" s="978">
        <f t="shared" si="2"/>
        <v>0</v>
      </c>
      <c r="N17" s="439"/>
      <c r="O17" s="939"/>
    </row>
    <row r="18" spans="1:16" ht="15.75" thickBot="1">
      <c r="A18" s="1119" t="s">
        <v>494</v>
      </c>
      <c r="B18" s="1120"/>
      <c r="C18" s="465">
        <f>+SUM(C8:C17)</f>
        <v>0</v>
      </c>
      <c r="D18" s="466">
        <f>+SUM(D8:D17)</f>
        <v>0</v>
      </c>
      <c r="E18" s="465">
        <f>+SUM(E8:E17)</f>
        <v>0</v>
      </c>
      <c r="F18" s="467">
        <f>+SUM(F8:F17)</f>
        <v>0</v>
      </c>
      <c r="G18" s="468"/>
      <c r="H18" s="469">
        <f>SUM(H8:H17)</f>
        <v>0</v>
      </c>
      <c r="I18" s="940" t="e">
        <f>+(E8*G8+E9*G9+E10*G10+E11*G11+E12*G12+E13*G13+E14*G14+E15*G15+E16*G16+E17*G17)/E18</f>
        <v>#DIV/0!</v>
      </c>
      <c r="J18" s="465">
        <f>+SUM(J8:J17)</f>
        <v>0</v>
      </c>
      <c r="K18" s="470">
        <f>+SUM(K8:K17)</f>
        <v>0</v>
      </c>
      <c r="L18" s="471">
        <f>+SUM(L8:L17)</f>
        <v>0</v>
      </c>
      <c r="M18" s="472">
        <f>+SUM(M8:M17)</f>
        <v>0</v>
      </c>
      <c r="N18" s="473">
        <f>+MAX(N8:N17)</f>
        <v>0</v>
      </c>
      <c r="O18" s="474">
        <f>+MIN(O8:O17)</f>
        <v>0</v>
      </c>
    </row>
    <row r="19" spans="1:16" ht="15.75" thickBot="1">
      <c r="A19" s="1125" t="s">
        <v>500</v>
      </c>
      <c r="B19" s="1126"/>
      <c r="C19" s="1126"/>
      <c r="D19" s="1126"/>
      <c r="E19" s="1126"/>
      <c r="F19" s="1126"/>
      <c r="G19" s="1126"/>
      <c r="H19" s="1126"/>
      <c r="I19" s="1126"/>
      <c r="J19" s="1126"/>
      <c r="K19" s="1126"/>
      <c r="L19" s="1126"/>
      <c r="M19" s="1126"/>
      <c r="N19" s="1126"/>
      <c r="O19" s="1127"/>
    </row>
    <row r="20" spans="1:16">
      <c r="A20" s="462">
        <v>1</v>
      </c>
      <c r="B20" s="737"/>
      <c r="C20" s="429"/>
      <c r="D20" s="430"/>
      <c r="E20" s="429"/>
      <c r="F20" s="431"/>
      <c r="G20" s="935"/>
      <c r="H20" s="799">
        <f>+E20*G20</f>
        <v>0</v>
      </c>
      <c r="I20" s="1099" t="e">
        <f>H30/E30</f>
        <v>#DIV/0!</v>
      </c>
      <c r="J20" s="432"/>
      <c r="K20" s="433"/>
      <c r="L20" s="978">
        <f t="shared" ref="L20:M29" si="3">+C20+E20-J20</f>
        <v>0</v>
      </c>
      <c r="M20" s="978">
        <f t="shared" si="3"/>
        <v>0</v>
      </c>
      <c r="N20" s="937"/>
      <c r="O20" s="938"/>
    </row>
    <row r="21" spans="1:16">
      <c r="A21" s="463">
        <v>2</v>
      </c>
      <c r="B21" s="738"/>
      <c r="C21" s="435"/>
      <c r="D21" s="436"/>
      <c r="E21" s="435"/>
      <c r="F21" s="437"/>
      <c r="G21" s="936"/>
      <c r="H21" s="799">
        <f t="shared" ref="H21:H29" si="4">+E21*G21</f>
        <v>0</v>
      </c>
      <c r="I21" s="1099"/>
      <c r="J21" s="438"/>
      <c r="K21" s="436"/>
      <c r="L21" s="978">
        <f t="shared" si="3"/>
        <v>0</v>
      </c>
      <c r="M21" s="978">
        <f t="shared" si="3"/>
        <v>0</v>
      </c>
      <c r="N21" s="439"/>
      <c r="O21" s="939"/>
    </row>
    <row r="22" spans="1:16">
      <c r="A22" s="463">
        <v>3</v>
      </c>
      <c r="B22" s="738"/>
      <c r="C22" s="435"/>
      <c r="D22" s="436"/>
      <c r="E22" s="435"/>
      <c r="F22" s="437"/>
      <c r="G22" s="936"/>
      <c r="H22" s="799">
        <f t="shared" si="4"/>
        <v>0</v>
      </c>
      <c r="I22" s="1099"/>
      <c r="J22" s="438"/>
      <c r="K22" s="436"/>
      <c r="L22" s="978">
        <f t="shared" si="3"/>
        <v>0</v>
      </c>
      <c r="M22" s="978">
        <f t="shared" si="3"/>
        <v>0</v>
      </c>
      <c r="N22" s="439"/>
      <c r="O22" s="939"/>
    </row>
    <row r="23" spans="1:16">
      <c r="A23" s="463">
        <v>4</v>
      </c>
      <c r="B23" s="738"/>
      <c r="C23" s="435"/>
      <c r="D23" s="436"/>
      <c r="E23" s="435"/>
      <c r="F23" s="437"/>
      <c r="G23" s="936"/>
      <c r="H23" s="799">
        <f t="shared" si="4"/>
        <v>0</v>
      </c>
      <c r="I23" s="1099"/>
      <c r="J23" s="438"/>
      <c r="K23" s="436"/>
      <c r="L23" s="978">
        <f t="shared" si="3"/>
        <v>0</v>
      </c>
      <c r="M23" s="978">
        <f t="shared" si="3"/>
        <v>0</v>
      </c>
      <c r="N23" s="439"/>
      <c r="O23" s="939"/>
    </row>
    <row r="24" spans="1:16">
      <c r="A24" s="463">
        <v>5</v>
      </c>
      <c r="B24" s="738"/>
      <c r="C24" s="435"/>
      <c r="D24" s="436"/>
      <c r="E24" s="435"/>
      <c r="F24" s="437"/>
      <c r="G24" s="936"/>
      <c r="H24" s="799">
        <f t="shared" si="4"/>
        <v>0</v>
      </c>
      <c r="I24" s="1099"/>
      <c r="J24" s="438"/>
      <c r="K24" s="436"/>
      <c r="L24" s="978">
        <f t="shared" si="3"/>
        <v>0</v>
      </c>
      <c r="M24" s="978">
        <f t="shared" si="3"/>
        <v>0</v>
      </c>
      <c r="N24" s="439"/>
      <c r="O24" s="939"/>
    </row>
    <row r="25" spans="1:16">
      <c r="A25" s="463">
        <v>6</v>
      </c>
      <c r="B25" s="738"/>
      <c r="C25" s="435"/>
      <c r="D25" s="436"/>
      <c r="E25" s="435"/>
      <c r="F25" s="437"/>
      <c r="G25" s="936"/>
      <c r="H25" s="799">
        <f t="shared" si="4"/>
        <v>0</v>
      </c>
      <c r="I25" s="1099"/>
      <c r="J25" s="438"/>
      <c r="K25" s="436"/>
      <c r="L25" s="978">
        <f t="shared" si="3"/>
        <v>0</v>
      </c>
      <c r="M25" s="978">
        <f t="shared" si="3"/>
        <v>0</v>
      </c>
      <c r="N25" s="439"/>
      <c r="O25" s="939"/>
    </row>
    <row r="26" spans="1:16">
      <c r="A26" s="463">
        <v>7</v>
      </c>
      <c r="B26" s="738"/>
      <c r="C26" s="435"/>
      <c r="D26" s="436"/>
      <c r="E26" s="435"/>
      <c r="F26" s="437"/>
      <c r="G26" s="936"/>
      <c r="H26" s="799">
        <f t="shared" si="4"/>
        <v>0</v>
      </c>
      <c r="I26" s="1099"/>
      <c r="J26" s="438"/>
      <c r="K26" s="436"/>
      <c r="L26" s="978">
        <f t="shared" si="3"/>
        <v>0</v>
      </c>
      <c r="M26" s="978">
        <f t="shared" si="3"/>
        <v>0</v>
      </c>
      <c r="N26" s="439"/>
      <c r="O26" s="939"/>
    </row>
    <row r="27" spans="1:16">
      <c r="A27" s="463">
        <v>8</v>
      </c>
      <c r="B27" s="738"/>
      <c r="C27" s="435"/>
      <c r="D27" s="436"/>
      <c r="E27" s="435"/>
      <c r="F27" s="437"/>
      <c r="G27" s="936"/>
      <c r="H27" s="799">
        <f t="shared" si="4"/>
        <v>0</v>
      </c>
      <c r="I27" s="1099"/>
      <c r="J27" s="438"/>
      <c r="K27" s="436"/>
      <c r="L27" s="978">
        <f t="shared" si="3"/>
        <v>0</v>
      </c>
      <c r="M27" s="978">
        <f t="shared" si="3"/>
        <v>0</v>
      </c>
      <c r="N27" s="439"/>
      <c r="O27" s="939"/>
    </row>
    <row r="28" spans="1:16">
      <c r="A28" s="463">
        <v>9</v>
      </c>
      <c r="B28" s="738"/>
      <c r="C28" s="435"/>
      <c r="D28" s="436"/>
      <c r="E28" s="435"/>
      <c r="F28" s="437"/>
      <c r="G28" s="936"/>
      <c r="H28" s="799">
        <f t="shared" si="4"/>
        <v>0</v>
      </c>
      <c r="I28" s="1099"/>
      <c r="J28" s="438"/>
      <c r="K28" s="436"/>
      <c r="L28" s="978">
        <f t="shared" si="3"/>
        <v>0</v>
      </c>
      <c r="M28" s="978">
        <f t="shared" si="3"/>
        <v>0</v>
      </c>
      <c r="N28" s="439"/>
      <c r="O28" s="939"/>
    </row>
    <row r="29" spans="1:16" ht="15.75" thickBot="1">
      <c r="A29" s="464">
        <v>10</v>
      </c>
      <c r="B29" s="738"/>
      <c r="C29" s="440"/>
      <c r="D29" s="441"/>
      <c r="E29" s="440"/>
      <c r="F29" s="437"/>
      <c r="G29" s="936"/>
      <c r="H29" s="799">
        <f t="shared" si="4"/>
        <v>0</v>
      </c>
      <c r="I29" s="1100"/>
      <c r="J29" s="438"/>
      <c r="K29" s="436"/>
      <c r="L29" s="978">
        <f t="shared" si="3"/>
        <v>0</v>
      </c>
      <c r="M29" s="978">
        <f t="shared" si="3"/>
        <v>0</v>
      </c>
      <c r="N29" s="439"/>
      <c r="O29" s="939"/>
    </row>
    <row r="30" spans="1:16" ht="15.75" thickBot="1">
      <c r="A30" s="1119" t="s">
        <v>494</v>
      </c>
      <c r="B30" s="1120"/>
      <c r="C30" s="475">
        <f>+SUM(C20:C29)</f>
        <v>0</v>
      </c>
      <c r="D30" s="476">
        <f>+SUM(D20:D29)</f>
        <v>0</v>
      </c>
      <c r="E30" s="475">
        <f>+SUM(E20:E29)</f>
        <v>0</v>
      </c>
      <c r="F30" s="477">
        <f>+SUM(F20:F29)</f>
        <v>0</v>
      </c>
      <c r="G30" s="478"/>
      <c r="H30" s="479">
        <f>SUM(H20:H29)</f>
        <v>0</v>
      </c>
      <c r="I30" s="941" t="e">
        <f>+(E20*G20+E21*G21+E22*G22+E23*G23+E24*G24+E25*G25+E26*G26+E27*G27+E28*G28+E29*G29)/E30</f>
        <v>#DIV/0!</v>
      </c>
      <c r="J30" s="475">
        <f>+SUM(J20:J29)</f>
        <v>0</v>
      </c>
      <c r="K30" s="480">
        <f>+SUM(K20:K29)</f>
        <v>0</v>
      </c>
      <c r="L30" s="481">
        <f>+SUM(L20:L29)</f>
        <v>0</v>
      </c>
      <c r="M30" s="482">
        <f>+SUM(M20:M29)</f>
        <v>0</v>
      </c>
      <c r="N30" s="483">
        <f>+MAX(N20:N29)</f>
        <v>0</v>
      </c>
      <c r="O30" s="484">
        <f>+MIN(O20:O29)</f>
        <v>0</v>
      </c>
    </row>
    <row r="31" spans="1:16" ht="15.75" thickBot="1">
      <c r="A31" s="1121" t="s">
        <v>468</v>
      </c>
      <c r="B31" s="1122"/>
      <c r="C31" s="471">
        <f>+C18+C30</f>
        <v>0</v>
      </c>
      <c r="D31" s="470">
        <f>+D18+D30</f>
        <v>0</v>
      </c>
      <c r="E31" s="465">
        <f>+E18+E30</f>
        <v>0</v>
      </c>
      <c r="F31" s="472">
        <f>+F18+F30</f>
        <v>0</v>
      </c>
      <c r="G31" s="468"/>
      <c r="H31" s="469">
        <f>+H18+H30</f>
        <v>0</v>
      </c>
      <c r="I31" s="485" t="e">
        <f>+(E8*G8+E9*G9+E10*G10+E11*G11+E12*G12+E13*G13+E14*G14+E15*G15+E16*G16+E17*G17+E20*G20+E21*G21+E22*G22+E23*G23+E24*G24+E25*G25+E26*G26+E27*G27+E28*G28+E29*G29)/E31</f>
        <v>#DIV/0!</v>
      </c>
      <c r="J31" s="465">
        <f>+J18+J30</f>
        <v>0</v>
      </c>
      <c r="K31" s="470">
        <f>+K18+K30</f>
        <v>0</v>
      </c>
      <c r="L31" s="471">
        <f>+L18+L30</f>
        <v>0</v>
      </c>
      <c r="M31" s="472">
        <f>+M18+M30</f>
        <v>0</v>
      </c>
      <c r="N31" s="486">
        <f>+MAX(N8:N17,N20:N29)</f>
        <v>0</v>
      </c>
      <c r="O31" s="487">
        <f>+MIN(O8:O17,O20:O29)</f>
        <v>0</v>
      </c>
      <c r="P31" s="488" t="str">
        <f>+IF(L31=BALANCESHEET!G12,"","Балансын дүнгээс зөрүүтэй байна")</f>
        <v/>
      </c>
    </row>
    <row r="32" spans="1:16" ht="39" thickBot="1">
      <c r="A32" s="489" t="s">
        <v>237</v>
      </c>
      <c r="B32" s="490" t="s">
        <v>495</v>
      </c>
      <c r="C32" s="491" t="s">
        <v>496</v>
      </c>
      <c r="D32" s="492" t="s">
        <v>486</v>
      </c>
      <c r="E32" s="493" t="s">
        <v>497</v>
      </c>
      <c r="F32" s="494" t="s">
        <v>486</v>
      </c>
      <c r="G32" s="495" t="s">
        <v>488</v>
      </c>
      <c r="H32" s="458" t="s">
        <v>572</v>
      </c>
      <c r="I32" s="496" t="s">
        <v>489</v>
      </c>
      <c r="J32" s="497" t="s">
        <v>490</v>
      </c>
      <c r="K32" s="494" t="s">
        <v>486</v>
      </c>
      <c r="L32" s="498" t="s">
        <v>498</v>
      </c>
      <c r="M32" s="494" t="s">
        <v>486</v>
      </c>
      <c r="N32" s="495" t="s">
        <v>492</v>
      </c>
      <c r="O32" s="496" t="s">
        <v>493</v>
      </c>
    </row>
    <row r="33" spans="1:15" ht="15.75" thickBot="1">
      <c r="A33" s="1125" t="s">
        <v>501</v>
      </c>
      <c r="B33" s="1126"/>
      <c r="C33" s="1126"/>
      <c r="D33" s="1126"/>
      <c r="E33" s="1126"/>
      <c r="F33" s="1126"/>
      <c r="G33" s="1126"/>
      <c r="H33" s="1126"/>
      <c r="I33" s="1126"/>
      <c r="J33" s="1126"/>
      <c r="K33" s="1126"/>
      <c r="L33" s="1126"/>
      <c r="M33" s="1126"/>
      <c r="N33" s="1126"/>
      <c r="O33" s="1127"/>
    </row>
    <row r="34" spans="1:15">
      <c r="A34" s="499">
        <v>1</v>
      </c>
      <c r="B34" s="739"/>
      <c r="C34" s="442"/>
      <c r="D34" s="443"/>
      <c r="E34" s="442"/>
      <c r="F34" s="434"/>
      <c r="G34" s="935"/>
      <c r="H34" s="799">
        <f>+E34*G34</f>
        <v>0</v>
      </c>
      <c r="I34" s="1099" t="e">
        <f>H44/E44</f>
        <v>#DIV/0!</v>
      </c>
      <c r="J34" s="432"/>
      <c r="K34" s="433"/>
      <c r="L34" s="978">
        <f t="shared" ref="L34:L43" si="5">+C34+E34-J34</f>
        <v>0</v>
      </c>
      <c r="M34" s="978">
        <f t="shared" ref="M34:M43" si="6">+D34+F34-K34</f>
        <v>0</v>
      </c>
      <c r="N34" s="937"/>
      <c r="O34" s="938"/>
    </row>
    <row r="35" spans="1:15">
      <c r="A35" s="500">
        <v>2</v>
      </c>
      <c r="B35" s="740"/>
      <c r="C35" s="438"/>
      <c r="D35" s="444"/>
      <c r="E35" s="438"/>
      <c r="F35" s="437"/>
      <c r="G35" s="936"/>
      <c r="H35" s="799">
        <f t="shared" ref="H35:H43" si="7">+E35*G35</f>
        <v>0</v>
      </c>
      <c r="I35" s="1099"/>
      <c r="J35" s="438"/>
      <c r="K35" s="436"/>
      <c r="L35" s="978">
        <f t="shared" si="5"/>
        <v>0</v>
      </c>
      <c r="M35" s="978">
        <f t="shared" si="6"/>
        <v>0</v>
      </c>
      <c r="N35" s="439"/>
      <c r="O35" s="939"/>
    </row>
    <row r="36" spans="1:15">
      <c r="A36" s="500">
        <v>3</v>
      </c>
      <c r="B36" s="740"/>
      <c r="C36" s="438"/>
      <c r="D36" s="444"/>
      <c r="E36" s="438"/>
      <c r="F36" s="437"/>
      <c r="G36" s="936"/>
      <c r="H36" s="799">
        <f t="shared" si="7"/>
        <v>0</v>
      </c>
      <c r="I36" s="1099"/>
      <c r="J36" s="438"/>
      <c r="K36" s="436"/>
      <c r="L36" s="978">
        <f t="shared" si="5"/>
        <v>0</v>
      </c>
      <c r="M36" s="978">
        <f t="shared" si="6"/>
        <v>0</v>
      </c>
      <c r="N36" s="439"/>
      <c r="O36" s="939"/>
    </row>
    <row r="37" spans="1:15">
      <c r="A37" s="500">
        <v>4</v>
      </c>
      <c r="B37" s="740"/>
      <c r="C37" s="438"/>
      <c r="D37" s="444"/>
      <c r="E37" s="438"/>
      <c r="F37" s="437"/>
      <c r="G37" s="936"/>
      <c r="H37" s="799">
        <f t="shared" si="7"/>
        <v>0</v>
      </c>
      <c r="I37" s="1099"/>
      <c r="J37" s="438"/>
      <c r="K37" s="436"/>
      <c r="L37" s="978">
        <f t="shared" si="5"/>
        <v>0</v>
      </c>
      <c r="M37" s="978">
        <f t="shared" si="6"/>
        <v>0</v>
      </c>
      <c r="N37" s="439"/>
      <c r="O37" s="939"/>
    </row>
    <row r="38" spans="1:15">
      <c r="A38" s="500">
        <v>5</v>
      </c>
      <c r="B38" s="740"/>
      <c r="C38" s="438"/>
      <c r="D38" s="444"/>
      <c r="E38" s="438"/>
      <c r="F38" s="437"/>
      <c r="G38" s="936"/>
      <c r="H38" s="799">
        <f t="shared" si="7"/>
        <v>0</v>
      </c>
      <c r="I38" s="1099"/>
      <c r="J38" s="438"/>
      <c r="K38" s="436"/>
      <c r="L38" s="978">
        <f t="shared" si="5"/>
        <v>0</v>
      </c>
      <c r="M38" s="978">
        <f t="shared" si="6"/>
        <v>0</v>
      </c>
      <c r="N38" s="439"/>
      <c r="O38" s="939"/>
    </row>
    <row r="39" spans="1:15">
      <c r="A39" s="500">
        <v>6</v>
      </c>
      <c r="B39" s="740"/>
      <c r="C39" s="438"/>
      <c r="D39" s="444"/>
      <c r="E39" s="438"/>
      <c r="F39" s="437"/>
      <c r="G39" s="936"/>
      <c r="H39" s="799">
        <f t="shared" si="7"/>
        <v>0</v>
      </c>
      <c r="I39" s="1099"/>
      <c r="J39" s="438"/>
      <c r="K39" s="436"/>
      <c r="L39" s="978">
        <f t="shared" si="5"/>
        <v>0</v>
      </c>
      <c r="M39" s="978">
        <f t="shared" si="6"/>
        <v>0</v>
      </c>
      <c r="N39" s="439"/>
      <c r="O39" s="939"/>
    </row>
    <row r="40" spans="1:15">
      <c r="A40" s="500">
        <v>7</v>
      </c>
      <c r="B40" s="740"/>
      <c r="C40" s="438"/>
      <c r="D40" s="444"/>
      <c r="E40" s="438"/>
      <c r="F40" s="437"/>
      <c r="G40" s="936"/>
      <c r="H40" s="799">
        <f>+E40*G40</f>
        <v>0</v>
      </c>
      <c r="I40" s="1099"/>
      <c r="J40" s="438"/>
      <c r="K40" s="436"/>
      <c r="L40" s="978">
        <f t="shared" si="5"/>
        <v>0</v>
      </c>
      <c r="M40" s="978">
        <f t="shared" si="6"/>
        <v>0</v>
      </c>
      <c r="N40" s="439"/>
      <c r="O40" s="939"/>
    </row>
    <row r="41" spans="1:15">
      <c r="A41" s="500">
        <v>8</v>
      </c>
      <c r="B41" s="740"/>
      <c r="C41" s="438"/>
      <c r="D41" s="444"/>
      <c r="E41" s="438"/>
      <c r="F41" s="437"/>
      <c r="G41" s="936"/>
      <c r="H41" s="799">
        <f t="shared" si="7"/>
        <v>0</v>
      </c>
      <c r="I41" s="1099"/>
      <c r="J41" s="438"/>
      <c r="K41" s="436"/>
      <c r="L41" s="978">
        <f t="shared" si="5"/>
        <v>0</v>
      </c>
      <c r="M41" s="978">
        <f t="shared" si="6"/>
        <v>0</v>
      </c>
      <c r="N41" s="439"/>
      <c r="O41" s="939"/>
    </row>
    <row r="42" spans="1:15">
      <c r="A42" s="500">
        <v>9</v>
      </c>
      <c r="B42" s="740"/>
      <c r="C42" s="438"/>
      <c r="D42" s="444"/>
      <c r="E42" s="438"/>
      <c r="F42" s="437"/>
      <c r="G42" s="936"/>
      <c r="H42" s="799">
        <f t="shared" si="7"/>
        <v>0</v>
      </c>
      <c r="I42" s="1099"/>
      <c r="J42" s="438"/>
      <c r="K42" s="436"/>
      <c r="L42" s="978">
        <f t="shared" si="5"/>
        <v>0</v>
      </c>
      <c r="M42" s="978">
        <f t="shared" si="6"/>
        <v>0</v>
      </c>
      <c r="N42" s="439"/>
      <c r="O42" s="939"/>
    </row>
    <row r="43" spans="1:15" ht="15.75" thickBot="1">
      <c r="A43" s="501">
        <v>10</v>
      </c>
      <c r="B43" s="740"/>
      <c r="C43" s="438"/>
      <c r="D43" s="444"/>
      <c r="E43" s="445"/>
      <c r="F43" s="437"/>
      <c r="G43" s="936"/>
      <c r="H43" s="799">
        <f t="shared" si="7"/>
        <v>0</v>
      </c>
      <c r="I43" s="1100"/>
      <c r="J43" s="438"/>
      <c r="K43" s="436"/>
      <c r="L43" s="978">
        <f t="shared" si="5"/>
        <v>0</v>
      </c>
      <c r="M43" s="978">
        <f t="shared" si="6"/>
        <v>0</v>
      </c>
      <c r="N43" s="439"/>
      <c r="O43" s="939"/>
    </row>
    <row r="44" spans="1:15" ht="15.75" thickBot="1">
      <c r="A44" s="1119" t="s">
        <v>494</v>
      </c>
      <c r="B44" s="1120"/>
      <c r="C44" s="465">
        <f>+SUM(C34:C43)</f>
        <v>0</v>
      </c>
      <c r="D44" s="466">
        <f>+SUM(D34:D43)</f>
        <v>0</v>
      </c>
      <c r="E44" s="465">
        <f>+SUM(E34:E43)</f>
        <v>0</v>
      </c>
      <c r="F44" s="467">
        <f>+SUM(F34:F43)</f>
        <v>0</v>
      </c>
      <c r="G44" s="468"/>
      <c r="H44" s="469">
        <f>SUM(H34:H43)</f>
        <v>0</v>
      </c>
      <c r="I44" s="942" t="e">
        <f>+(E34*G34+E35*G35+E36*G36+E37*G37+E38*G38+E39*G39+E40*G40+E41*G41+E42*G42+E43*G43)/E44</f>
        <v>#DIV/0!</v>
      </c>
      <c r="J44" s="465">
        <f>+SUM(J34:J43)</f>
        <v>0</v>
      </c>
      <c r="K44" s="470">
        <f>+SUM(K34:K43)</f>
        <v>0</v>
      </c>
      <c r="L44" s="471">
        <f>+SUM(L34:L43)</f>
        <v>0</v>
      </c>
      <c r="M44" s="472">
        <f>+SUM(M34:M43)</f>
        <v>0</v>
      </c>
      <c r="N44" s="486">
        <f>+MAX(N34:N43)</f>
        <v>0</v>
      </c>
      <c r="O44" s="487">
        <f>+MIN(O34:O43)</f>
        <v>0</v>
      </c>
    </row>
    <row r="45" spans="1:15" ht="15.75" thickBot="1">
      <c r="A45" s="1125" t="s">
        <v>502</v>
      </c>
      <c r="B45" s="1126"/>
      <c r="C45" s="1126"/>
      <c r="D45" s="1126"/>
      <c r="E45" s="1126"/>
      <c r="F45" s="1126"/>
      <c r="G45" s="1126"/>
      <c r="H45" s="1126"/>
      <c r="I45" s="1126"/>
      <c r="J45" s="1126"/>
      <c r="K45" s="1126"/>
      <c r="L45" s="1126"/>
      <c r="M45" s="1126"/>
      <c r="N45" s="1126"/>
      <c r="O45" s="1127"/>
    </row>
    <row r="46" spans="1:15">
      <c r="A46" s="499">
        <v>1</v>
      </c>
      <c r="B46" s="739"/>
      <c r="C46" s="442"/>
      <c r="D46" s="443"/>
      <c r="E46" s="442"/>
      <c r="F46" s="434"/>
      <c r="G46" s="935"/>
      <c r="H46" s="799">
        <f>+E46*G46</f>
        <v>0</v>
      </c>
      <c r="I46" s="1099" t="e">
        <f>H56/E56</f>
        <v>#DIV/0!</v>
      </c>
      <c r="J46" s="432"/>
      <c r="K46" s="433"/>
      <c r="L46" s="978">
        <f t="shared" ref="L46:L54" si="8">+C46+E46-J46</f>
        <v>0</v>
      </c>
      <c r="M46" s="978">
        <f t="shared" ref="M46:M55" si="9">+D46+F46-K46</f>
        <v>0</v>
      </c>
      <c r="N46" s="937"/>
      <c r="O46" s="938"/>
    </row>
    <row r="47" spans="1:15">
      <c r="A47" s="500">
        <v>2</v>
      </c>
      <c r="B47" s="740"/>
      <c r="C47" s="438"/>
      <c r="D47" s="444"/>
      <c r="E47" s="438"/>
      <c r="F47" s="437"/>
      <c r="G47" s="936"/>
      <c r="H47" s="799">
        <f t="shared" ref="H47:H55" si="10">+E47*G47</f>
        <v>0</v>
      </c>
      <c r="I47" s="1099"/>
      <c r="J47" s="438"/>
      <c r="K47" s="436"/>
      <c r="L47" s="978">
        <f t="shared" si="8"/>
        <v>0</v>
      </c>
      <c r="M47" s="978">
        <f t="shared" si="9"/>
        <v>0</v>
      </c>
      <c r="N47" s="439"/>
      <c r="O47" s="939"/>
    </row>
    <row r="48" spans="1:15">
      <c r="A48" s="500">
        <v>3</v>
      </c>
      <c r="B48" s="740"/>
      <c r="C48" s="438"/>
      <c r="D48" s="444"/>
      <c r="E48" s="438"/>
      <c r="F48" s="437"/>
      <c r="G48" s="936"/>
      <c r="H48" s="799">
        <f t="shared" si="10"/>
        <v>0</v>
      </c>
      <c r="I48" s="1099"/>
      <c r="J48" s="438"/>
      <c r="K48" s="436"/>
      <c r="L48" s="978">
        <f t="shared" si="8"/>
        <v>0</v>
      </c>
      <c r="M48" s="978">
        <f t="shared" si="9"/>
        <v>0</v>
      </c>
      <c r="N48" s="439"/>
      <c r="O48" s="939"/>
    </row>
    <row r="49" spans="1:17">
      <c r="A49" s="500">
        <v>4</v>
      </c>
      <c r="B49" s="740"/>
      <c r="C49" s="438"/>
      <c r="D49" s="444"/>
      <c r="E49" s="438"/>
      <c r="F49" s="437"/>
      <c r="G49" s="936"/>
      <c r="H49" s="799">
        <f t="shared" si="10"/>
        <v>0</v>
      </c>
      <c r="I49" s="1099"/>
      <c r="J49" s="438"/>
      <c r="K49" s="436"/>
      <c r="L49" s="978">
        <f t="shared" si="8"/>
        <v>0</v>
      </c>
      <c r="M49" s="978">
        <f t="shared" si="9"/>
        <v>0</v>
      </c>
      <c r="N49" s="439"/>
      <c r="O49" s="939"/>
    </row>
    <row r="50" spans="1:17">
      <c r="A50" s="500">
        <v>5</v>
      </c>
      <c r="B50" s="740"/>
      <c r="C50" s="438"/>
      <c r="D50" s="444"/>
      <c r="E50" s="438"/>
      <c r="F50" s="437"/>
      <c r="G50" s="936"/>
      <c r="H50" s="799">
        <f t="shared" si="10"/>
        <v>0</v>
      </c>
      <c r="I50" s="1099"/>
      <c r="J50" s="438"/>
      <c r="K50" s="436"/>
      <c r="L50" s="978">
        <f t="shared" si="8"/>
        <v>0</v>
      </c>
      <c r="M50" s="978">
        <f t="shared" si="9"/>
        <v>0</v>
      </c>
      <c r="N50" s="439"/>
      <c r="O50" s="939"/>
    </row>
    <row r="51" spans="1:17">
      <c r="A51" s="500">
        <v>6</v>
      </c>
      <c r="B51" s="740"/>
      <c r="C51" s="438"/>
      <c r="D51" s="444"/>
      <c r="E51" s="438"/>
      <c r="F51" s="437"/>
      <c r="G51" s="936"/>
      <c r="H51" s="799">
        <f t="shared" si="10"/>
        <v>0</v>
      </c>
      <c r="I51" s="1099"/>
      <c r="J51" s="438"/>
      <c r="K51" s="436"/>
      <c r="L51" s="978">
        <f t="shared" si="8"/>
        <v>0</v>
      </c>
      <c r="M51" s="978">
        <f t="shared" si="9"/>
        <v>0</v>
      </c>
      <c r="N51" s="439"/>
      <c r="O51" s="939"/>
    </row>
    <row r="52" spans="1:17">
      <c r="A52" s="500">
        <v>7</v>
      </c>
      <c r="B52" s="740"/>
      <c r="C52" s="438"/>
      <c r="D52" s="444"/>
      <c r="E52" s="438"/>
      <c r="F52" s="437"/>
      <c r="G52" s="936"/>
      <c r="H52" s="799">
        <f t="shared" si="10"/>
        <v>0</v>
      </c>
      <c r="I52" s="1099"/>
      <c r="J52" s="438"/>
      <c r="K52" s="436"/>
      <c r="L52" s="978">
        <f t="shared" si="8"/>
        <v>0</v>
      </c>
      <c r="M52" s="978">
        <f t="shared" si="9"/>
        <v>0</v>
      </c>
      <c r="N52" s="439"/>
      <c r="O52" s="939"/>
    </row>
    <row r="53" spans="1:17">
      <c r="A53" s="500">
        <v>8</v>
      </c>
      <c r="B53" s="740"/>
      <c r="C53" s="438"/>
      <c r="D53" s="444"/>
      <c r="E53" s="438"/>
      <c r="F53" s="437"/>
      <c r="G53" s="936"/>
      <c r="H53" s="799">
        <f t="shared" si="10"/>
        <v>0</v>
      </c>
      <c r="I53" s="1099"/>
      <c r="J53" s="438"/>
      <c r="K53" s="436"/>
      <c r="L53" s="978">
        <f t="shared" si="8"/>
        <v>0</v>
      </c>
      <c r="M53" s="978">
        <f t="shared" si="9"/>
        <v>0</v>
      </c>
      <c r="N53" s="439"/>
      <c r="O53" s="939"/>
    </row>
    <row r="54" spans="1:17">
      <c r="A54" s="500">
        <v>9</v>
      </c>
      <c r="B54" s="740"/>
      <c r="C54" s="438"/>
      <c r="D54" s="444"/>
      <c r="E54" s="438"/>
      <c r="F54" s="437"/>
      <c r="G54" s="936"/>
      <c r="H54" s="799">
        <f t="shared" si="10"/>
        <v>0</v>
      </c>
      <c r="I54" s="1099"/>
      <c r="J54" s="438"/>
      <c r="K54" s="436"/>
      <c r="L54" s="978">
        <f t="shared" si="8"/>
        <v>0</v>
      </c>
      <c r="M54" s="978">
        <f t="shared" si="9"/>
        <v>0</v>
      </c>
      <c r="N54" s="439"/>
      <c r="O54" s="939"/>
    </row>
    <row r="55" spans="1:17" ht="15.75" thickBot="1">
      <c r="A55" s="501">
        <v>10</v>
      </c>
      <c r="B55" s="740"/>
      <c r="C55" s="438"/>
      <c r="D55" s="444"/>
      <c r="E55" s="445"/>
      <c r="F55" s="437"/>
      <c r="G55" s="936"/>
      <c r="H55" s="799">
        <f t="shared" si="10"/>
        <v>0</v>
      </c>
      <c r="I55" s="1100"/>
      <c r="J55" s="438"/>
      <c r="K55" s="436"/>
      <c r="L55" s="978">
        <f>+C55+E55-J55</f>
        <v>0</v>
      </c>
      <c r="M55" s="978">
        <f t="shared" si="9"/>
        <v>0</v>
      </c>
      <c r="N55" s="439"/>
      <c r="O55" s="939"/>
    </row>
    <row r="56" spans="1:17" ht="15.75" thickBot="1">
      <c r="A56" s="1119" t="s">
        <v>494</v>
      </c>
      <c r="B56" s="1120"/>
      <c r="C56" s="465">
        <f>+SUM(C46:C55)</f>
        <v>0</v>
      </c>
      <c r="D56" s="466">
        <f>+SUM(D46:D55)</f>
        <v>0</v>
      </c>
      <c r="E56" s="465">
        <f>+SUM(E46:E55)</f>
        <v>0</v>
      </c>
      <c r="F56" s="467">
        <f>+SUM(F46:F55)</f>
        <v>0</v>
      </c>
      <c r="G56" s="468"/>
      <c r="H56" s="469">
        <f>SUM(H46:H55)</f>
        <v>0</v>
      </c>
      <c r="I56" s="942" t="e">
        <f>+(E46*G46+E47*G47+E48*G48+E49*G49+E50*G50+E51*G51+E52*G52+E53*G53+E54*G54+E55*G55)/E56</f>
        <v>#DIV/0!</v>
      </c>
      <c r="J56" s="465">
        <f>+SUM(J46:J55)</f>
        <v>0</v>
      </c>
      <c r="K56" s="470">
        <f>+SUM(K46:K55)</f>
        <v>0</v>
      </c>
      <c r="L56" s="471">
        <f>+SUM(L46:L55)</f>
        <v>0</v>
      </c>
      <c r="M56" s="472">
        <f>+SUM(M46:M55)</f>
        <v>0</v>
      </c>
      <c r="N56" s="486">
        <f>+MAX(N46:N55)</f>
        <v>0</v>
      </c>
      <c r="O56" s="487">
        <f>+MIN(O46:O55)</f>
        <v>0</v>
      </c>
    </row>
    <row r="57" spans="1:17" ht="15.75" thickBot="1">
      <c r="A57" s="1121" t="s">
        <v>468</v>
      </c>
      <c r="B57" s="1122"/>
      <c r="C57" s="471">
        <f>+C44+C56</f>
        <v>0</v>
      </c>
      <c r="D57" s="470">
        <f>+D44+D56</f>
        <v>0</v>
      </c>
      <c r="E57" s="465">
        <f>+E44+E56</f>
        <v>0</v>
      </c>
      <c r="F57" s="472">
        <f>+F44+F56</f>
        <v>0</v>
      </c>
      <c r="G57" s="468"/>
      <c r="H57" s="469">
        <f>+H44+H56</f>
        <v>0</v>
      </c>
      <c r="I57" s="485" t="e">
        <f>+(E34*G34+E35*G35+E36*G36+E37*G37+E38*G38+E39*G39+E40*G40+E41*G41+E42*G42+E43*G43+E46*G46+E47*G47+E48*G48+E49*G49+E50*G50+E51*G51+E52*G52+E53*G53+E54*G54+E55*G55)/E57</f>
        <v>#DIV/0!</v>
      </c>
      <c r="J57" s="465">
        <f>+J44+J56</f>
        <v>0</v>
      </c>
      <c r="K57" s="470">
        <f>+K44+K56</f>
        <v>0</v>
      </c>
      <c r="L57" s="471">
        <f>+L44+L56</f>
        <v>0</v>
      </c>
      <c r="M57" s="472">
        <f>+M44+M56</f>
        <v>0</v>
      </c>
      <c r="N57" s="486">
        <f>+MAX(N34:N43,N46:N55)</f>
        <v>0</v>
      </c>
      <c r="O57" s="487">
        <f>+MIN(O34:O43,O46:O55)</f>
        <v>0</v>
      </c>
      <c r="P57" s="488" t="str">
        <f>+IF(L57=BALANCESHEET!G13,"","Балансын дүнгээс зөрүүтэй байна")</f>
        <v/>
      </c>
    </row>
    <row r="58" spans="1:17" ht="15.75" thickBot="1">
      <c r="A58" s="1101" t="s">
        <v>503</v>
      </c>
      <c r="B58" s="1102"/>
      <c r="C58" s="1102"/>
      <c r="D58" s="1102"/>
      <c r="E58" s="1102"/>
      <c r="F58" s="1102"/>
      <c r="G58" s="1102"/>
      <c r="H58" s="1102"/>
      <c r="I58" s="1102"/>
      <c r="J58" s="1102"/>
      <c r="K58" s="1102"/>
      <c r="L58" s="1102"/>
      <c r="M58" s="1102"/>
      <c r="N58" s="1102"/>
      <c r="O58" s="1103"/>
    </row>
    <row r="59" spans="1:17">
      <c r="A59" s="1104" t="s">
        <v>611</v>
      </c>
      <c r="B59" s="1105"/>
      <c r="C59" s="1105"/>
      <c r="D59" s="1105"/>
      <c r="E59" s="432"/>
      <c r="F59" s="446"/>
      <c r="G59" s="1111" t="s">
        <v>482</v>
      </c>
      <c r="H59" s="1111"/>
      <c r="I59" s="1111"/>
      <c r="J59" s="432"/>
      <c r="K59" s="446"/>
      <c r="L59" s="1111" t="s">
        <v>482</v>
      </c>
      <c r="M59" s="1111"/>
      <c r="N59" s="1111"/>
      <c r="O59" s="1112"/>
    </row>
    <row r="60" spans="1:17">
      <c r="A60" s="1106" t="s">
        <v>612</v>
      </c>
      <c r="B60" s="1107"/>
      <c r="C60" s="1107"/>
      <c r="D60" s="1107"/>
      <c r="E60" s="438"/>
      <c r="F60" s="447"/>
      <c r="G60" s="1113"/>
      <c r="H60" s="1113"/>
      <c r="I60" s="1113"/>
      <c r="J60" s="438"/>
      <c r="K60" s="447"/>
      <c r="L60" s="1113"/>
      <c r="M60" s="1113"/>
      <c r="N60" s="1113"/>
      <c r="O60" s="1114"/>
      <c r="Q60" s="421"/>
    </row>
    <row r="61" spans="1:17">
      <c r="A61" s="1106" t="s">
        <v>613</v>
      </c>
      <c r="B61" s="1107"/>
      <c r="C61" s="1107"/>
      <c r="D61" s="1107"/>
      <c r="E61" s="438"/>
      <c r="F61" s="447"/>
      <c r="G61" s="1113"/>
      <c r="H61" s="1113"/>
      <c r="I61" s="1113"/>
      <c r="J61" s="438"/>
      <c r="K61" s="447"/>
      <c r="L61" s="1113"/>
      <c r="M61" s="1113"/>
      <c r="N61" s="1113"/>
      <c r="O61" s="1114"/>
      <c r="Q61" s="421"/>
    </row>
    <row r="62" spans="1:17">
      <c r="A62" s="1106" t="s">
        <v>796</v>
      </c>
      <c r="B62" s="1107"/>
      <c r="C62" s="1107"/>
      <c r="D62" s="1107"/>
      <c r="E62" s="438"/>
      <c r="F62" s="447"/>
      <c r="G62" s="1113"/>
      <c r="H62" s="1113"/>
      <c r="I62" s="1113"/>
      <c r="J62" s="438"/>
      <c r="K62" s="447"/>
      <c r="L62" s="1113"/>
      <c r="M62" s="1113"/>
      <c r="N62" s="1113"/>
      <c r="O62" s="1114"/>
      <c r="Q62" s="421"/>
    </row>
    <row r="63" spans="1:17">
      <c r="A63" s="1106" t="s">
        <v>504</v>
      </c>
      <c r="B63" s="1107"/>
      <c r="C63" s="1107"/>
      <c r="D63" s="1107"/>
      <c r="E63" s="438"/>
      <c r="F63" s="447"/>
      <c r="G63" s="1113"/>
      <c r="H63" s="1113"/>
      <c r="I63" s="1113"/>
      <c r="J63" s="438"/>
      <c r="K63" s="447"/>
      <c r="L63" s="1113"/>
      <c r="M63" s="1113"/>
      <c r="N63" s="1113"/>
      <c r="O63" s="1114"/>
    </row>
    <row r="64" spans="1:17">
      <c r="A64" s="1106" t="s">
        <v>614</v>
      </c>
      <c r="B64" s="1107"/>
      <c r="C64" s="1107"/>
      <c r="D64" s="1107"/>
      <c r="E64" s="438"/>
      <c r="F64" s="447"/>
      <c r="G64" s="1113"/>
      <c r="H64" s="1113"/>
      <c r="I64" s="1113"/>
      <c r="J64" s="438"/>
      <c r="K64" s="447"/>
      <c r="L64" s="1113"/>
      <c r="M64" s="1113"/>
      <c r="N64" s="1113"/>
      <c r="O64" s="1114"/>
    </row>
    <row r="65" spans="1:15" ht="15.75" thickBot="1">
      <c r="A65" s="1117" t="s">
        <v>505</v>
      </c>
      <c r="B65" s="1118"/>
      <c r="C65" s="1118"/>
      <c r="D65" s="1118"/>
      <c r="E65" s="448"/>
      <c r="F65" s="449"/>
      <c r="G65" s="1113"/>
      <c r="H65" s="1113"/>
      <c r="I65" s="1113"/>
      <c r="J65" s="448"/>
      <c r="K65" s="449"/>
      <c r="L65" s="1113"/>
      <c r="M65" s="1113"/>
      <c r="N65" s="1113"/>
      <c r="O65" s="1114"/>
    </row>
    <row r="66" spans="1:15" ht="15.75" thickBot="1">
      <c r="A66" s="1124" t="s">
        <v>468</v>
      </c>
      <c r="B66" s="1010"/>
      <c r="C66" s="1010"/>
      <c r="D66" s="1010"/>
      <c r="E66" s="502">
        <f>+SUM(E59:E65)</f>
        <v>0</v>
      </c>
      <c r="F66" s="503">
        <f>+SUM(F59:F65)</f>
        <v>0</v>
      </c>
      <c r="G66" s="1115"/>
      <c r="H66" s="1115"/>
      <c r="I66" s="1115"/>
      <c r="J66" s="502">
        <f>+SUM(J59:J65)</f>
        <v>0</v>
      </c>
      <c r="K66" s="503">
        <f>+SUM(K59:K65)</f>
        <v>0</v>
      </c>
      <c r="L66" s="1115"/>
      <c r="M66" s="1115"/>
      <c r="N66" s="1115"/>
      <c r="O66" s="1116"/>
    </row>
    <row r="68" spans="1:15">
      <c r="A68" s="504"/>
      <c r="B68" s="504"/>
      <c r="C68" s="505"/>
      <c r="D68" s="506"/>
      <c r="E68" s="1072" t="s">
        <v>637</v>
      </c>
      <c r="F68" s="1123"/>
      <c r="G68" s="1123"/>
      <c r="H68" s="1123"/>
      <c r="I68" s="1123"/>
      <c r="J68" s="1123"/>
      <c r="K68" s="1123"/>
      <c r="L68" s="1123"/>
      <c r="M68" s="1123"/>
      <c r="N68" s="1123"/>
      <c r="O68" s="1123"/>
    </row>
    <row r="69" spans="1:15">
      <c r="A69" s="1109" t="s">
        <v>549</v>
      </c>
      <c r="B69" s="1052"/>
      <c r="C69" s="1052"/>
      <c r="D69" s="1052"/>
      <c r="E69" s="1052"/>
      <c r="F69" s="1052"/>
      <c r="G69" s="1052"/>
      <c r="H69" s="1052"/>
      <c r="I69" s="1052"/>
      <c r="J69" s="1052"/>
      <c r="K69" s="1052"/>
      <c r="L69" s="1052"/>
      <c r="M69" s="1052"/>
      <c r="N69" s="1052"/>
      <c r="O69" s="1052"/>
    </row>
    <row r="70" spans="1:15">
      <c r="A70" s="1109" t="s">
        <v>550</v>
      </c>
      <c r="B70" s="1052"/>
      <c r="C70" s="1052"/>
      <c r="D70" s="1052"/>
      <c r="E70" s="1052"/>
      <c r="F70" s="1052"/>
      <c r="G70" s="1052"/>
      <c r="H70" s="1052"/>
      <c r="I70" s="1052"/>
      <c r="J70" s="1052"/>
      <c r="K70" s="1052"/>
      <c r="L70" s="1052"/>
      <c r="M70" s="1052"/>
      <c r="N70" s="1052"/>
      <c r="O70" s="1052"/>
    </row>
    <row r="71" spans="1:15">
      <c r="A71" s="1110" t="s">
        <v>551</v>
      </c>
      <c r="B71" s="1052"/>
      <c r="C71" s="1052"/>
      <c r="D71" s="1052"/>
      <c r="E71" s="1052"/>
      <c r="F71" s="1052"/>
      <c r="G71" s="1052"/>
      <c r="H71" s="1052"/>
      <c r="I71" s="1052"/>
      <c r="J71" s="1052"/>
      <c r="K71" s="1052"/>
      <c r="L71" s="1052"/>
      <c r="M71" s="1052"/>
      <c r="N71" s="1052"/>
      <c r="O71" s="1052"/>
    </row>
    <row r="72" spans="1:15">
      <c r="A72" s="1110" t="s">
        <v>552</v>
      </c>
      <c r="B72" s="1052"/>
      <c r="C72" s="1052"/>
      <c r="D72" s="1052"/>
      <c r="E72" s="1052"/>
      <c r="F72" s="1052"/>
      <c r="G72" s="1052"/>
      <c r="H72" s="1052"/>
      <c r="I72" s="1052"/>
      <c r="J72" s="1052"/>
      <c r="K72" s="1052"/>
      <c r="L72" s="1052"/>
      <c r="M72" s="1052"/>
      <c r="N72" s="1052"/>
      <c r="O72" s="1052"/>
    </row>
    <row r="73" spans="1:15">
      <c r="A73" s="1110" t="s">
        <v>553</v>
      </c>
      <c r="B73" s="1052"/>
      <c r="C73" s="1052"/>
      <c r="D73" s="1052"/>
      <c r="E73" s="1052"/>
      <c r="F73" s="1052"/>
      <c r="G73" s="1052"/>
      <c r="H73" s="1052"/>
      <c r="I73" s="1052"/>
      <c r="J73" s="1052"/>
      <c r="K73" s="1052"/>
      <c r="L73" s="1052"/>
      <c r="M73" s="1052"/>
      <c r="N73" s="1052"/>
      <c r="O73" s="1052"/>
    </row>
    <row r="74" spans="1:15">
      <c r="A74" s="1108" t="s">
        <v>778</v>
      </c>
      <c r="B74" s="1108"/>
      <c r="C74" s="1108"/>
      <c r="D74" s="1108"/>
      <c r="E74" s="1108"/>
      <c r="F74" s="1108"/>
      <c r="G74" s="1108"/>
      <c r="H74" s="1108"/>
      <c r="I74" s="1108"/>
      <c r="J74" s="1108"/>
      <c r="K74" s="1108"/>
      <c r="L74" s="1108"/>
      <c r="M74" s="1108"/>
      <c r="N74" s="1108"/>
      <c r="O74" s="1108"/>
    </row>
    <row r="76" spans="1:15">
      <c r="A76" s="1001" t="s">
        <v>232</v>
      </c>
      <c r="B76" s="1001"/>
      <c r="C76" s="1001"/>
      <c r="D76" s="1001"/>
      <c r="E76" s="1001"/>
      <c r="F76" s="1001"/>
      <c r="G76" s="1001"/>
      <c r="H76" s="1001"/>
      <c r="I76" s="1001"/>
      <c r="J76" s="1001"/>
      <c r="K76" s="1001"/>
      <c r="L76" s="1001"/>
      <c r="M76" s="1001"/>
      <c r="N76" s="1001"/>
      <c r="O76" s="1001"/>
    </row>
    <row r="77" spans="1:15">
      <c r="A77" s="1074" t="s">
        <v>233</v>
      </c>
      <c r="B77" s="1074"/>
      <c r="C77" s="1074"/>
      <c r="D77" s="1074"/>
      <c r="E77" s="1074"/>
      <c r="F77" s="1074"/>
      <c r="G77" s="1074"/>
      <c r="H77" s="1074"/>
      <c r="I77" s="1074"/>
      <c r="J77" s="1074"/>
      <c r="K77" s="1074"/>
      <c r="L77" s="1074"/>
      <c r="M77" s="1074"/>
      <c r="N77" s="1074"/>
      <c r="O77" s="1074"/>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algorithmName="SHA-512" hashValue="KAdH3j4YFlb2F9bCIi4TPMZPUb1Vd81gP0a34vJ4ZzLF59XJrfaEp31/kXU1ZrmwHPfZHZG/Hh9RDMuFagtQCA==" saltValue="8kKA0l8FUCuIvHB1rE1CIA==" spinCount="100000" sheet="1" objects="1" scenarios="1"/>
  <mergeCells count="39">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 ref="A56:B56"/>
    <mergeCell ref="A57:B57"/>
    <mergeCell ref="A77:O77"/>
    <mergeCell ref="A76:O76"/>
    <mergeCell ref="E68:O68"/>
    <mergeCell ref="A66:D66"/>
    <mergeCell ref="A61:D61"/>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C20:C31 C34:C44 C46:C57 E46:E57 E34:E44 E20:E31 E8:E18 J59:J66 H8:H18 H20:H31 H34:H44 J46:J57 L44 L18 J34:J44 L30:L31 J20:J31 J8:J18 H46:H57 E59:E66 L56:L57">
      <formula1>0</formula1>
      <formula2>1E+21</formula2>
    </dataValidation>
    <dataValidation type="whole" allowBlank="1" showInputMessage="1" showErrorMessage="1" sqref="R50 F59:F66 K59:K66 D46:D57 F46:F57 K46:K57 M44 M30:M31 K34:K44 F34:F44 D34:D44 D20:D31 F20:F32 K20:K31 M18 D8:D18 K8:K18 F8:F18 M56:M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1001" t="s">
        <v>506</v>
      </c>
      <c r="B2" s="1001"/>
      <c r="C2" s="1001"/>
      <c r="D2" s="1001"/>
      <c r="E2" s="1001"/>
      <c r="F2" s="1001"/>
      <c r="G2" s="1001"/>
      <c r="H2" s="1001"/>
      <c r="I2" s="1001"/>
      <c r="J2" s="518"/>
      <c r="K2" s="518"/>
      <c r="L2" s="507"/>
    </row>
    <row r="3" spans="1:12">
      <c r="A3" s="1078" t="str">
        <f>+STATISTICS!A4</f>
        <v>ХАДГАЛАМЖ, ЗЭЭЛИЙН ХОРШООНЫ НЭР</v>
      </c>
      <c r="B3" s="1078"/>
      <c r="C3" s="1078"/>
      <c r="D3" s="1078"/>
      <c r="E3" s="1078"/>
      <c r="F3" s="1078"/>
      <c r="G3" s="1078"/>
      <c r="H3" s="1078"/>
      <c r="I3" s="1078"/>
      <c r="J3" s="519"/>
      <c r="K3" s="519"/>
      <c r="L3" s="508"/>
    </row>
    <row r="4" spans="1:12">
      <c r="A4" s="1001" t="s">
        <v>4</v>
      </c>
      <c r="B4" s="1001"/>
      <c r="C4" s="1001"/>
      <c r="D4" s="1001"/>
      <c r="E4" s="1001"/>
      <c r="F4" s="1001"/>
      <c r="G4" s="1001"/>
      <c r="H4" s="1001"/>
      <c r="I4" s="1001"/>
      <c r="J4" s="518"/>
      <c r="K4" s="518"/>
      <c r="L4" s="507"/>
    </row>
    <row r="6" spans="1:12" ht="15.75" thickBot="1">
      <c r="A6" s="389" t="str">
        <f>+STATISTICS!A7</f>
        <v>Огноо</v>
      </c>
      <c r="B6" s="136"/>
      <c r="C6" s="136"/>
      <c r="D6" s="136"/>
      <c r="E6" s="136"/>
      <c r="F6" s="136"/>
      <c r="G6" s="136"/>
      <c r="H6" s="136"/>
      <c r="I6" s="451" t="s">
        <v>5</v>
      </c>
      <c r="J6" s="136"/>
    </row>
    <row r="7" spans="1:12" ht="51">
      <c r="A7" s="1148" t="s">
        <v>507</v>
      </c>
      <c r="B7" s="1149"/>
      <c r="C7" s="1150"/>
      <c r="D7" s="520" t="s">
        <v>510</v>
      </c>
      <c r="E7" s="521" t="s">
        <v>511</v>
      </c>
      <c r="F7" s="521" t="s">
        <v>512</v>
      </c>
      <c r="G7" s="521" t="s">
        <v>513</v>
      </c>
      <c r="H7" s="521" t="s">
        <v>514</v>
      </c>
      <c r="I7" s="522" t="s">
        <v>509</v>
      </c>
      <c r="J7" s="136"/>
    </row>
    <row r="8" spans="1:12">
      <c r="A8" s="1132" t="s">
        <v>516</v>
      </c>
      <c r="B8" s="1133"/>
      <c r="C8" s="523" t="s">
        <v>517</v>
      </c>
      <c r="D8" s="509"/>
      <c r="E8" s="510"/>
      <c r="F8" s="510"/>
      <c r="G8" s="510"/>
      <c r="H8" s="510"/>
      <c r="I8" s="524">
        <f t="shared" ref="I8:I16" si="0">SUM(D8:H8)</f>
        <v>0</v>
      </c>
      <c r="J8" s="136"/>
    </row>
    <row r="9" spans="1:12">
      <c r="A9" s="1134"/>
      <c r="B9" s="1135"/>
      <c r="C9" s="523" t="s">
        <v>518</v>
      </c>
      <c r="D9" s="509"/>
      <c r="E9" s="510"/>
      <c r="F9" s="510"/>
      <c r="G9" s="510"/>
      <c r="H9" s="510"/>
      <c r="I9" s="524">
        <f t="shared" si="0"/>
        <v>0</v>
      </c>
      <c r="J9" s="136"/>
    </row>
    <row r="10" spans="1:12">
      <c r="A10" s="1136" t="s">
        <v>519</v>
      </c>
      <c r="B10" s="1139" t="s">
        <v>520</v>
      </c>
      <c r="C10" s="1140"/>
      <c r="D10" s="511"/>
      <c r="E10" s="512"/>
      <c r="F10" s="512"/>
      <c r="G10" s="512"/>
      <c r="H10" s="512"/>
      <c r="I10" s="525">
        <f t="shared" si="0"/>
        <v>0</v>
      </c>
      <c r="J10" s="136"/>
    </row>
    <row r="11" spans="1:12">
      <c r="A11" s="1137"/>
      <c r="B11" s="1141" t="s">
        <v>521</v>
      </c>
      <c r="C11" s="523" t="s">
        <v>522</v>
      </c>
      <c r="D11" s="511"/>
      <c r="E11" s="512"/>
      <c r="F11" s="512"/>
      <c r="G11" s="512"/>
      <c r="H11" s="512"/>
      <c r="I11" s="525">
        <f t="shared" si="0"/>
        <v>0</v>
      </c>
      <c r="J11" s="136"/>
    </row>
    <row r="12" spans="1:12">
      <c r="A12" s="1137"/>
      <c r="B12" s="1130"/>
      <c r="C12" s="523" t="s">
        <v>419</v>
      </c>
      <c r="D12" s="511"/>
      <c r="E12" s="512"/>
      <c r="F12" s="512"/>
      <c r="G12" s="512"/>
      <c r="H12" s="512"/>
      <c r="I12" s="525">
        <f t="shared" si="0"/>
        <v>0</v>
      </c>
      <c r="J12" s="136"/>
    </row>
    <row r="13" spans="1:12">
      <c r="A13" s="1137"/>
      <c r="B13" s="1131"/>
      <c r="C13" s="523" t="s">
        <v>523</v>
      </c>
      <c r="D13" s="511"/>
      <c r="E13" s="512"/>
      <c r="F13" s="512"/>
      <c r="G13" s="512"/>
      <c r="H13" s="512"/>
      <c r="I13" s="525">
        <f t="shared" si="0"/>
        <v>0</v>
      </c>
      <c r="J13" s="136"/>
    </row>
    <row r="14" spans="1:12">
      <c r="A14" s="1138"/>
      <c r="B14" s="1139" t="s">
        <v>524</v>
      </c>
      <c r="C14" s="1140"/>
      <c r="D14" s="513"/>
      <c r="E14" s="514"/>
      <c r="F14" s="514"/>
      <c r="G14" s="514"/>
      <c r="H14" s="514"/>
      <c r="I14" s="525">
        <f t="shared" si="0"/>
        <v>0</v>
      </c>
      <c r="J14" s="136"/>
    </row>
    <row r="15" spans="1:12">
      <c r="A15" s="1144" t="s">
        <v>525</v>
      </c>
      <c r="B15" s="1133"/>
      <c r="C15" s="523" t="s">
        <v>526</v>
      </c>
      <c r="D15" s="509"/>
      <c r="E15" s="510"/>
      <c r="F15" s="510"/>
      <c r="G15" s="510"/>
      <c r="H15" s="510"/>
      <c r="I15" s="524">
        <f t="shared" si="0"/>
        <v>0</v>
      </c>
      <c r="J15" s="136"/>
    </row>
    <row r="16" spans="1:12">
      <c r="A16" s="1134"/>
      <c r="B16" s="1135"/>
      <c r="C16" s="523" t="s">
        <v>527</v>
      </c>
      <c r="D16" s="509"/>
      <c r="E16" s="510"/>
      <c r="F16" s="510"/>
      <c r="G16" s="510"/>
      <c r="H16" s="510"/>
      <c r="I16" s="524">
        <f t="shared" si="0"/>
        <v>0</v>
      </c>
      <c r="J16" s="136"/>
    </row>
    <row r="17" spans="1:11">
      <c r="A17" s="1136" t="s">
        <v>528</v>
      </c>
      <c r="B17" s="1145" t="s">
        <v>529</v>
      </c>
      <c r="C17" s="1140"/>
      <c r="D17" s="515"/>
      <c r="E17" s="439"/>
      <c r="F17" s="439"/>
      <c r="G17" s="439"/>
      <c r="H17" s="439"/>
      <c r="I17" s="526">
        <f>+MAX(D17:H17)</f>
        <v>0</v>
      </c>
      <c r="J17" s="136"/>
    </row>
    <row r="18" spans="1:11">
      <c r="A18" s="1137"/>
      <c r="B18" s="1145" t="s">
        <v>530</v>
      </c>
      <c r="C18" s="1140"/>
      <c r="D18" s="515"/>
      <c r="E18" s="439"/>
      <c r="F18" s="439"/>
      <c r="G18" s="439"/>
      <c r="H18" s="439"/>
      <c r="I18" s="526">
        <f>+MIN(D18:H18)</f>
        <v>0</v>
      </c>
      <c r="J18" s="136"/>
    </row>
    <row r="19" spans="1:11">
      <c r="A19" s="1137"/>
      <c r="B19" s="1146" t="s">
        <v>531</v>
      </c>
      <c r="C19" s="527" t="s">
        <v>532</v>
      </c>
      <c r="D19" s="515"/>
      <c r="E19" s="515"/>
      <c r="F19" s="515"/>
      <c r="G19" s="515"/>
      <c r="H19" s="515"/>
      <c r="I19" s="528">
        <f>SUM(D19:H19)</f>
        <v>0</v>
      </c>
      <c r="K19" s="529"/>
    </row>
    <row r="20" spans="1:11">
      <c r="A20" s="1138"/>
      <c r="B20" s="1147"/>
      <c r="C20" s="527" t="s">
        <v>533</v>
      </c>
      <c r="D20" s="515"/>
      <c r="E20" s="515"/>
      <c r="F20" s="515"/>
      <c r="G20" s="515"/>
      <c r="H20" s="515"/>
      <c r="I20" s="528">
        <f>SUM(D20:H20)</f>
        <v>0</v>
      </c>
      <c r="J20" s="136"/>
    </row>
    <row r="21" spans="1:11">
      <c r="A21" s="1132" t="s">
        <v>534</v>
      </c>
      <c r="B21" s="1133"/>
      <c r="C21" s="523" t="s">
        <v>535</v>
      </c>
      <c r="D21" s="511"/>
      <c r="E21" s="512"/>
      <c r="F21" s="512"/>
      <c r="G21" s="512"/>
      <c r="H21" s="512"/>
      <c r="I21" s="525">
        <f t="shared" ref="I21:I30" si="1">SUM(D21:H21)</f>
        <v>0</v>
      </c>
      <c r="J21" s="136"/>
    </row>
    <row r="22" spans="1:11">
      <c r="A22" s="1134"/>
      <c r="B22" s="1135"/>
      <c r="C22" s="523" t="s">
        <v>536</v>
      </c>
      <c r="D22" s="511"/>
      <c r="E22" s="512"/>
      <c r="F22" s="512"/>
      <c r="G22" s="512"/>
      <c r="H22" s="512"/>
      <c r="I22" s="525">
        <f t="shared" si="1"/>
        <v>0</v>
      </c>
      <c r="J22" s="136"/>
    </row>
    <row r="23" spans="1:11">
      <c r="A23" s="1136" t="s">
        <v>537</v>
      </c>
      <c r="B23" s="1145" t="s">
        <v>538</v>
      </c>
      <c r="C23" s="1140"/>
      <c r="D23" s="511"/>
      <c r="E23" s="512"/>
      <c r="F23" s="512"/>
      <c r="G23" s="512"/>
      <c r="H23" s="512"/>
      <c r="I23" s="525">
        <f t="shared" si="1"/>
        <v>0</v>
      </c>
      <c r="J23" s="136"/>
    </row>
    <row r="24" spans="1:11">
      <c r="A24" s="1137"/>
      <c r="B24" s="1145" t="s">
        <v>539</v>
      </c>
      <c r="C24" s="1140"/>
      <c r="D24" s="511"/>
      <c r="E24" s="512"/>
      <c r="F24" s="512"/>
      <c r="G24" s="512"/>
      <c r="H24" s="512"/>
      <c r="I24" s="525">
        <f t="shared" si="1"/>
        <v>0</v>
      </c>
      <c r="J24" s="136"/>
    </row>
    <row r="25" spans="1:11">
      <c r="A25" s="1137"/>
      <c r="B25" s="1129" t="s">
        <v>540</v>
      </c>
      <c r="C25" s="523" t="s">
        <v>541</v>
      </c>
      <c r="D25" s="511"/>
      <c r="E25" s="512"/>
      <c r="F25" s="512"/>
      <c r="G25" s="512"/>
      <c r="H25" s="512"/>
      <c r="I25" s="525">
        <f t="shared" si="1"/>
        <v>0</v>
      </c>
      <c r="J25" s="136"/>
    </row>
    <row r="26" spans="1:11">
      <c r="A26" s="1137"/>
      <c r="B26" s="1130"/>
      <c r="C26" s="523" t="s">
        <v>542</v>
      </c>
      <c r="D26" s="511"/>
      <c r="E26" s="512"/>
      <c r="F26" s="512"/>
      <c r="G26" s="512"/>
      <c r="H26" s="512"/>
      <c r="I26" s="525">
        <f t="shared" si="1"/>
        <v>0</v>
      </c>
      <c r="J26" s="136"/>
    </row>
    <row r="27" spans="1:11">
      <c r="A27" s="1137"/>
      <c r="B27" s="1130"/>
      <c r="C27" s="523" t="s">
        <v>543</v>
      </c>
      <c r="D27" s="511"/>
      <c r="E27" s="512"/>
      <c r="F27" s="512"/>
      <c r="G27" s="512"/>
      <c r="H27" s="512"/>
      <c r="I27" s="525">
        <f t="shared" si="1"/>
        <v>0</v>
      </c>
      <c r="J27" s="136"/>
    </row>
    <row r="28" spans="1:11">
      <c r="A28" s="1138"/>
      <c r="B28" s="1131"/>
      <c r="C28" s="523" t="s">
        <v>544</v>
      </c>
      <c r="D28" s="511"/>
      <c r="E28" s="512"/>
      <c r="F28" s="512"/>
      <c r="G28" s="512"/>
      <c r="H28" s="512"/>
      <c r="I28" s="525">
        <f t="shared" si="1"/>
        <v>0</v>
      </c>
      <c r="J28" s="136"/>
    </row>
    <row r="29" spans="1:11" ht="22.5" customHeight="1">
      <c r="A29" s="1132" t="s">
        <v>545</v>
      </c>
      <c r="B29" s="1133"/>
      <c r="C29" s="523" t="s">
        <v>546</v>
      </c>
      <c r="D29" s="511"/>
      <c r="E29" s="512"/>
      <c r="F29" s="512"/>
      <c r="G29" s="512"/>
      <c r="H29" s="512"/>
      <c r="I29" s="525">
        <f t="shared" si="1"/>
        <v>0</v>
      </c>
      <c r="J29" s="136"/>
    </row>
    <row r="30" spans="1:11" ht="22.5" customHeight="1" thickBot="1">
      <c r="A30" s="1142"/>
      <c r="B30" s="1143"/>
      <c r="C30" s="530" t="s">
        <v>547</v>
      </c>
      <c r="D30" s="516"/>
      <c r="E30" s="517"/>
      <c r="F30" s="517"/>
      <c r="G30" s="517"/>
      <c r="H30" s="517"/>
      <c r="I30" s="531">
        <f t="shared" si="1"/>
        <v>0</v>
      </c>
      <c r="J30" s="136"/>
    </row>
    <row r="33" spans="1:9">
      <c r="A33" s="1001" t="s">
        <v>232</v>
      </c>
      <c r="B33" s="1001"/>
      <c r="C33" s="1001"/>
      <c r="D33" s="1001"/>
      <c r="E33" s="1001"/>
      <c r="F33" s="1001"/>
      <c r="G33" s="1001"/>
      <c r="H33" s="1001"/>
      <c r="I33" s="1001"/>
    </row>
    <row r="34" spans="1:9">
      <c r="A34" s="1074" t="s">
        <v>233</v>
      </c>
      <c r="B34" s="1074"/>
      <c r="C34" s="1074"/>
      <c r="D34" s="1074"/>
      <c r="E34" s="1074"/>
      <c r="F34" s="1074"/>
      <c r="G34" s="1074"/>
      <c r="H34" s="1074"/>
      <c r="I34" s="1074"/>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 ref="B25:B28"/>
    <mergeCell ref="A8:B9"/>
    <mergeCell ref="A10:A14"/>
    <mergeCell ref="B10:C10"/>
    <mergeCell ref="B11:B13"/>
    <mergeCell ref="B14:C1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10" zoomScale="85" zoomScaleNormal="85" workbookViewId="0">
      <selection activeCell="K28" sqref="K28"/>
    </sheetView>
  </sheetViews>
  <sheetFormatPr defaultRowHeight="12.75"/>
  <cols>
    <col min="1" max="1" width="3.140625" style="539" customWidth="1"/>
    <col min="2" max="2" width="17.5703125" style="539" customWidth="1"/>
    <col min="3" max="3" width="22.85546875" style="539" customWidth="1"/>
    <col min="4" max="4" width="17.7109375" style="539" customWidth="1"/>
    <col min="5" max="5" width="34.140625" style="539" customWidth="1"/>
    <col min="6" max="6" width="13.85546875" style="539" customWidth="1"/>
    <col min="7" max="7" width="19.140625" style="539" customWidth="1"/>
    <col min="8" max="10" width="13.85546875" style="539" customWidth="1"/>
    <col min="11" max="12" width="18.5703125" style="539" customWidth="1"/>
    <col min="13" max="13" width="25.28515625" style="539" customWidth="1"/>
    <col min="14" max="15" width="18.5703125" style="539" customWidth="1"/>
    <col min="16" max="16" width="9.140625" style="539"/>
    <col min="17" max="16384" width="9.140625" style="532"/>
  </cols>
  <sheetData>
    <row r="1" spans="1:29" s="388" customFormat="1" ht="15" customHeight="1">
      <c r="A1" s="310"/>
      <c r="B1" s="310"/>
      <c r="C1" s="310"/>
      <c r="D1" s="310"/>
      <c r="E1" s="310"/>
      <c r="F1" s="310"/>
      <c r="G1" s="310"/>
      <c r="H1" s="310"/>
      <c r="I1" s="257"/>
      <c r="J1" s="15"/>
      <c r="K1" s="15"/>
      <c r="L1" s="1029" t="s">
        <v>749</v>
      </c>
      <c r="M1" s="1029"/>
      <c r="N1" s="1029"/>
      <c r="O1" s="1029"/>
      <c r="P1" s="450"/>
      <c r="Q1" s="428"/>
      <c r="R1" s="255"/>
      <c r="S1" s="255"/>
      <c r="T1" s="255"/>
      <c r="U1" s="255"/>
      <c r="V1" s="255"/>
      <c r="W1" s="255"/>
      <c r="X1" s="255"/>
      <c r="Y1" s="255"/>
      <c r="Z1" s="255"/>
      <c r="AA1" s="255"/>
      <c r="AB1" s="255"/>
      <c r="AC1" s="255"/>
    </row>
    <row r="2" spans="1:29" s="388" customFormat="1" ht="15" customHeight="1">
      <c r="A2" s="310"/>
      <c r="B2" s="310"/>
      <c r="C2" s="310"/>
      <c r="D2" s="310"/>
      <c r="E2" s="310"/>
      <c r="F2" s="310"/>
      <c r="G2" s="310"/>
      <c r="H2" s="310"/>
      <c r="I2" s="257"/>
      <c r="J2" s="15"/>
      <c r="K2" s="15"/>
      <c r="L2" s="1029" t="s">
        <v>752</v>
      </c>
      <c r="M2" s="1029"/>
      <c r="N2" s="1029"/>
      <c r="O2" s="1029"/>
      <c r="P2" s="450"/>
      <c r="Q2" s="428"/>
      <c r="R2" s="255"/>
      <c r="S2" s="255"/>
      <c r="T2" s="255"/>
      <c r="U2" s="255"/>
      <c r="V2" s="255"/>
      <c r="W2" s="255"/>
      <c r="X2" s="255"/>
      <c r="Y2" s="255"/>
      <c r="Z2" s="255"/>
      <c r="AA2" s="255"/>
      <c r="AB2" s="255"/>
      <c r="AC2" s="255"/>
    </row>
    <row r="3" spans="1:29" s="388" customFormat="1" ht="10.5" customHeight="1">
      <c r="A3" s="899"/>
      <c r="B3" s="899"/>
      <c r="C3" s="899"/>
      <c r="D3" s="899"/>
      <c r="E3" s="899"/>
      <c r="F3" s="899"/>
      <c r="G3" s="899"/>
      <c r="H3" s="899"/>
      <c r="I3" s="257"/>
      <c r="J3" s="898"/>
      <c r="K3" s="898"/>
      <c r="L3" s="897"/>
      <c r="M3" s="897"/>
      <c r="N3" s="897"/>
      <c r="O3" s="897"/>
      <c r="P3" s="450"/>
      <c r="Q3" s="428"/>
      <c r="R3" s="255"/>
      <c r="S3" s="255"/>
      <c r="T3" s="255"/>
      <c r="U3" s="255"/>
      <c r="V3" s="255"/>
      <c r="W3" s="255"/>
      <c r="X3" s="255"/>
      <c r="Y3" s="255"/>
      <c r="Z3" s="255"/>
      <c r="AA3" s="255"/>
      <c r="AB3" s="255"/>
      <c r="AC3" s="255"/>
    </row>
    <row r="4" spans="1:29" s="388" customFormat="1" ht="9" customHeight="1">
      <c r="A4" s="310"/>
      <c r="B4" s="310"/>
      <c r="C4" s="310"/>
      <c r="D4" s="310"/>
      <c r="E4" s="310"/>
      <c r="F4" s="310"/>
      <c r="G4" s="310"/>
      <c r="H4" s="310"/>
      <c r="I4" s="310"/>
      <c r="J4" s="310"/>
      <c r="K4" s="310"/>
      <c r="L4" s="310"/>
      <c r="M4" s="310"/>
      <c r="N4" s="310"/>
      <c r="O4" s="535"/>
      <c r="P4" s="536"/>
      <c r="Q4" s="255"/>
      <c r="R4" s="255"/>
      <c r="S4" s="255"/>
      <c r="T4" s="255"/>
      <c r="U4" s="255"/>
      <c r="V4" s="255"/>
      <c r="W4" s="255"/>
      <c r="X4" s="255"/>
      <c r="Y4" s="255"/>
      <c r="Z4" s="255"/>
      <c r="AA4" s="255"/>
      <c r="AB4" s="255"/>
      <c r="AC4" s="255"/>
    </row>
    <row r="5" spans="1:29" s="388" customFormat="1" ht="12.75" customHeight="1">
      <c r="A5" s="997" t="s">
        <v>548</v>
      </c>
      <c r="B5" s="1155"/>
      <c r="C5" s="1155"/>
      <c r="D5" s="1155"/>
      <c r="E5" s="1155"/>
      <c r="F5" s="1155"/>
      <c r="G5" s="1155"/>
      <c r="H5" s="1155"/>
      <c r="I5" s="1155"/>
      <c r="J5" s="1155"/>
      <c r="K5" s="1155"/>
      <c r="L5" s="1155"/>
      <c r="M5" s="1155"/>
      <c r="N5" s="1155"/>
      <c r="O5" s="1155"/>
      <c r="P5" s="537"/>
      <c r="Q5" s="255"/>
      <c r="R5" s="255"/>
      <c r="S5" s="255"/>
      <c r="T5" s="255"/>
      <c r="U5" s="255"/>
      <c r="V5" s="255"/>
      <c r="W5" s="255"/>
      <c r="X5" s="255"/>
      <c r="Y5" s="255"/>
      <c r="Z5" s="255"/>
      <c r="AA5" s="255"/>
      <c r="AB5" s="255"/>
      <c r="AC5" s="255"/>
    </row>
    <row r="6" spans="1:29" s="388" customFormat="1" ht="12.75" customHeight="1">
      <c r="A6" s="1037" t="str">
        <f>+STATISTICS!A4</f>
        <v>ХАДГАЛАМЖ, ЗЭЭЛИЙН ХОРШООНЫ НЭР</v>
      </c>
      <c r="B6" s="1155"/>
      <c r="C6" s="1155"/>
      <c r="D6" s="1155"/>
      <c r="E6" s="1155"/>
      <c r="F6" s="1155"/>
      <c r="G6" s="1155"/>
      <c r="H6" s="1155"/>
      <c r="I6" s="1155"/>
      <c r="J6" s="1155"/>
      <c r="K6" s="1155"/>
      <c r="L6" s="1155"/>
      <c r="M6" s="1155"/>
      <c r="N6" s="1155"/>
      <c r="O6" s="1155"/>
      <c r="P6" s="538"/>
      <c r="Q6" s="255"/>
      <c r="R6" s="255"/>
      <c r="S6" s="255"/>
      <c r="T6" s="255"/>
      <c r="U6" s="255"/>
      <c r="V6" s="255"/>
      <c r="W6" s="255"/>
      <c r="X6" s="255"/>
      <c r="Y6" s="255"/>
      <c r="Z6" s="255"/>
      <c r="AA6" s="255"/>
      <c r="AB6" s="255"/>
      <c r="AC6" s="255"/>
    </row>
    <row r="7" spans="1:29" s="388" customFormat="1" ht="12.75" customHeight="1">
      <c r="A7" s="997" t="s">
        <v>4</v>
      </c>
      <c r="B7" s="1155"/>
      <c r="C7" s="1155"/>
      <c r="D7" s="1155"/>
      <c r="E7" s="1155"/>
      <c r="F7" s="1155"/>
      <c r="G7" s="1155"/>
      <c r="H7" s="1155"/>
      <c r="I7" s="1155"/>
      <c r="J7" s="1155"/>
      <c r="K7" s="1155"/>
      <c r="L7" s="1155"/>
      <c r="M7" s="1155"/>
      <c r="N7" s="1155"/>
      <c r="O7" s="1155"/>
      <c r="P7" s="537"/>
      <c r="Q7" s="255"/>
      <c r="R7" s="255"/>
      <c r="S7" s="255"/>
      <c r="T7" s="255"/>
      <c r="U7" s="255"/>
      <c r="V7" s="255"/>
      <c r="W7" s="255"/>
      <c r="X7" s="255"/>
      <c r="Y7" s="255"/>
      <c r="Z7" s="255"/>
      <c r="AA7" s="255"/>
      <c r="AB7" s="255"/>
      <c r="AC7" s="255"/>
    </row>
    <row r="8" spans="1:29" s="388" customFormat="1" ht="12.75" customHeight="1">
      <c r="A8" s="896"/>
      <c r="B8" s="898"/>
      <c r="C8" s="898"/>
      <c r="D8" s="898"/>
      <c r="E8" s="898"/>
      <c r="F8" s="898"/>
      <c r="G8" s="898"/>
      <c r="H8" s="898"/>
      <c r="I8" s="898"/>
      <c r="J8" s="898"/>
      <c r="K8" s="898"/>
      <c r="L8" s="898"/>
      <c r="M8" s="898"/>
      <c r="N8" s="898"/>
      <c r="O8" s="898"/>
      <c r="P8" s="537"/>
      <c r="Q8" s="255"/>
      <c r="R8" s="255"/>
      <c r="S8" s="255"/>
      <c r="T8" s="255"/>
      <c r="U8" s="255"/>
      <c r="V8" s="255"/>
      <c r="W8" s="255"/>
      <c r="X8" s="255"/>
      <c r="Y8" s="255"/>
      <c r="Z8" s="255"/>
      <c r="AA8" s="255"/>
      <c r="AB8" s="255"/>
      <c r="AC8" s="255"/>
    </row>
    <row r="10" spans="1:29" ht="13.5" thickBot="1">
      <c r="A10" s="1165" t="str">
        <f>+STATISTICS!A7</f>
        <v>Огноо</v>
      </c>
      <c r="B10" s="1165"/>
      <c r="O10" s="390" t="s">
        <v>5</v>
      </c>
    </row>
    <row r="11" spans="1:29" ht="17.25" customHeight="1">
      <c r="A11" s="1153" t="s">
        <v>237</v>
      </c>
      <c r="B11" s="1151" t="s">
        <v>569</v>
      </c>
      <c r="C11" s="1151"/>
      <c r="D11" s="1151"/>
      <c r="E11" s="1151" t="s">
        <v>555</v>
      </c>
      <c r="F11" s="1156" t="s">
        <v>571</v>
      </c>
      <c r="G11" s="1151" t="s">
        <v>556</v>
      </c>
      <c r="H11" s="1151" t="s">
        <v>557</v>
      </c>
      <c r="I11" s="1151" t="s">
        <v>558</v>
      </c>
      <c r="J11" s="1151" t="s">
        <v>559</v>
      </c>
      <c r="K11" s="1151" t="s">
        <v>560</v>
      </c>
      <c r="L11" s="1151" t="s">
        <v>561</v>
      </c>
      <c r="M11" s="1151" t="s">
        <v>562</v>
      </c>
      <c r="N11" s="1151" t="s">
        <v>563</v>
      </c>
      <c r="O11" s="1161" t="s">
        <v>564</v>
      </c>
    </row>
    <row r="12" spans="1:29" ht="32.25" customHeight="1" thickBot="1">
      <c r="A12" s="1154"/>
      <c r="B12" s="540" t="s">
        <v>568</v>
      </c>
      <c r="C12" s="541" t="s">
        <v>565</v>
      </c>
      <c r="D12" s="542" t="s">
        <v>570</v>
      </c>
      <c r="E12" s="1152"/>
      <c r="F12" s="1157"/>
      <c r="G12" s="1152"/>
      <c r="H12" s="1152"/>
      <c r="I12" s="1152"/>
      <c r="J12" s="1152"/>
      <c r="K12" s="1152"/>
      <c r="L12" s="1152"/>
      <c r="M12" s="1152"/>
      <c r="N12" s="1152"/>
      <c r="O12" s="1162"/>
    </row>
    <row r="13" spans="1:29">
      <c r="A13" s="543">
        <v>1</v>
      </c>
      <c r="B13" s="741"/>
      <c r="C13" s="949"/>
      <c r="D13" s="742"/>
      <c r="E13" s="745"/>
      <c r="F13" s="943"/>
      <c r="G13" s="746"/>
      <c r="H13" s="747"/>
      <c r="I13" s="747"/>
      <c r="J13" s="747"/>
      <c r="K13" s="748"/>
      <c r="L13" s="749"/>
      <c r="M13" s="749"/>
      <c r="N13" s="746"/>
      <c r="O13" s="887" t="e">
        <f>M13/BALANCESHEET!G35</f>
        <v>#DIV/0!</v>
      </c>
    </row>
    <row r="14" spans="1:29">
      <c r="A14" s="544">
        <v>2</v>
      </c>
      <c r="B14" s="743"/>
      <c r="C14" s="950"/>
      <c r="D14" s="744"/>
      <c r="E14" s="750"/>
      <c r="F14" s="944"/>
      <c r="G14" s="751"/>
      <c r="H14" s="752"/>
      <c r="I14" s="752"/>
      <c r="J14" s="752"/>
      <c r="K14" s="753"/>
      <c r="L14" s="754"/>
      <c r="M14" s="754"/>
      <c r="N14" s="751"/>
      <c r="O14" s="545" t="e">
        <f>+M14/BALANCESHEET!G35</f>
        <v>#DIV/0!</v>
      </c>
    </row>
    <row r="15" spans="1:29">
      <c r="A15" s="544">
        <v>3</v>
      </c>
      <c r="B15" s="743"/>
      <c r="C15" s="950"/>
      <c r="D15" s="744"/>
      <c r="E15" s="750"/>
      <c r="F15" s="944"/>
      <c r="G15" s="751"/>
      <c r="H15" s="752"/>
      <c r="I15" s="752"/>
      <c r="J15" s="752"/>
      <c r="K15" s="753"/>
      <c r="L15" s="754"/>
      <c r="M15" s="754"/>
      <c r="N15" s="751"/>
      <c r="O15" s="545" t="e">
        <f>+M15/BALANCESHEET!G35</f>
        <v>#DIV/0!</v>
      </c>
    </row>
    <row r="16" spans="1:29">
      <c r="A16" s="544">
        <v>4</v>
      </c>
      <c r="B16" s="743"/>
      <c r="C16" s="950"/>
      <c r="D16" s="744"/>
      <c r="E16" s="750"/>
      <c r="F16" s="944"/>
      <c r="G16" s="751"/>
      <c r="H16" s="752"/>
      <c r="I16" s="752"/>
      <c r="J16" s="752"/>
      <c r="K16" s="753"/>
      <c r="L16" s="754"/>
      <c r="M16" s="754"/>
      <c r="N16" s="751"/>
      <c r="O16" s="545" t="e">
        <f>+M16/BALANCESHEET!G35</f>
        <v>#DIV/0!</v>
      </c>
    </row>
    <row r="17" spans="1:15">
      <c r="A17" s="544">
        <v>5</v>
      </c>
      <c r="B17" s="743"/>
      <c r="C17" s="950"/>
      <c r="D17" s="744"/>
      <c r="E17" s="750"/>
      <c r="F17" s="944"/>
      <c r="G17" s="751"/>
      <c r="H17" s="752"/>
      <c r="I17" s="752"/>
      <c r="J17" s="752"/>
      <c r="K17" s="753"/>
      <c r="L17" s="754"/>
      <c r="M17" s="754"/>
      <c r="N17" s="751"/>
      <c r="O17" s="545" t="e">
        <f>+M17/BALANCESHEET!G35</f>
        <v>#DIV/0!</v>
      </c>
    </row>
    <row r="18" spans="1:15">
      <c r="A18" s="544">
        <v>6</v>
      </c>
      <c r="B18" s="743"/>
      <c r="C18" s="950"/>
      <c r="D18" s="744"/>
      <c r="E18" s="750"/>
      <c r="F18" s="944"/>
      <c r="G18" s="751"/>
      <c r="H18" s="752"/>
      <c r="I18" s="752"/>
      <c r="J18" s="752"/>
      <c r="K18" s="753"/>
      <c r="L18" s="754"/>
      <c r="M18" s="754"/>
      <c r="N18" s="751"/>
      <c r="O18" s="545" t="e">
        <f>+M18/BALANCESHEET!G35</f>
        <v>#DIV/0!</v>
      </c>
    </row>
    <row r="19" spans="1:15">
      <c r="A19" s="544">
        <v>7</v>
      </c>
      <c r="B19" s="743"/>
      <c r="C19" s="950"/>
      <c r="D19" s="744"/>
      <c r="E19" s="750"/>
      <c r="F19" s="944"/>
      <c r="G19" s="751"/>
      <c r="H19" s="752"/>
      <c r="I19" s="752"/>
      <c r="J19" s="752"/>
      <c r="K19" s="753"/>
      <c r="L19" s="754"/>
      <c r="M19" s="754"/>
      <c r="N19" s="751"/>
      <c r="O19" s="545" t="e">
        <f>+M19/BALANCESHEET!G35</f>
        <v>#DIV/0!</v>
      </c>
    </row>
    <row r="20" spans="1:15">
      <c r="A20" s="544">
        <v>8</v>
      </c>
      <c r="B20" s="743"/>
      <c r="C20" s="950"/>
      <c r="D20" s="744"/>
      <c r="E20" s="750"/>
      <c r="F20" s="944"/>
      <c r="G20" s="751"/>
      <c r="H20" s="752"/>
      <c r="I20" s="752"/>
      <c r="J20" s="752"/>
      <c r="K20" s="753"/>
      <c r="L20" s="754"/>
      <c r="M20" s="754"/>
      <c r="N20" s="751"/>
      <c r="O20" s="545" t="e">
        <f>+M20/BALANCESHEET!G35</f>
        <v>#DIV/0!</v>
      </c>
    </row>
    <row r="21" spans="1:15">
      <c r="A21" s="544">
        <v>9</v>
      </c>
      <c r="B21" s="743"/>
      <c r="C21" s="950"/>
      <c r="D21" s="744"/>
      <c r="E21" s="750"/>
      <c r="F21" s="944"/>
      <c r="G21" s="751"/>
      <c r="H21" s="752"/>
      <c r="I21" s="752"/>
      <c r="J21" s="752"/>
      <c r="K21" s="753"/>
      <c r="L21" s="754"/>
      <c r="M21" s="754"/>
      <c r="N21" s="751"/>
      <c r="O21" s="545" t="e">
        <f>+M21/BALANCESHEET!G35</f>
        <v>#DIV/0!</v>
      </c>
    </row>
    <row r="22" spans="1:15">
      <c r="A22" s="544">
        <v>10</v>
      </c>
      <c r="B22" s="743"/>
      <c r="C22" s="950"/>
      <c r="D22" s="744"/>
      <c r="E22" s="750"/>
      <c r="F22" s="944"/>
      <c r="G22" s="751"/>
      <c r="H22" s="752"/>
      <c r="I22" s="752"/>
      <c r="J22" s="752"/>
      <c r="K22" s="753"/>
      <c r="L22" s="754"/>
      <c r="M22" s="754"/>
      <c r="N22" s="751"/>
      <c r="O22" s="545" t="e">
        <f>+M22/BALANCESHEET!G35</f>
        <v>#DIV/0!</v>
      </c>
    </row>
    <row r="23" spans="1:15">
      <c r="A23" s="544">
        <v>11</v>
      </c>
      <c r="B23" s="743"/>
      <c r="C23" s="950"/>
      <c r="D23" s="744"/>
      <c r="E23" s="750"/>
      <c r="F23" s="944"/>
      <c r="G23" s="751"/>
      <c r="H23" s="752"/>
      <c r="I23" s="752"/>
      <c r="J23" s="752"/>
      <c r="K23" s="753"/>
      <c r="L23" s="754"/>
      <c r="M23" s="754"/>
      <c r="N23" s="751"/>
      <c r="O23" s="545" t="e">
        <f>+M23/BALANCESHEET!G35</f>
        <v>#DIV/0!</v>
      </c>
    </row>
    <row r="24" spans="1:15">
      <c r="A24" s="544">
        <v>12</v>
      </c>
      <c r="B24" s="743"/>
      <c r="C24" s="950"/>
      <c r="D24" s="744"/>
      <c r="E24" s="750"/>
      <c r="F24" s="944"/>
      <c r="G24" s="751"/>
      <c r="H24" s="752"/>
      <c r="I24" s="752"/>
      <c r="J24" s="752"/>
      <c r="K24" s="753"/>
      <c r="L24" s="754"/>
      <c r="M24" s="754"/>
      <c r="N24" s="751"/>
      <c r="O24" s="545" t="e">
        <f>+M24/BALANCESHEET!G35</f>
        <v>#DIV/0!</v>
      </c>
    </row>
    <row r="25" spans="1:15">
      <c r="A25" s="544">
        <v>13</v>
      </c>
      <c r="B25" s="743"/>
      <c r="C25" s="950"/>
      <c r="D25" s="744"/>
      <c r="E25" s="750"/>
      <c r="F25" s="944"/>
      <c r="G25" s="751"/>
      <c r="H25" s="752"/>
      <c r="I25" s="752"/>
      <c r="J25" s="752"/>
      <c r="K25" s="753"/>
      <c r="L25" s="754"/>
      <c r="M25" s="754"/>
      <c r="N25" s="751"/>
      <c r="O25" s="545" t="e">
        <f>+M25/BALANCESHEET!G35</f>
        <v>#DIV/0!</v>
      </c>
    </row>
    <row r="26" spans="1:15">
      <c r="A26" s="544">
        <v>14</v>
      </c>
      <c r="B26" s="743"/>
      <c r="C26" s="950"/>
      <c r="D26" s="744"/>
      <c r="E26" s="750"/>
      <c r="F26" s="944"/>
      <c r="G26" s="751"/>
      <c r="H26" s="752"/>
      <c r="I26" s="752"/>
      <c r="J26" s="752"/>
      <c r="K26" s="753"/>
      <c r="L26" s="754"/>
      <c r="M26" s="754"/>
      <c r="N26" s="751"/>
      <c r="O26" s="545" t="e">
        <f>+M26/BALANCESHEET!G35</f>
        <v>#DIV/0!</v>
      </c>
    </row>
    <row r="27" spans="1:15">
      <c r="A27" s="544">
        <v>15</v>
      </c>
      <c r="B27" s="743"/>
      <c r="C27" s="950"/>
      <c r="D27" s="744"/>
      <c r="E27" s="750"/>
      <c r="F27" s="944"/>
      <c r="G27" s="751"/>
      <c r="H27" s="752"/>
      <c r="I27" s="752"/>
      <c r="J27" s="752"/>
      <c r="K27" s="753"/>
      <c r="L27" s="754"/>
      <c r="M27" s="754"/>
      <c r="N27" s="751"/>
      <c r="O27" s="545" t="e">
        <f>+M27/BALANCESHEET!G35</f>
        <v>#DIV/0!</v>
      </c>
    </row>
    <row r="28" spans="1:15">
      <c r="A28" s="544">
        <v>16</v>
      </c>
      <c r="B28" s="743"/>
      <c r="C28" s="950"/>
      <c r="D28" s="744"/>
      <c r="E28" s="750"/>
      <c r="F28" s="944"/>
      <c r="G28" s="751"/>
      <c r="H28" s="752"/>
      <c r="I28" s="752"/>
      <c r="J28" s="752"/>
      <c r="K28" s="753"/>
      <c r="L28" s="754"/>
      <c r="M28" s="754"/>
      <c r="N28" s="751"/>
      <c r="O28" s="545" t="e">
        <f>+M28/BALANCESHEET!G35</f>
        <v>#DIV/0!</v>
      </c>
    </row>
    <row r="29" spans="1:15">
      <c r="A29" s="544">
        <v>17</v>
      </c>
      <c r="B29" s="743"/>
      <c r="C29" s="950"/>
      <c r="D29" s="744"/>
      <c r="E29" s="750"/>
      <c r="F29" s="944"/>
      <c r="G29" s="751"/>
      <c r="H29" s="752"/>
      <c r="I29" s="752"/>
      <c r="J29" s="752"/>
      <c r="K29" s="753"/>
      <c r="L29" s="754"/>
      <c r="M29" s="754"/>
      <c r="N29" s="751"/>
      <c r="O29" s="545" t="e">
        <f>+M29/BALANCESHEET!G35</f>
        <v>#DIV/0!</v>
      </c>
    </row>
    <row r="30" spans="1:15">
      <c r="A30" s="544">
        <v>18</v>
      </c>
      <c r="B30" s="743"/>
      <c r="C30" s="950"/>
      <c r="D30" s="744"/>
      <c r="E30" s="750"/>
      <c r="F30" s="944"/>
      <c r="G30" s="751"/>
      <c r="H30" s="752"/>
      <c r="I30" s="752"/>
      <c r="J30" s="752"/>
      <c r="K30" s="753"/>
      <c r="L30" s="754"/>
      <c r="M30" s="754"/>
      <c r="N30" s="751"/>
      <c r="O30" s="545" t="e">
        <f>+M30/BALANCESHEET!G35</f>
        <v>#DIV/0!</v>
      </c>
    </row>
    <row r="31" spans="1:15">
      <c r="A31" s="544">
        <v>19</v>
      </c>
      <c r="B31" s="743"/>
      <c r="C31" s="950"/>
      <c r="D31" s="744"/>
      <c r="E31" s="750"/>
      <c r="F31" s="944"/>
      <c r="G31" s="751"/>
      <c r="H31" s="752"/>
      <c r="I31" s="752"/>
      <c r="J31" s="752"/>
      <c r="K31" s="753"/>
      <c r="L31" s="754"/>
      <c r="M31" s="754"/>
      <c r="N31" s="751"/>
      <c r="O31" s="545" t="e">
        <f>+M31/BALANCESHEET!G35</f>
        <v>#DIV/0!</v>
      </c>
    </row>
    <row r="32" spans="1:15">
      <c r="A32" s="544">
        <v>20</v>
      </c>
      <c r="B32" s="743"/>
      <c r="C32" s="950"/>
      <c r="D32" s="744"/>
      <c r="E32" s="750"/>
      <c r="F32" s="944"/>
      <c r="G32" s="751"/>
      <c r="H32" s="752"/>
      <c r="I32" s="752"/>
      <c r="J32" s="752"/>
      <c r="K32" s="753"/>
      <c r="L32" s="754"/>
      <c r="M32" s="754"/>
      <c r="N32" s="751"/>
      <c r="O32" s="545" t="e">
        <f>+M32/BALANCESHEET!G35</f>
        <v>#DIV/0!</v>
      </c>
    </row>
    <row r="33" spans="1:15">
      <c r="A33" s="544">
        <v>21</v>
      </c>
      <c r="B33" s="743"/>
      <c r="C33" s="950"/>
      <c r="D33" s="744"/>
      <c r="E33" s="750"/>
      <c r="F33" s="944"/>
      <c r="G33" s="751"/>
      <c r="H33" s="752"/>
      <c r="I33" s="752"/>
      <c r="J33" s="752"/>
      <c r="K33" s="753"/>
      <c r="L33" s="754"/>
      <c r="M33" s="754"/>
      <c r="N33" s="751"/>
      <c r="O33" s="545" t="e">
        <f>+M33/BALANCESHEET!G35</f>
        <v>#DIV/0!</v>
      </c>
    </row>
    <row r="34" spans="1:15">
      <c r="A34" s="544">
        <v>22</v>
      </c>
      <c r="B34" s="743"/>
      <c r="C34" s="950"/>
      <c r="D34" s="744"/>
      <c r="E34" s="750"/>
      <c r="F34" s="944"/>
      <c r="G34" s="751"/>
      <c r="H34" s="752"/>
      <c r="I34" s="752"/>
      <c r="J34" s="752"/>
      <c r="K34" s="753"/>
      <c r="L34" s="754"/>
      <c r="M34" s="754"/>
      <c r="N34" s="751"/>
      <c r="O34" s="545" t="e">
        <f>+M34/BALANCESHEET!G35</f>
        <v>#DIV/0!</v>
      </c>
    </row>
    <row r="35" spans="1:15">
      <c r="A35" s="544">
        <v>23</v>
      </c>
      <c r="B35" s="743"/>
      <c r="C35" s="950"/>
      <c r="D35" s="744"/>
      <c r="E35" s="750"/>
      <c r="F35" s="944"/>
      <c r="G35" s="751"/>
      <c r="H35" s="752"/>
      <c r="I35" s="752"/>
      <c r="J35" s="752"/>
      <c r="K35" s="753"/>
      <c r="L35" s="754"/>
      <c r="M35" s="754"/>
      <c r="N35" s="751"/>
      <c r="O35" s="545" t="e">
        <f>+M35/BALANCESHEET!G35</f>
        <v>#DIV/0!</v>
      </c>
    </row>
    <row r="36" spans="1:15">
      <c r="A36" s="544">
        <v>24</v>
      </c>
      <c r="B36" s="743"/>
      <c r="C36" s="950"/>
      <c r="D36" s="744"/>
      <c r="E36" s="750"/>
      <c r="F36" s="944"/>
      <c r="G36" s="751"/>
      <c r="H36" s="752"/>
      <c r="I36" s="752"/>
      <c r="J36" s="752"/>
      <c r="K36" s="753"/>
      <c r="L36" s="754"/>
      <c r="M36" s="754"/>
      <c r="N36" s="751"/>
      <c r="O36" s="545" t="e">
        <f>+M36/BALANCESHEET!G35</f>
        <v>#DIV/0!</v>
      </c>
    </row>
    <row r="37" spans="1:15">
      <c r="A37" s="544">
        <v>25</v>
      </c>
      <c r="B37" s="743"/>
      <c r="C37" s="950"/>
      <c r="D37" s="744"/>
      <c r="E37" s="750"/>
      <c r="F37" s="944"/>
      <c r="G37" s="751"/>
      <c r="H37" s="752"/>
      <c r="I37" s="752"/>
      <c r="J37" s="752"/>
      <c r="K37" s="753"/>
      <c r="L37" s="754"/>
      <c r="M37" s="754"/>
      <c r="N37" s="751"/>
      <c r="O37" s="545" t="e">
        <f>+M37/BALANCESHEET!G35</f>
        <v>#DIV/0!</v>
      </c>
    </row>
    <row r="38" spans="1:15">
      <c r="A38" s="544">
        <v>26</v>
      </c>
      <c r="B38" s="743"/>
      <c r="C38" s="950"/>
      <c r="D38" s="744"/>
      <c r="E38" s="750"/>
      <c r="F38" s="944"/>
      <c r="G38" s="751"/>
      <c r="H38" s="752"/>
      <c r="I38" s="752"/>
      <c r="J38" s="752"/>
      <c r="K38" s="753"/>
      <c r="L38" s="754"/>
      <c r="M38" s="754"/>
      <c r="N38" s="751"/>
      <c r="O38" s="545" t="e">
        <f>+M38/BALANCESHEET!G35</f>
        <v>#DIV/0!</v>
      </c>
    </row>
    <row r="39" spans="1:15">
      <c r="A39" s="544">
        <v>27</v>
      </c>
      <c r="B39" s="743"/>
      <c r="C39" s="950"/>
      <c r="D39" s="744"/>
      <c r="E39" s="750"/>
      <c r="F39" s="944"/>
      <c r="G39" s="751"/>
      <c r="H39" s="752"/>
      <c r="I39" s="752"/>
      <c r="J39" s="752"/>
      <c r="K39" s="753"/>
      <c r="L39" s="754"/>
      <c r="M39" s="754"/>
      <c r="N39" s="751"/>
      <c r="O39" s="545" t="e">
        <f>+M39/BALANCESHEET!G35</f>
        <v>#DIV/0!</v>
      </c>
    </row>
    <row r="40" spans="1:15">
      <c r="A40" s="544">
        <v>28</v>
      </c>
      <c r="B40" s="743"/>
      <c r="C40" s="950"/>
      <c r="D40" s="744"/>
      <c r="E40" s="750"/>
      <c r="F40" s="944"/>
      <c r="G40" s="751"/>
      <c r="H40" s="752"/>
      <c r="I40" s="752"/>
      <c r="J40" s="752"/>
      <c r="K40" s="753"/>
      <c r="L40" s="754"/>
      <c r="M40" s="754"/>
      <c r="N40" s="751"/>
      <c r="O40" s="545" t="e">
        <f>+M40/BALANCESHEET!G35</f>
        <v>#DIV/0!</v>
      </c>
    </row>
    <row r="41" spans="1:15">
      <c r="A41" s="544">
        <v>29</v>
      </c>
      <c r="B41" s="743"/>
      <c r="C41" s="950"/>
      <c r="D41" s="744"/>
      <c r="E41" s="750"/>
      <c r="F41" s="944"/>
      <c r="G41" s="751"/>
      <c r="H41" s="752"/>
      <c r="I41" s="752"/>
      <c r="J41" s="752"/>
      <c r="K41" s="753"/>
      <c r="L41" s="754"/>
      <c r="M41" s="754"/>
      <c r="N41" s="751"/>
      <c r="O41" s="545" t="e">
        <f>+M41/BALANCESHEET!G35</f>
        <v>#DIV/0!</v>
      </c>
    </row>
    <row r="42" spans="1:15">
      <c r="A42" s="544">
        <v>30</v>
      </c>
      <c r="B42" s="743"/>
      <c r="C42" s="950"/>
      <c r="D42" s="744"/>
      <c r="E42" s="750"/>
      <c r="F42" s="944"/>
      <c r="G42" s="751"/>
      <c r="H42" s="752"/>
      <c r="I42" s="752"/>
      <c r="J42" s="752"/>
      <c r="K42" s="753"/>
      <c r="L42" s="754"/>
      <c r="M42" s="754"/>
      <c r="N42" s="751"/>
      <c r="O42" s="545" t="e">
        <f>+M42/BALANCESHEET!G35</f>
        <v>#DIV/0!</v>
      </c>
    </row>
    <row r="43" spans="1:15">
      <c r="A43" s="544">
        <v>31</v>
      </c>
      <c r="B43" s="743"/>
      <c r="C43" s="950"/>
      <c r="D43" s="744"/>
      <c r="E43" s="750"/>
      <c r="F43" s="944"/>
      <c r="G43" s="751"/>
      <c r="H43" s="752"/>
      <c r="I43" s="752"/>
      <c r="J43" s="752"/>
      <c r="K43" s="753"/>
      <c r="L43" s="754"/>
      <c r="M43" s="754"/>
      <c r="N43" s="751"/>
      <c r="O43" s="545" t="e">
        <f>+M43/BALANCESHEET!G35</f>
        <v>#DIV/0!</v>
      </c>
    </row>
    <row r="44" spans="1:15">
      <c r="A44" s="544">
        <v>32</v>
      </c>
      <c r="B44" s="743"/>
      <c r="C44" s="950"/>
      <c r="D44" s="744"/>
      <c r="E44" s="750"/>
      <c r="F44" s="944"/>
      <c r="G44" s="751"/>
      <c r="H44" s="752"/>
      <c r="I44" s="752"/>
      <c r="J44" s="752"/>
      <c r="K44" s="753"/>
      <c r="L44" s="754"/>
      <c r="M44" s="754"/>
      <c r="N44" s="751"/>
      <c r="O44" s="545" t="e">
        <f>+M44/BALANCESHEET!G35</f>
        <v>#DIV/0!</v>
      </c>
    </row>
    <row r="45" spans="1:15">
      <c r="A45" s="544">
        <v>33</v>
      </c>
      <c r="B45" s="743"/>
      <c r="C45" s="950"/>
      <c r="D45" s="744"/>
      <c r="E45" s="750"/>
      <c r="F45" s="944"/>
      <c r="G45" s="751"/>
      <c r="H45" s="752"/>
      <c r="I45" s="752"/>
      <c r="J45" s="752"/>
      <c r="K45" s="753"/>
      <c r="L45" s="754"/>
      <c r="M45" s="754"/>
      <c r="N45" s="751"/>
      <c r="O45" s="545" t="e">
        <f>+M45/BALANCESHEET!G35</f>
        <v>#DIV/0!</v>
      </c>
    </row>
    <row r="46" spans="1:15">
      <c r="A46" s="544">
        <v>34</v>
      </c>
      <c r="B46" s="743"/>
      <c r="C46" s="950"/>
      <c r="D46" s="744"/>
      <c r="E46" s="750"/>
      <c r="F46" s="944"/>
      <c r="G46" s="751"/>
      <c r="H46" s="752"/>
      <c r="I46" s="752"/>
      <c r="J46" s="752"/>
      <c r="K46" s="753"/>
      <c r="L46" s="754"/>
      <c r="M46" s="754"/>
      <c r="N46" s="751"/>
      <c r="O46" s="545" t="e">
        <f>+M46/BALANCESHEET!G35</f>
        <v>#DIV/0!</v>
      </c>
    </row>
    <row r="47" spans="1:15">
      <c r="A47" s="544">
        <v>35</v>
      </c>
      <c r="B47" s="743"/>
      <c r="C47" s="950"/>
      <c r="D47" s="744"/>
      <c r="E47" s="750"/>
      <c r="F47" s="944"/>
      <c r="G47" s="751"/>
      <c r="H47" s="752"/>
      <c r="I47" s="752"/>
      <c r="J47" s="752"/>
      <c r="K47" s="753"/>
      <c r="L47" s="754"/>
      <c r="M47" s="754"/>
      <c r="N47" s="751"/>
      <c r="O47" s="545" t="e">
        <f>+M47/BALANCESHEET!G35</f>
        <v>#DIV/0!</v>
      </c>
    </row>
    <row r="48" spans="1:15">
      <c r="A48" s="544">
        <v>36</v>
      </c>
      <c r="B48" s="743"/>
      <c r="C48" s="950"/>
      <c r="D48" s="744"/>
      <c r="E48" s="750"/>
      <c r="F48" s="944"/>
      <c r="G48" s="751"/>
      <c r="H48" s="752"/>
      <c r="I48" s="752"/>
      <c r="J48" s="752"/>
      <c r="K48" s="753"/>
      <c r="L48" s="754"/>
      <c r="M48" s="754"/>
      <c r="N48" s="751"/>
      <c r="O48" s="545" t="e">
        <f>+M48/BALANCESHEET!G35</f>
        <v>#DIV/0!</v>
      </c>
    </row>
    <row r="49" spans="1:15">
      <c r="A49" s="544">
        <v>37</v>
      </c>
      <c r="B49" s="743"/>
      <c r="C49" s="950"/>
      <c r="D49" s="744"/>
      <c r="E49" s="750"/>
      <c r="F49" s="944"/>
      <c r="G49" s="751"/>
      <c r="H49" s="752"/>
      <c r="I49" s="752"/>
      <c r="J49" s="752"/>
      <c r="K49" s="753"/>
      <c r="L49" s="754"/>
      <c r="M49" s="754"/>
      <c r="N49" s="751"/>
      <c r="O49" s="545" t="e">
        <f>+M49/BALANCESHEET!G35</f>
        <v>#DIV/0!</v>
      </c>
    </row>
    <row r="50" spans="1:15">
      <c r="A50" s="544">
        <v>38</v>
      </c>
      <c r="B50" s="743"/>
      <c r="C50" s="950"/>
      <c r="D50" s="744"/>
      <c r="E50" s="750"/>
      <c r="F50" s="944"/>
      <c r="G50" s="751"/>
      <c r="H50" s="752"/>
      <c r="I50" s="752"/>
      <c r="J50" s="752"/>
      <c r="K50" s="753"/>
      <c r="L50" s="754"/>
      <c r="M50" s="754"/>
      <c r="N50" s="751"/>
      <c r="O50" s="545" t="e">
        <f>+M50/BALANCESHEET!G35</f>
        <v>#DIV/0!</v>
      </c>
    </row>
    <row r="51" spans="1:15">
      <c r="A51" s="544">
        <v>39</v>
      </c>
      <c r="B51" s="743"/>
      <c r="C51" s="950"/>
      <c r="D51" s="744"/>
      <c r="E51" s="750"/>
      <c r="F51" s="944"/>
      <c r="G51" s="751"/>
      <c r="H51" s="752"/>
      <c r="I51" s="752"/>
      <c r="J51" s="752"/>
      <c r="K51" s="753"/>
      <c r="L51" s="754"/>
      <c r="M51" s="754"/>
      <c r="N51" s="751"/>
      <c r="O51" s="545" t="e">
        <f>+M51/BALANCESHEET!G35</f>
        <v>#DIV/0!</v>
      </c>
    </row>
    <row r="52" spans="1:15">
      <c r="A52" s="544">
        <v>40</v>
      </c>
      <c r="B52" s="743"/>
      <c r="C52" s="950"/>
      <c r="D52" s="744"/>
      <c r="E52" s="750"/>
      <c r="F52" s="944"/>
      <c r="G52" s="751"/>
      <c r="H52" s="752"/>
      <c r="I52" s="752"/>
      <c r="J52" s="752"/>
      <c r="K52" s="753"/>
      <c r="L52" s="754"/>
      <c r="M52" s="754"/>
      <c r="N52" s="751"/>
      <c r="O52" s="545" t="e">
        <f>+M52/BALANCESHEET!G35</f>
        <v>#DIV/0!</v>
      </c>
    </row>
    <row r="53" spans="1:15" ht="15" customHeight="1">
      <c r="A53" s="1158" t="s">
        <v>468</v>
      </c>
      <c r="B53" s="1159"/>
      <c r="C53" s="1159"/>
      <c r="D53" s="1160"/>
      <c r="E53" s="755">
        <f>SUM(E13:E52)</f>
        <v>0</v>
      </c>
      <c r="F53" s="756" t="e">
        <f>+AVERAGE(F13:F52)</f>
        <v>#DIV/0!</v>
      </c>
      <c r="G53" s="1158"/>
      <c r="H53" s="1159"/>
      <c r="I53" s="1159"/>
      <c r="J53" s="1159"/>
      <c r="K53" s="1160"/>
      <c r="L53" s="755">
        <f>SUM(L13:L52)</f>
        <v>0</v>
      </c>
      <c r="M53" s="755">
        <f>SUM(M13:M52)</f>
        <v>0</v>
      </c>
      <c r="N53" s="757"/>
      <c r="O53" s="546" t="e">
        <f>SUM(O13:O52)</f>
        <v>#DIV/0!</v>
      </c>
    </row>
    <row r="54" spans="1:15">
      <c r="A54" s="310"/>
      <c r="B54" s="310"/>
      <c r="C54" s="310"/>
      <c r="D54" s="310"/>
      <c r="E54" s="692"/>
      <c r="F54" s="692"/>
      <c r="G54" s="692"/>
      <c r="H54" s="692"/>
      <c r="I54" s="692"/>
      <c r="J54" s="692"/>
      <c r="K54" s="692"/>
      <c r="L54" s="692"/>
      <c r="M54" s="1163" t="s">
        <v>567</v>
      </c>
      <c r="N54" s="1164"/>
      <c r="O54" s="547" t="e">
        <f>MAX(O13:O52)</f>
        <v>#DIV/0!</v>
      </c>
    </row>
    <row r="57" spans="1:15">
      <c r="H57" s="236"/>
      <c r="O57" s="537" t="str">
        <f>IF(M53&lt;=BALANCESHEET!C18,"","Балансийн дүнтэй зөрүүтэй байна")</f>
        <v/>
      </c>
    </row>
    <row r="58" spans="1:15">
      <c r="D58" s="1001" t="s">
        <v>232</v>
      </c>
      <c r="E58" s="1001"/>
      <c r="F58" s="1001"/>
      <c r="G58" s="1001"/>
      <c r="H58" s="1001"/>
      <c r="I58" s="1001"/>
      <c r="J58" s="1001"/>
      <c r="K58" s="1001"/>
      <c r="L58" s="1001"/>
      <c r="M58" s="1001"/>
      <c r="N58" s="1001"/>
      <c r="O58" s="1001"/>
    </row>
    <row r="59" spans="1:15">
      <c r="D59" s="1051" t="s">
        <v>233</v>
      </c>
      <c r="E59" s="1051"/>
      <c r="F59" s="1051"/>
      <c r="G59" s="1051"/>
      <c r="H59" s="1051"/>
      <c r="I59" s="1051"/>
      <c r="J59" s="1051"/>
      <c r="K59" s="1051"/>
      <c r="L59" s="1051"/>
      <c r="M59" s="1051"/>
      <c r="N59" s="1051"/>
      <c r="O59" s="1051"/>
    </row>
    <row r="60" spans="1:15">
      <c r="H60" s="239"/>
    </row>
    <row r="61" spans="1:15">
      <c r="H61" s="234" t="s">
        <v>234</v>
      </c>
      <c r="K61" s="539" t="str">
        <f>+STATISTICS!C94</f>
        <v>/Нэр/</v>
      </c>
    </row>
    <row r="62" spans="1:15">
      <c r="H62" s="235"/>
    </row>
    <row r="63" spans="1:15">
      <c r="H63" s="234" t="s">
        <v>236</v>
      </c>
      <c r="K63" s="539" t="str">
        <f>+STATISTICS!C96</f>
        <v>/Нэр/</v>
      </c>
    </row>
    <row r="71" spans="2:7">
      <c r="B71" s="946" t="s">
        <v>427</v>
      </c>
      <c r="C71" s="946"/>
      <c r="D71" s="946"/>
      <c r="E71" s="946" t="s">
        <v>826</v>
      </c>
      <c r="F71" s="946" t="s">
        <v>827</v>
      </c>
      <c r="G71" s="946" t="s">
        <v>828</v>
      </c>
    </row>
    <row r="72" spans="2:7">
      <c r="B72" s="946" t="s">
        <v>829</v>
      </c>
      <c r="C72" s="946"/>
      <c r="D72" s="946"/>
      <c r="E72" s="946" t="s">
        <v>830</v>
      </c>
      <c r="F72" s="946" t="s">
        <v>831</v>
      </c>
      <c r="G72" s="946" t="s">
        <v>541</v>
      </c>
    </row>
    <row r="73" spans="2:7">
      <c r="B73" s="946" t="s">
        <v>429</v>
      </c>
      <c r="C73" s="946"/>
      <c r="D73" s="946"/>
      <c r="E73" s="946" t="s">
        <v>832</v>
      </c>
      <c r="F73" s="946" t="s">
        <v>833</v>
      </c>
      <c r="G73" s="946" t="s">
        <v>542</v>
      </c>
    </row>
    <row r="74" spans="2:7">
      <c r="B74" s="946" t="s">
        <v>430</v>
      </c>
      <c r="C74" s="946"/>
      <c r="D74" s="946"/>
      <c r="E74" s="946" t="s">
        <v>834</v>
      </c>
      <c r="F74" s="946" t="s">
        <v>835</v>
      </c>
      <c r="G74" s="946" t="s">
        <v>543</v>
      </c>
    </row>
    <row r="75" spans="2:7">
      <c r="B75" s="946" t="s">
        <v>431</v>
      </c>
      <c r="C75" s="946"/>
      <c r="D75" s="946"/>
      <c r="E75" s="946" t="s">
        <v>836</v>
      </c>
      <c r="F75" s="946" t="s">
        <v>837</v>
      </c>
      <c r="G75" s="946" t="s">
        <v>838</v>
      </c>
    </row>
    <row r="76" spans="2:7">
      <c r="B76" s="946" t="s">
        <v>432</v>
      </c>
      <c r="C76" s="946"/>
      <c r="D76" s="946"/>
      <c r="E76" s="946" t="s">
        <v>839</v>
      </c>
      <c r="F76" s="946" t="s">
        <v>840</v>
      </c>
      <c r="G76" s="946"/>
    </row>
    <row r="77" spans="2:7">
      <c r="B77" s="946" t="s">
        <v>433</v>
      </c>
      <c r="C77" s="946"/>
      <c r="D77" s="946"/>
      <c r="E77" s="946" t="s">
        <v>841</v>
      </c>
      <c r="F77" s="946" t="s">
        <v>842</v>
      </c>
      <c r="G77" s="946"/>
    </row>
    <row r="78" spans="2:7">
      <c r="B78" s="946" t="s">
        <v>434</v>
      </c>
      <c r="C78" s="946"/>
      <c r="D78" s="946"/>
      <c r="E78" s="946" t="s">
        <v>843</v>
      </c>
      <c r="F78" s="946"/>
      <c r="G78" s="946"/>
    </row>
    <row r="79" spans="2:7">
      <c r="B79" s="946" t="s">
        <v>435</v>
      </c>
      <c r="C79" s="946"/>
      <c r="D79" s="946"/>
      <c r="E79" s="946" t="s">
        <v>844</v>
      </c>
      <c r="F79" s="946"/>
      <c r="G79" s="946"/>
    </row>
    <row r="80" spans="2:7">
      <c r="B80" s="946" t="s">
        <v>436</v>
      </c>
      <c r="C80" s="946"/>
      <c r="D80" s="946"/>
      <c r="E80" s="946" t="s">
        <v>845</v>
      </c>
      <c r="F80" s="946"/>
      <c r="G80" s="946"/>
    </row>
    <row r="81" spans="2:7">
      <c r="B81" s="946" t="s">
        <v>437</v>
      </c>
      <c r="C81" s="946"/>
      <c r="D81" s="946"/>
      <c r="E81" s="946"/>
      <c r="F81" s="946"/>
      <c r="G81" s="946"/>
    </row>
    <row r="82" spans="2:7">
      <c r="B82" s="946" t="s">
        <v>438</v>
      </c>
      <c r="C82" s="946"/>
      <c r="D82" s="946"/>
      <c r="E82" s="946"/>
      <c r="F82" s="946"/>
      <c r="G82" s="946"/>
    </row>
    <row r="83" spans="2:7">
      <c r="B83" s="946" t="s">
        <v>439</v>
      </c>
      <c r="C83" s="946"/>
      <c r="D83" s="946"/>
      <c r="E83" s="946"/>
      <c r="F83" s="946"/>
      <c r="G83" s="946"/>
    </row>
    <row r="84" spans="2:7">
      <c r="B84" s="946" t="s">
        <v>440</v>
      </c>
      <c r="C84" s="946"/>
      <c r="D84" s="946"/>
      <c r="E84" s="946"/>
      <c r="F84" s="946"/>
      <c r="G84" s="946"/>
    </row>
    <row r="85" spans="2:7">
      <c r="B85" s="946" t="s">
        <v>441</v>
      </c>
      <c r="C85" s="946"/>
      <c r="D85" s="946"/>
      <c r="E85" s="946"/>
      <c r="F85" s="946"/>
      <c r="G85" s="946"/>
    </row>
    <row r="86" spans="2:7">
      <c r="B86" s="946" t="s">
        <v>442</v>
      </c>
      <c r="C86" s="946"/>
      <c r="D86" s="946"/>
      <c r="E86" s="946"/>
      <c r="F86" s="946"/>
      <c r="G86" s="946"/>
    </row>
    <row r="87" spans="2:7">
      <c r="B87" s="946" t="s">
        <v>443</v>
      </c>
      <c r="C87" s="946"/>
      <c r="D87" s="946"/>
      <c r="E87" s="946"/>
      <c r="F87" s="946"/>
      <c r="G87" s="946"/>
    </row>
    <row r="88" spans="2:7">
      <c r="B88" s="946" t="s">
        <v>444</v>
      </c>
      <c r="C88" s="946"/>
      <c r="D88" s="946"/>
      <c r="E88" s="946"/>
      <c r="F88" s="946"/>
      <c r="G88" s="946"/>
    </row>
    <row r="89" spans="2:7">
      <c r="B89" s="946" t="s">
        <v>445</v>
      </c>
      <c r="C89" s="946"/>
      <c r="D89" s="946"/>
      <c r="E89" s="946"/>
      <c r="F89" s="946"/>
      <c r="G89" s="946"/>
    </row>
  </sheetData>
  <sheetProtection algorithmName="SHA-512" hashValue="CpVZFDm7cpLKxyw4eV9NEADnSFcc7RJa+zMVDQO/RUgLicPZrxhKrBUrgsQ8XxrvuAesJlttW3tFlmF2pfMZLg==" saltValue="vA6ZJloe0Or1mqviHunfwA==" spinCount="100000" sheet="1" objects="1" scenarios="1"/>
  <mergeCells count="24">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 ref="N11:N12"/>
    <mergeCell ref="H11:H12"/>
    <mergeCell ref="D58:O58"/>
    <mergeCell ref="A11:A12"/>
    <mergeCell ref="E11:E12"/>
    <mergeCell ref="G11:G12"/>
    <mergeCell ref="J11:J12"/>
    <mergeCell ref="K11:K12"/>
  </mergeCells>
  <dataValidations xWindow="523" yWindow="400" count="9">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showErrorMessage="1" sqref="H13:J52">
      <formula1>1</formula1>
      <formula2>109860</formula2>
    </dataValidation>
    <dataValidation type="decimal" allowBlank="1" showInputMessage="1" showErrorMessage="1" sqref="E13:E53 L13:M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HiTech</cp:lastModifiedBy>
  <dcterms:created xsi:type="dcterms:W3CDTF">2020-12-08T01:12:14Z</dcterms:created>
  <dcterms:modified xsi:type="dcterms:W3CDTF">2021-02-10T08:56:49Z</dcterms:modified>
</cp:coreProperties>
</file>