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Bilguun_ch\Desktop\Фина\Давхар\"/>
    </mc:Choice>
  </mc:AlternateContent>
  <xr:revisionPtr revIDLastSave="0" documentId="13_ncr:1_{8B6A05D0-9A88-4A8E-8433-BB6AF409FE90}" xr6:coauthVersionLast="40" xr6:coauthVersionMax="40" xr10:uidLastSave="{00000000-0000-0000-0000-000000000000}"/>
  <bookViews>
    <workbookView xWindow="0" yWindow="0" windowWidth="20490" windowHeight="7545" firstSheet="8" activeTab="15" xr2:uid="{00000000-000D-0000-FFFF-FFFF00000000}"/>
  </bookViews>
  <sheets>
    <sheet name="i.04103" sheetId="1" r:id="rId1"/>
    <sheet name="i.04104" sheetId="2" r:id="rId2"/>
    <sheet name="i.04105" sheetId="3" r:id="rId3"/>
    <sheet name="i.04106" sheetId="4" r:id="rId4"/>
    <sheet name="i.04116" sheetId="5" r:id="rId5"/>
    <sheet name="i.04117" sheetId="6" r:id="rId6"/>
    <sheet name="i.04118a" sheetId="7" r:id="rId7"/>
    <sheet name="i.04118b" sheetId="8" r:id="rId8"/>
    <sheet name="i.04130a" sheetId="16" r:id="rId9"/>
    <sheet name="i.04130" sheetId="17" r:id="rId10"/>
    <sheet name="i.04131a" sheetId="19" r:id="rId11"/>
    <sheet name="i.04131" sheetId="20" r:id="rId12"/>
    <sheet name="i.04132" sheetId="11" r:id="rId13"/>
    <sheet name="i.04133" sheetId="12" r:id="rId14"/>
    <sheet name="i.04151" sheetId="23" r:id="rId15"/>
    <sheet name="i.04152" sheetId="24" r:id="rId16"/>
    <sheet name="i.04153a" sheetId="25" r:id="rId17"/>
    <sheet name="i.04154" sheetId="26" r:id="rId18"/>
    <sheet name="i.04144a" sheetId="21" r:id="rId19"/>
    <sheet name="i.04144" sheetId="22" r:id="rId20"/>
    <sheet name="i.04145" sheetId="15" r:id="rId21"/>
    <sheet name="i.04148" sheetId="27" r:id="rId22"/>
  </sheets>
  <externalReferences>
    <externalReference r:id="rId23"/>
  </externalReference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D31" i="22" l="1"/>
  <c r="H66" i="24"/>
  <c r="H67" i="24"/>
  <c r="D36" i="22"/>
  <c r="D9" i="22"/>
  <c r="F83" i="7" l="1"/>
  <c r="D83" i="7"/>
  <c r="B83" i="7"/>
  <c r="F81" i="7"/>
  <c r="F12" i="7" s="1"/>
  <c r="D81" i="7"/>
  <c r="B81" i="7"/>
  <c r="F79" i="7"/>
  <c r="D79" i="7"/>
  <c r="B79" i="7"/>
  <c r="B77" i="7"/>
  <c r="B75"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s="1"/>
  <c r="K12" i="7"/>
  <c r="I12" i="7"/>
  <c r="H12" i="7"/>
  <c r="G12" i="7"/>
  <c r="E12" i="7"/>
  <c r="D12" i="7"/>
  <c r="C12" i="7"/>
  <c r="I6" i="7"/>
  <c r="A6" i="7"/>
  <c r="E77" i="27" l="1"/>
  <c r="C77" i="27"/>
  <c r="B77" i="27"/>
  <c r="E75" i="27"/>
  <c r="C75" i="27"/>
  <c r="B75" i="27"/>
  <c r="E73" i="27"/>
  <c r="C73" i="27"/>
  <c r="B73" i="27"/>
  <c r="B71" i="27"/>
  <c r="B69" i="27"/>
  <c r="H66" i="27"/>
  <c r="F65" i="27"/>
  <c r="B65" i="27"/>
  <c r="F64" i="27"/>
  <c r="B64" i="27"/>
  <c r="F63" i="27"/>
  <c r="G63" i="27" s="1"/>
  <c r="B63" i="27"/>
  <c r="F62" i="27"/>
  <c r="B62" i="27"/>
  <c r="F61" i="27"/>
  <c r="G61" i="27" s="1"/>
  <c r="B61" i="27"/>
  <c r="F60" i="27"/>
  <c r="B60" i="27"/>
  <c r="F59" i="27"/>
  <c r="G59" i="27" s="1"/>
  <c r="B59" i="27"/>
  <c r="F58" i="27"/>
  <c r="B58" i="27"/>
  <c r="F57" i="27"/>
  <c r="G57" i="27" s="1"/>
  <c r="B57" i="27"/>
  <c r="F56" i="27"/>
  <c r="B56" i="27"/>
  <c r="F55" i="27"/>
  <c r="G55" i="27" s="1"/>
  <c r="B55" i="27"/>
  <c r="F54" i="27"/>
  <c r="B54" i="27"/>
  <c r="F53" i="27"/>
  <c r="G53" i="27" s="1"/>
  <c r="B53" i="27"/>
  <c r="E52" i="27"/>
  <c r="D52" i="27"/>
  <c r="F52" i="27" s="1"/>
  <c r="F51" i="27"/>
  <c r="B51" i="27"/>
  <c r="F50" i="27"/>
  <c r="B50" i="27"/>
  <c r="F49" i="27"/>
  <c r="B49" i="27"/>
  <c r="F48" i="27"/>
  <c r="B48" i="27"/>
  <c r="F47" i="27"/>
  <c r="B47" i="27"/>
  <c r="F46" i="27"/>
  <c r="B46" i="27"/>
  <c r="F45" i="27"/>
  <c r="B45" i="27"/>
  <c r="F44" i="27"/>
  <c r="B44" i="27"/>
  <c r="F43" i="27"/>
  <c r="B43" i="27"/>
  <c r="F42" i="27"/>
  <c r="B42" i="27"/>
  <c r="F41" i="27"/>
  <c r="B41" i="27"/>
  <c r="F40" i="27"/>
  <c r="B40" i="27"/>
  <c r="F39" i="27"/>
  <c r="B39" i="27"/>
  <c r="E38" i="27"/>
  <c r="D38" i="27"/>
  <c r="F38" i="27" s="1"/>
  <c r="F37" i="27"/>
  <c r="G37" i="27" s="1"/>
  <c r="B37" i="27"/>
  <c r="F36" i="27"/>
  <c r="B36" i="27"/>
  <c r="F35" i="27"/>
  <c r="G35" i="27" s="1"/>
  <c r="B35" i="27"/>
  <c r="F34" i="27"/>
  <c r="B34" i="27"/>
  <c r="F33" i="27"/>
  <c r="G33" i="27" s="1"/>
  <c r="B33" i="27"/>
  <c r="F32" i="27"/>
  <c r="B32" i="27"/>
  <c r="F31" i="27"/>
  <c r="G31" i="27" s="1"/>
  <c r="B31" i="27"/>
  <c r="F30" i="27"/>
  <c r="B30" i="27"/>
  <c r="F29" i="27"/>
  <c r="G29" i="27" s="1"/>
  <c r="B29" i="27"/>
  <c r="F28" i="27"/>
  <c r="B28" i="27"/>
  <c r="F27" i="27"/>
  <c r="G27" i="27" s="1"/>
  <c r="B27" i="27"/>
  <c r="F26" i="27"/>
  <c r="B26" i="27"/>
  <c r="F25" i="27"/>
  <c r="G25" i="27" s="1"/>
  <c r="B25" i="27"/>
  <c r="F24" i="27"/>
  <c r="E24" i="27"/>
  <c r="D24" i="27"/>
  <c r="A24" i="27"/>
  <c r="F23" i="27"/>
  <c r="B23" i="27"/>
  <c r="F22" i="27"/>
  <c r="G22" i="27" s="1"/>
  <c r="B22" i="27"/>
  <c r="F21" i="27"/>
  <c r="B21" i="27"/>
  <c r="F20" i="27"/>
  <c r="G20" i="27" s="1"/>
  <c r="B20" i="27"/>
  <c r="F19" i="27"/>
  <c r="B19" i="27"/>
  <c r="F18" i="27"/>
  <c r="G18" i="27" s="1"/>
  <c r="B18" i="27"/>
  <c r="F17" i="27"/>
  <c r="B17" i="27"/>
  <c r="F16" i="27"/>
  <c r="G16" i="27" s="1"/>
  <c r="B16" i="27"/>
  <c r="F15" i="27"/>
  <c r="B15" i="27"/>
  <c r="F14" i="27"/>
  <c r="G14" i="27" s="1"/>
  <c r="B14" i="27"/>
  <c r="F13" i="27"/>
  <c r="B13" i="27"/>
  <c r="F12" i="27"/>
  <c r="G12" i="27" s="1"/>
  <c r="B12" i="27"/>
  <c r="F11" i="27"/>
  <c r="B11" i="27"/>
  <c r="E10" i="27"/>
  <c r="E67" i="27" s="1"/>
  <c r="D10" i="27"/>
  <c r="F10" i="27" s="1"/>
  <c r="C10" i="27"/>
  <c r="C11" i="27" s="1"/>
  <c r="C12" i="27" s="1"/>
  <c r="C13" i="27" s="1"/>
  <c r="C14" i="27" s="1"/>
  <c r="C15" i="27" s="1"/>
  <c r="C16" i="27" s="1"/>
  <c r="C17" i="27" s="1"/>
  <c r="C18" i="27" s="1"/>
  <c r="C19" i="27" s="1"/>
  <c r="C20" i="27" s="1"/>
  <c r="C21" i="27" s="1"/>
  <c r="C22" i="27" s="1"/>
  <c r="C23" i="27" s="1"/>
  <c r="C24" i="27" s="1"/>
  <c r="C25" i="27" s="1"/>
  <c r="C26" i="27" s="1"/>
  <c r="C27" i="27" s="1"/>
  <c r="C28" i="27" s="1"/>
  <c r="C29" i="27" s="1"/>
  <c r="C30" i="27" s="1"/>
  <c r="C31" i="27" s="1"/>
  <c r="C32" i="27" s="1"/>
  <c r="C33" i="27" s="1"/>
  <c r="C34" i="27" s="1"/>
  <c r="C35" i="27" s="1"/>
  <c r="C36" i="27" s="1"/>
  <c r="C37" i="27" s="1"/>
  <c r="C38" i="27" s="1"/>
  <c r="C39" i="27" s="1"/>
  <c r="C40" i="27" s="1"/>
  <c r="C41" i="27" s="1"/>
  <c r="C42" i="27" s="1"/>
  <c r="C43" i="27" s="1"/>
  <c r="C44" i="27" s="1"/>
  <c r="C45" i="27" s="1"/>
  <c r="C46" i="27" s="1"/>
  <c r="C47" i="27" s="1"/>
  <c r="C48" i="27" s="1"/>
  <c r="C49" i="27" s="1"/>
  <c r="C50" i="27" s="1"/>
  <c r="C51" i="27" s="1"/>
  <c r="C52" i="27" s="1"/>
  <c r="C53" i="27" s="1"/>
  <c r="C54" i="27" s="1"/>
  <c r="C55" i="27" s="1"/>
  <c r="C56" i="27" s="1"/>
  <c r="C57" i="27" s="1"/>
  <c r="C58" i="27" s="1"/>
  <c r="C59" i="27" s="1"/>
  <c r="C60" i="27" s="1"/>
  <c r="C61" i="27" s="1"/>
  <c r="C62" i="27" s="1"/>
  <c r="C63" i="27" s="1"/>
  <c r="C64" i="27" s="1"/>
  <c r="C65" i="27" s="1"/>
  <c r="C66" i="27" s="1"/>
  <c r="C67" i="27" s="1"/>
  <c r="F9" i="27"/>
  <c r="F67" i="27" s="1"/>
  <c r="F5" i="27"/>
  <c r="A5" i="27"/>
  <c r="E21" i="15"/>
  <c r="B21" i="15"/>
  <c r="G11" i="27" l="1"/>
  <c r="G13" i="27"/>
  <c r="G15" i="27"/>
  <c r="G17" i="27"/>
  <c r="G19" i="27"/>
  <c r="G21" i="27"/>
  <c r="G23" i="27"/>
  <c r="G24" i="27"/>
  <c r="G26" i="27"/>
  <c r="G28" i="27"/>
  <c r="G30" i="27"/>
  <c r="G32" i="27"/>
  <c r="G34" i="27"/>
  <c r="G36" i="27"/>
  <c r="G54" i="27"/>
  <c r="G56" i="27"/>
  <c r="G58" i="27"/>
  <c r="G60" i="27"/>
  <c r="G62" i="27"/>
  <c r="G64" i="27"/>
  <c r="G67" i="27"/>
  <c r="G51" i="27"/>
  <c r="G50" i="27"/>
  <c r="G49" i="27"/>
  <c r="G48" i="27"/>
  <c r="G47" i="27"/>
  <c r="G46" i="27"/>
  <c r="G45" i="27"/>
  <c r="G44" i="27"/>
  <c r="G43" i="27"/>
  <c r="G42" i="27"/>
  <c r="G41" i="27"/>
  <c r="G40" i="27"/>
  <c r="G39" i="27"/>
  <c r="G66" i="27"/>
  <c r="G38" i="27"/>
  <c r="G52" i="27"/>
  <c r="G10" i="27"/>
  <c r="G65" i="27"/>
  <c r="D67" i="27"/>
  <c r="G9" i="27"/>
  <c r="H9" i="27" s="1"/>
  <c r="C165" i="16" l="1"/>
  <c r="K26" i="22" l="1"/>
  <c r="K21" i="22"/>
  <c r="D15" i="21"/>
  <c r="E15" i="21" s="1"/>
  <c r="C9" i="21"/>
  <c r="C55" i="24"/>
  <c r="C56" i="24"/>
  <c r="C57" i="24"/>
  <c r="C43" i="24"/>
  <c r="C44" i="24"/>
  <c r="C29" i="24"/>
  <c r="C30" i="24"/>
  <c r="C31" i="24" s="1"/>
  <c r="C16" i="24"/>
  <c r="C17" i="24"/>
  <c r="C18" i="24" s="1"/>
  <c r="C19" i="24" s="1"/>
  <c r="D20" i="4" l="1"/>
  <c r="H67" i="4"/>
  <c r="G67" i="4"/>
  <c r="F67" i="4"/>
  <c r="E67" i="4"/>
  <c r="D67" i="4"/>
  <c r="H53" i="4"/>
  <c r="G53" i="4"/>
  <c r="F53" i="4"/>
  <c r="E53" i="4"/>
  <c r="D53" i="4"/>
  <c r="E40" i="4"/>
  <c r="D40" i="4"/>
  <c r="H40" i="4"/>
  <c r="G40" i="4"/>
  <c r="F40" i="4"/>
  <c r="I20" i="4"/>
  <c r="H20" i="4"/>
  <c r="G20" i="4"/>
  <c r="F20" i="4"/>
  <c r="E20" i="4"/>
  <c r="J26" i="26" l="1"/>
  <c r="K26" i="26"/>
  <c r="L26" i="26"/>
  <c r="M26" i="26"/>
  <c r="N26" i="26"/>
  <c r="O26" i="26"/>
  <c r="P26" i="26"/>
  <c r="Q26" i="26"/>
  <c r="R26" i="26"/>
  <c r="S26" i="26"/>
  <c r="T26" i="26"/>
  <c r="U26" i="26"/>
  <c r="V26" i="26"/>
  <c r="W26" i="26"/>
  <c r="X26" i="26"/>
  <c r="Y26" i="26"/>
  <c r="Z26" i="26"/>
  <c r="I26" i="26"/>
  <c r="G26" i="26"/>
  <c r="D26" i="26"/>
  <c r="E26" i="26"/>
  <c r="F26" i="26"/>
  <c r="C26" i="26"/>
  <c r="T26" i="25"/>
  <c r="U26" i="25"/>
  <c r="V26" i="25"/>
  <c r="W26" i="25"/>
  <c r="S26" i="25"/>
  <c r="R26" i="25"/>
  <c r="Q26" i="25"/>
  <c r="P26" i="25"/>
  <c r="E26" i="25"/>
  <c r="F26" i="25"/>
  <c r="G26" i="25"/>
  <c r="H26" i="25"/>
  <c r="I26" i="25"/>
  <c r="J26" i="25"/>
  <c r="K26" i="25"/>
  <c r="L26" i="25"/>
  <c r="M26" i="25"/>
  <c r="N26" i="25"/>
  <c r="O26" i="25"/>
  <c r="D164" i="16" l="1"/>
  <c r="E14" i="20"/>
  <c r="E15" i="20"/>
  <c r="D15" i="20"/>
  <c r="D14" i="20"/>
  <c r="D77" i="17"/>
  <c r="C67" i="23"/>
  <c r="C10" i="23"/>
  <c r="A30" i="6" l="1"/>
  <c r="A31" i="6"/>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C146" i="16"/>
  <c r="C145" i="16"/>
  <c r="C144" i="16"/>
  <c r="C143" i="16"/>
  <c r="Q41" i="5" l="1"/>
  <c r="D41" i="5"/>
  <c r="E41" i="5"/>
  <c r="L41" i="5"/>
  <c r="K41" i="5"/>
  <c r="G41" i="5"/>
  <c r="E26" i="17" l="1"/>
  <c r="F83" i="24" l="1"/>
  <c r="A83" i="24"/>
  <c r="F82" i="24"/>
  <c r="F81" i="24"/>
  <c r="F80" i="24"/>
  <c r="F79" i="24"/>
  <c r="F78" i="24"/>
  <c r="F77" i="24"/>
  <c r="F76" i="24"/>
  <c r="F75" i="24"/>
  <c r="F74" i="24"/>
  <c r="A74" i="24"/>
  <c r="A75" i="24" s="1"/>
  <c r="A76" i="24" s="1"/>
  <c r="A77" i="24" s="1"/>
  <c r="A78" i="24" s="1"/>
  <c r="A79" i="24" s="1"/>
  <c r="A80" i="24" s="1"/>
  <c r="A81" i="24" s="1"/>
  <c r="F73" i="24"/>
  <c r="E72" i="24"/>
  <c r="F72" i="24" s="1"/>
  <c r="F71" i="24"/>
  <c r="F70" i="24"/>
  <c r="F69" i="24"/>
  <c r="F68" i="24"/>
  <c r="F67" i="24"/>
  <c r="F66" i="24"/>
  <c r="F65" i="24"/>
  <c r="F64" i="24"/>
  <c r="F63" i="24"/>
  <c r="F62" i="24"/>
  <c r="E61" i="24"/>
  <c r="D61" i="24"/>
  <c r="A61" i="24"/>
  <c r="A71" i="24" s="1"/>
  <c r="F60" i="24"/>
  <c r="B60" i="24"/>
  <c r="F59" i="24"/>
  <c r="B59" i="24"/>
  <c r="F58" i="24"/>
  <c r="B58" i="24"/>
  <c r="F57" i="24"/>
  <c r="B57" i="24"/>
  <c r="F56" i="24"/>
  <c r="B56" i="24"/>
  <c r="F55" i="24"/>
  <c r="B55" i="24"/>
  <c r="F54" i="24"/>
  <c r="B54" i="24"/>
  <c r="F53" i="24"/>
  <c r="B53" i="24"/>
  <c r="F52" i="24"/>
  <c r="B52" i="24"/>
  <c r="F51" i="24"/>
  <c r="B51" i="24"/>
  <c r="F50" i="24"/>
  <c r="B50" i="24"/>
  <c r="F49" i="24"/>
  <c r="B49" i="24"/>
  <c r="E48" i="24"/>
  <c r="D48" i="24"/>
  <c r="F47" i="24"/>
  <c r="B47" i="24"/>
  <c r="F46" i="24"/>
  <c r="B46" i="24"/>
  <c r="F45" i="24"/>
  <c r="B45" i="24"/>
  <c r="F44" i="24"/>
  <c r="B44" i="24"/>
  <c r="F43" i="24"/>
  <c r="B43" i="24"/>
  <c r="F42" i="24"/>
  <c r="B42" i="24"/>
  <c r="F41" i="24"/>
  <c r="B41" i="24"/>
  <c r="F40" i="24"/>
  <c r="B40" i="24"/>
  <c r="F39" i="24"/>
  <c r="B39" i="24"/>
  <c r="F38" i="24"/>
  <c r="B38" i="24"/>
  <c r="F37" i="24"/>
  <c r="B37" i="24"/>
  <c r="F36" i="24"/>
  <c r="B36" i="24"/>
  <c r="E35" i="24"/>
  <c r="D35" i="24"/>
  <c r="F34" i="24"/>
  <c r="B34" i="24"/>
  <c r="F33" i="24"/>
  <c r="B33" i="24"/>
  <c r="F32" i="24"/>
  <c r="B32" i="24"/>
  <c r="F31" i="24"/>
  <c r="B31" i="24"/>
  <c r="F30" i="24"/>
  <c r="B30" i="24"/>
  <c r="F29" i="24"/>
  <c r="B29" i="24"/>
  <c r="F28" i="24"/>
  <c r="B28" i="24"/>
  <c r="F27" i="24"/>
  <c r="B27" i="24"/>
  <c r="F26" i="24"/>
  <c r="B26" i="24"/>
  <c r="F25" i="24"/>
  <c r="B25" i="24"/>
  <c r="F24" i="24"/>
  <c r="B24" i="24"/>
  <c r="F23" i="24"/>
  <c r="B23" i="24"/>
  <c r="E22" i="24"/>
  <c r="D22" i="24"/>
  <c r="A22" i="24"/>
  <c r="F21" i="24"/>
  <c r="B21" i="24"/>
  <c r="F20" i="24"/>
  <c r="B20" i="24"/>
  <c r="F19" i="24"/>
  <c r="B19" i="24"/>
  <c r="F18" i="24"/>
  <c r="B18" i="24"/>
  <c r="F17" i="24"/>
  <c r="B17" i="24"/>
  <c r="F16" i="24"/>
  <c r="B16" i="24"/>
  <c r="F15" i="24"/>
  <c r="B15" i="24"/>
  <c r="F14" i="24"/>
  <c r="B14" i="24"/>
  <c r="F13" i="24"/>
  <c r="B13" i="24"/>
  <c r="F12" i="24"/>
  <c r="B12" i="24"/>
  <c r="F11" i="24"/>
  <c r="B11" i="24"/>
  <c r="F10" i="24"/>
  <c r="B10" i="24"/>
  <c r="E9" i="24"/>
  <c r="D9" i="24"/>
  <c r="F9" i="24" s="1"/>
  <c r="C9" i="24"/>
  <c r="C10" i="24" s="1"/>
  <c r="C11" i="24" s="1"/>
  <c r="C12" i="24" s="1"/>
  <c r="C13" i="24" s="1"/>
  <c r="C14" i="24" s="1"/>
  <c r="C15" i="24" s="1"/>
  <c r="C20" i="24" s="1"/>
  <c r="C21" i="24" s="1"/>
  <c r="C22" i="24" s="1"/>
  <c r="C23" i="24" s="1"/>
  <c r="C24" i="24" s="1"/>
  <c r="C25" i="24" s="1"/>
  <c r="C26" i="24" s="1"/>
  <c r="C27" i="24" s="1"/>
  <c r="C28" i="24" s="1"/>
  <c r="C32" i="24" s="1"/>
  <c r="C33" i="24" s="1"/>
  <c r="C34" i="24" s="1"/>
  <c r="C35" i="24" s="1"/>
  <c r="C36" i="24" s="1"/>
  <c r="C37" i="24" s="1"/>
  <c r="C38" i="24" s="1"/>
  <c r="C39" i="24" s="1"/>
  <c r="C40" i="24" s="1"/>
  <c r="C41" i="24" s="1"/>
  <c r="C42" i="24" s="1"/>
  <c r="C45" i="24" s="1"/>
  <c r="C46" i="24" s="1"/>
  <c r="C47" i="24" s="1"/>
  <c r="C48" i="24" s="1"/>
  <c r="C49" i="24" s="1"/>
  <c r="C50" i="24" s="1"/>
  <c r="C51" i="24" s="1"/>
  <c r="C52" i="24" s="1"/>
  <c r="C53" i="24" s="1"/>
  <c r="C54" i="24" s="1"/>
  <c r="C58" i="24" s="1"/>
  <c r="C59" i="24" s="1"/>
  <c r="C60" i="24" s="1"/>
  <c r="C61" i="24" s="1"/>
  <c r="C62" i="24" s="1"/>
  <c r="C63" i="24" s="1"/>
  <c r="C64" i="24" s="1"/>
  <c r="C65" i="24" s="1"/>
  <c r="C66" i="24" s="1"/>
  <c r="C67" i="24" s="1"/>
  <c r="C68" i="24" s="1"/>
  <c r="C69" i="24" s="1"/>
  <c r="C70" i="24" s="1"/>
  <c r="C71" i="24" s="1"/>
  <c r="C72" i="24" s="1"/>
  <c r="C73" i="24" s="1"/>
  <c r="C74" i="24" s="1"/>
  <c r="C75" i="24" s="1"/>
  <c r="C76" i="24" s="1"/>
  <c r="C77" i="24" s="1"/>
  <c r="C78" i="24" s="1"/>
  <c r="C79" i="24" s="1"/>
  <c r="C80" i="24" s="1"/>
  <c r="C81" i="24" s="1"/>
  <c r="C82" i="24" s="1"/>
  <c r="C83" i="24" s="1"/>
  <c r="C84" i="24" s="1"/>
  <c r="F8" i="24"/>
  <c r="C32" i="23"/>
  <c r="C47" i="23"/>
  <c r="B61" i="23"/>
  <c r="B60" i="23"/>
  <c r="B59" i="23"/>
  <c r="B58" i="23"/>
  <c r="B57" i="23"/>
  <c r="B56" i="23"/>
  <c r="B55" i="23"/>
  <c r="B54" i="23"/>
  <c r="B53" i="23"/>
  <c r="B52" i="23"/>
  <c r="B51" i="23"/>
  <c r="B50" i="23"/>
  <c r="B49" i="23"/>
  <c r="B48" i="23"/>
  <c r="B46" i="23"/>
  <c r="B45" i="23"/>
  <c r="B44" i="23"/>
  <c r="B43" i="23"/>
  <c r="B42" i="23"/>
  <c r="B41" i="23"/>
  <c r="B40" i="23"/>
  <c r="B39" i="23"/>
  <c r="B38" i="23"/>
  <c r="B37" i="23"/>
  <c r="B36" i="23"/>
  <c r="B35" i="23"/>
  <c r="B34" i="23"/>
  <c r="B33" i="23"/>
  <c r="D12" i="23"/>
  <c r="E12" i="23" s="1"/>
  <c r="B24" i="23"/>
  <c r="B23" i="23"/>
  <c r="B22" i="23"/>
  <c r="B21" i="23"/>
  <c r="B20" i="23"/>
  <c r="B19" i="23"/>
  <c r="B18" i="23"/>
  <c r="B17" i="23"/>
  <c r="B16" i="23"/>
  <c r="B15" i="23"/>
  <c r="B14" i="23"/>
  <c r="B13" i="23"/>
  <c r="B12" i="23"/>
  <c r="B11" i="23"/>
  <c r="E84" i="24" l="1"/>
  <c r="F61" i="24"/>
  <c r="F35" i="24"/>
  <c r="F48" i="24"/>
  <c r="C31" i="23"/>
  <c r="C76" i="23" s="1"/>
  <c r="D84" i="24"/>
  <c r="F22" i="24"/>
  <c r="D29" i="23"/>
  <c r="E29" i="23" s="1"/>
  <c r="D26" i="23"/>
  <c r="E26" i="23" s="1"/>
  <c r="D18" i="23"/>
  <c r="E18" i="23" s="1"/>
  <c r="D14" i="23"/>
  <c r="E14" i="23" s="1"/>
  <c r="D30" i="23"/>
  <c r="E30" i="23" s="1"/>
  <c r="D21" i="23"/>
  <c r="E21" i="23" s="1"/>
  <c r="D22" i="23"/>
  <c r="E22" i="23" s="1"/>
  <c r="D13" i="23"/>
  <c r="E13" i="23" s="1"/>
  <c r="D25" i="23"/>
  <c r="E25" i="23" s="1"/>
  <c r="D17" i="23"/>
  <c r="E17" i="23" s="1"/>
  <c r="D11" i="23"/>
  <c r="E11" i="23" s="1"/>
  <c r="D27" i="23"/>
  <c r="E27" i="23" s="1"/>
  <c r="D23" i="23"/>
  <c r="E23" i="23" s="1"/>
  <c r="D19" i="23"/>
  <c r="E19" i="23" s="1"/>
  <c r="D15" i="23"/>
  <c r="E15" i="23" s="1"/>
  <c r="D28" i="23"/>
  <c r="E28" i="23" s="1"/>
  <c r="D24" i="23"/>
  <c r="E24" i="23" s="1"/>
  <c r="D20" i="23"/>
  <c r="E20" i="23" s="1"/>
  <c r="D16" i="23"/>
  <c r="E16" i="23" s="1"/>
  <c r="F84" i="24" l="1"/>
  <c r="G27" i="24" s="1"/>
  <c r="G65" i="24"/>
  <c r="H65" i="24" s="1"/>
  <c r="G54" i="24"/>
  <c r="G28" i="24"/>
  <c r="G53" i="24"/>
  <c r="G76" i="24"/>
  <c r="G29" i="24"/>
  <c r="G42" i="24"/>
  <c r="G40" i="24"/>
  <c r="G60" i="24"/>
  <c r="G44" i="24"/>
  <c r="G73" i="24"/>
  <c r="G31" i="24"/>
  <c r="G78" i="24"/>
  <c r="G55" i="24"/>
  <c r="G63" i="24"/>
  <c r="H63" i="24" s="1"/>
  <c r="G50" i="24"/>
  <c r="G58" i="24"/>
  <c r="G51" i="24"/>
  <c r="G26" i="24"/>
  <c r="G79" i="24"/>
  <c r="G70" i="24"/>
  <c r="G38" i="24"/>
  <c r="G59" i="24"/>
  <c r="G47" i="24"/>
  <c r="G56" i="24"/>
  <c r="G49" i="24"/>
  <c r="G64" i="24"/>
  <c r="H64" i="24" s="1"/>
  <c r="G22" i="24"/>
  <c r="G84" i="24"/>
  <c r="G19" i="24"/>
  <c r="G12" i="24"/>
  <c r="G17" i="24"/>
  <c r="G10" i="24"/>
  <c r="G18" i="24"/>
  <c r="G11" i="24"/>
  <c r="G20" i="24"/>
  <c r="G13" i="24"/>
  <c r="G21" i="24"/>
  <c r="G14" i="24"/>
  <c r="G48" i="24"/>
  <c r="H48" i="24" s="1"/>
  <c r="G15" i="24"/>
  <c r="G36" i="24"/>
  <c r="G61" i="24"/>
  <c r="G43" i="24"/>
  <c r="G9" i="24"/>
  <c r="D38" i="23"/>
  <c r="E38" i="23" s="1"/>
  <c r="D76" i="23"/>
  <c r="D37" i="23"/>
  <c r="E37" i="23" s="1"/>
  <c r="D53" i="23"/>
  <c r="E53" i="23" s="1"/>
  <c r="D69" i="23"/>
  <c r="E69" i="23" s="1"/>
  <c r="D46" i="23"/>
  <c r="E46" i="23" s="1"/>
  <c r="D57" i="23"/>
  <c r="E57" i="23" s="1"/>
  <c r="D50" i="23"/>
  <c r="E50" i="23" s="1"/>
  <c r="D35" i="23"/>
  <c r="E35" i="23" s="1"/>
  <c r="D36" i="23"/>
  <c r="E36" i="23" s="1"/>
  <c r="D68" i="23"/>
  <c r="E68" i="23" s="1"/>
  <c r="D45" i="23"/>
  <c r="E45" i="23" s="1"/>
  <c r="D61" i="23"/>
  <c r="E61" i="23" s="1"/>
  <c r="D34" i="23"/>
  <c r="E34" i="23" s="1"/>
  <c r="D54" i="23"/>
  <c r="E54" i="23" s="1"/>
  <c r="D70" i="23"/>
  <c r="E70" i="23" s="1"/>
  <c r="D39" i="23"/>
  <c r="E39" i="23" s="1"/>
  <c r="D55" i="23"/>
  <c r="E55" i="23" s="1"/>
  <c r="D71" i="23"/>
  <c r="E71" i="23" s="1"/>
  <c r="D40" i="23"/>
  <c r="E40" i="23" s="1"/>
  <c r="D56" i="23"/>
  <c r="E56" i="23" s="1"/>
  <c r="D72" i="23"/>
  <c r="E72" i="23" s="1"/>
  <c r="D62" i="23"/>
  <c r="D31" i="23"/>
  <c r="D47" i="23"/>
  <c r="D63" i="23"/>
  <c r="E63" i="23" s="1"/>
  <c r="D10" i="23"/>
  <c r="E10" i="23" s="1"/>
  <c r="D48" i="23"/>
  <c r="E48" i="23" s="1"/>
  <c r="D64" i="23"/>
  <c r="E64" i="23" s="1"/>
  <c r="D41" i="23"/>
  <c r="E41" i="23" s="1"/>
  <c r="D73" i="23"/>
  <c r="E73" i="23" s="1"/>
  <c r="D66" i="23"/>
  <c r="E66" i="23" s="1"/>
  <c r="D51" i="23"/>
  <c r="E51" i="23" s="1"/>
  <c r="D67" i="23"/>
  <c r="E67" i="23" s="1"/>
  <c r="D52" i="23"/>
  <c r="E52" i="23" s="1"/>
  <c r="D33" i="23"/>
  <c r="E33" i="23" s="1"/>
  <c r="D49" i="23"/>
  <c r="E49" i="23" s="1"/>
  <c r="D65" i="23"/>
  <c r="E65" i="23" s="1"/>
  <c r="D42" i="23"/>
  <c r="E42" i="23" s="1"/>
  <c r="D58" i="23"/>
  <c r="E58" i="23" s="1"/>
  <c r="D74" i="23"/>
  <c r="E74" i="23" s="1"/>
  <c r="D43" i="23"/>
  <c r="E43" i="23" s="1"/>
  <c r="D59" i="23"/>
  <c r="E59" i="23" s="1"/>
  <c r="D75" i="23"/>
  <c r="E75" i="23" s="1"/>
  <c r="D44" i="23"/>
  <c r="E44" i="23" s="1"/>
  <c r="D60" i="23"/>
  <c r="E60" i="23" s="1"/>
  <c r="D32" i="23"/>
  <c r="G45" i="24" l="1"/>
  <c r="G8" i="24"/>
  <c r="H8" i="24" s="1"/>
  <c r="G69" i="24"/>
  <c r="H69" i="24" s="1"/>
  <c r="G75" i="24"/>
  <c r="G34" i="24"/>
  <c r="G72" i="24"/>
  <c r="H72" i="24" s="1"/>
  <c r="G74" i="24"/>
  <c r="G35" i="24"/>
  <c r="G57" i="24"/>
  <c r="G81" i="24"/>
  <c r="G30" i="24"/>
  <c r="G83" i="24"/>
  <c r="H83" i="24" s="1"/>
  <c r="G66" i="24"/>
  <c r="G46" i="24"/>
  <c r="G71" i="24"/>
  <c r="H71" i="24" s="1"/>
  <c r="G16" i="24"/>
  <c r="G77" i="24"/>
  <c r="G39" i="24"/>
  <c r="G80" i="24"/>
  <c r="G68" i="24"/>
  <c r="H68" i="24" s="1"/>
  <c r="G52" i="24"/>
  <c r="G25" i="24"/>
  <c r="G23" i="24"/>
  <c r="G32" i="24"/>
  <c r="G33" i="24"/>
  <c r="G82" i="24"/>
  <c r="G67" i="24"/>
  <c r="G41" i="24"/>
  <c r="G37" i="24"/>
  <c r="G24" i="24"/>
  <c r="G62" i="24"/>
  <c r="G12" i="11"/>
  <c r="D145" i="16" s="1"/>
  <c r="B22" i="15" l="1"/>
  <c r="B20" i="15"/>
  <c r="B19" i="15"/>
  <c r="C18" i="15"/>
  <c r="B18" i="15"/>
  <c r="C17" i="15"/>
  <c r="B17" i="15"/>
  <c r="E16" i="15"/>
  <c r="B16" i="15"/>
  <c r="E15" i="15"/>
  <c r="B15" i="15"/>
  <c r="C14" i="15"/>
  <c r="B14" i="15"/>
  <c r="E13" i="15"/>
  <c r="B13" i="15"/>
  <c r="E12" i="15"/>
  <c r="B12" i="15"/>
  <c r="C11" i="15"/>
  <c r="B11" i="15"/>
  <c r="C10" i="15"/>
  <c r="B10" i="15"/>
  <c r="H19" i="22"/>
  <c r="H27" i="22"/>
  <c r="H28" i="22"/>
  <c r="H29" i="22"/>
  <c r="H30" i="22"/>
  <c r="H32" i="22"/>
  <c r="H33" i="22"/>
  <c r="H34" i="22"/>
  <c r="H35" i="22"/>
  <c r="G19" i="22"/>
  <c r="D254" i="21"/>
  <c r="D244" i="21"/>
  <c r="D233" i="21"/>
  <c r="D234" i="21"/>
  <c r="E234" i="21" s="1"/>
  <c r="D235" i="21"/>
  <c r="E235" i="21" s="1"/>
  <c r="D236" i="21"/>
  <c r="D237" i="21"/>
  <c r="E237" i="21" s="1"/>
  <c r="D238" i="21"/>
  <c r="D239" i="21"/>
  <c r="E239" i="21" s="1"/>
  <c r="D240" i="21"/>
  <c r="D241" i="21"/>
  <c r="E241" i="21" s="1"/>
  <c r="D242" i="21"/>
  <c r="D232" i="21"/>
  <c r="D102" i="21"/>
  <c r="B57" i="22"/>
  <c r="B56" i="22"/>
  <c r="B55" i="22"/>
  <c r="B54" i="22"/>
  <c r="B53" i="22"/>
  <c r="B52" i="22"/>
  <c r="B51" i="22"/>
  <c r="B50" i="22"/>
  <c r="B49" i="22"/>
  <c r="B48" i="22"/>
  <c r="B47" i="22"/>
  <c r="B46" i="22"/>
  <c r="B45" i="22"/>
  <c r="B44" i="22"/>
  <c r="B43" i="22"/>
  <c r="B42" i="22"/>
  <c r="B41" i="22"/>
  <c r="B40" i="22"/>
  <c r="B39" i="22"/>
  <c r="B38" i="22"/>
  <c r="B37" i="22"/>
  <c r="B36" i="22"/>
  <c r="K35" i="22"/>
  <c r="G35" i="22"/>
  <c r="E35" i="22"/>
  <c r="K34" i="22"/>
  <c r="G34" i="22"/>
  <c r="E34" i="22"/>
  <c r="K33" i="22"/>
  <c r="G33" i="22"/>
  <c r="E33" i="22"/>
  <c r="K32" i="22"/>
  <c r="G32" i="22"/>
  <c r="E32" i="22"/>
  <c r="B31" i="22"/>
  <c r="K30" i="22"/>
  <c r="G30" i="22"/>
  <c r="E30" i="22"/>
  <c r="K29" i="22"/>
  <c r="G29" i="22"/>
  <c r="E29" i="22"/>
  <c r="K28" i="22"/>
  <c r="G28" i="22"/>
  <c r="E28" i="22"/>
  <c r="K27" i="22"/>
  <c r="G27" i="22"/>
  <c r="E27" i="22"/>
  <c r="B26" i="22"/>
  <c r="K25" i="22"/>
  <c r="K24" i="22"/>
  <c r="K23" i="22"/>
  <c r="B21" i="22"/>
  <c r="B20" i="22"/>
  <c r="B19" i="22"/>
  <c r="B18" i="22"/>
  <c r="B17" i="22"/>
  <c r="B16" i="22"/>
  <c r="B15" i="22"/>
  <c r="B14" i="22"/>
  <c r="B13" i="22"/>
  <c r="B12" i="22"/>
  <c r="B11" i="22"/>
  <c r="B10" i="22"/>
  <c r="B9" i="22"/>
  <c r="B351" i="21"/>
  <c r="B350" i="21"/>
  <c r="B349" i="21"/>
  <c r="C338" i="21"/>
  <c r="B338" i="21"/>
  <c r="B337" i="21"/>
  <c r="C326" i="21"/>
  <c r="B326" i="21"/>
  <c r="B325" i="21"/>
  <c r="C314" i="21"/>
  <c r="B314" i="21"/>
  <c r="B313" i="21"/>
  <c r="C302" i="21"/>
  <c r="B302" i="21"/>
  <c r="B301" i="21"/>
  <c r="C295" i="21"/>
  <c r="B295" i="21"/>
  <c r="B294" i="21"/>
  <c r="C288" i="21"/>
  <c r="B288" i="21"/>
  <c r="B287" i="21"/>
  <c r="C281" i="21"/>
  <c r="B281" i="21"/>
  <c r="B280" i="21"/>
  <c r="C274" i="21"/>
  <c r="B274" i="21"/>
  <c r="B273" i="21"/>
  <c r="C267" i="21"/>
  <c r="B267" i="21"/>
  <c r="B266" i="21"/>
  <c r="C255" i="21"/>
  <c r="B255" i="21"/>
  <c r="B254" i="21"/>
  <c r="D253" i="21"/>
  <c r="E253" i="21" s="1"/>
  <c r="D252" i="21"/>
  <c r="E252" i="21" s="1"/>
  <c r="D251" i="21"/>
  <c r="E251" i="21" s="1"/>
  <c r="E250" i="21"/>
  <c r="D250" i="21"/>
  <c r="D249" i="21"/>
  <c r="E249" i="21" s="1"/>
  <c r="D248" i="21"/>
  <c r="E248" i="21" s="1"/>
  <c r="D247" i="21"/>
  <c r="E247" i="21" s="1"/>
  <c r="D246" i="21"/>
  <c r="E246" i="21" s="1"/>
  <c r="D245" i="21"/>
  <c r="E245" i="21" s="1"/>
  <c r="E244" i="21"/>
  <c r="C243" i="21"/>
  <c r="B243" i="21"/>
  <c r="E242" i="21"/>
  <c r="B242" i="21"/>
  <c r="E240" i="21"/>
  <c r="E238" i="21"/>
  <c r="E236" i="21"/>
  <c r="E233" i="21"/>
  <c r="E232" i="21"/>
  <c r="C231" i="21"/>
  <c r="B231" i="21"/>
  <c r="B230" i="21"/>
  <c r="C219" i="21"/>
  <c r="B219" i="21"/>
  <c r="B218" i="21"/>
  <c r="C207" i="21"/>
  <c r="B207" i="21"/>
  <c r="B206" i="21"/>
  <c r="C195" i="21"/>
  <c r="B195" i="21"/>
  <c r="B194" i="21"/>
  <c r="C183" i="21"/>
  <c r="B183" i="21"/>
  <c r="B182" i="21"/>
  <c r="C171" i="21"/>
  <c r="B171" i="21"/>
  <c r="B170" i="21"/>
  <c r="C159" i="21"/>
  <c r="B159" i="21"/>
  <c r="B158" i="21"/>
  <c r="C147" i="21"/>
  <c r="B147" i="21"/>
  <c r="B146" i="21"/>
  <c r="C135" i="21"/>
  <c r="B135" i="21"/>
  <c r="B134" i="21"/>
  <c r="C123" i="21"/>
  <c r="B123" i="21"/>
  <c r="B122" i="21"/>
  <c r="C111" i="21"/>
  <c r="B111" i="21"/>
  <c r="B110" i="21"/>
  <c r="C104" i="21"/>
  <c r="B104" i="21"/>
  <c r="B103" i="21"/>
  <c r="E102" i="21"/>
  <c r="B102" i="21"/>
  <c r="B101" i="21"/>
  <c r="C90" i="21"/>
  <c r="B90" i="21"/>
  <c r="B89" i="21"/>
  <c r="C83" i="21"/>
  <c r="B83" i="21"/>
  <c r="B82" i="21"/>
  <c r="C76" i="21"/>
  <c r="B76" i="21"/>
  <c r="B75" i="21"/>
  <c r="C69" i="21"/>
  <c r="B69" i="21"/>
  <c r="B68" i="21"/>
  <c r="C62" i="21"/>
  <c r="B62" i="21"/>
  <c r="B61" i="21"/>
  <c r="C55" i="21"/>
  <c r="B55" i="21"/>
  <c r="B54" i="21"/>
  <c r="B53" i="21"/>
  <c r="C42" i="21"/>
  <c r="B42" i="21"/>
  <c r="B41" i="21"/>
  <c r="C30" i="21"/>
  <c r="B30" i="21"/>
  <c r="B23" i="21"/>
  <c r="B22" i="21"/>
  <c r="B21" i="21"/>
  <c r="B20" i="21"/>
  <c r="B19" i="21"/>
  <c r="B18" i="21"/>
  <c r="B17" i="21"/>
  <c r="B16" i="21"/>
  <c r="B14" i="21"/>
  <c r="B13" i="21"/>
  <c r="B12" i="21"/>
  <c r="B11" i="21"/>
  <c r="B10" i="21"/>
  <c r="B9" i="21"/>
  <c r="E36" i="12"/>
  <c r="F36" i="12"/>
  <c r="D6" i="19" s="1"/>
  <c r="E10" i="20" s="1"/>
  <c r="F38" i="12" s="1"/>
  <c r="G36" i="12"/>
  <c r="H36" i="12"/>
  <c r="D7" i="19" s="1"/>
  <c r="E11" i="20" s="1"/>
  <c r="H38" i="12" s="1"/>
  <c r="I36" i="12"/>
  <c r="D27" i="19" s="1"/>
  <c r="J36" i="12"/>
  <c r="K36" i="12"/>
  <c r="D31" i="19" s="1"/>
  <c r="E17" i="20" s="1"/>
  <c r="K38" i="12" s="1"/>
  <c r="D36" i="12"/>
  <c r="F14" i="11"/>
  <c r="E14" i="11"/>
  <c r="D14" i="11"/>
  <c r="G13" i="11"/>
  <c r="D146" i="16" s="1"/>
  <c r="E82" i="17" s="1"/>
  <c r="H13" i="11" s="1"/>
  <c r="G11" i="11"/>
  <c r="D144" i="16" s="1"/>
  <c r="C11" i="11"/>
  <c r="G10" i="11"/>
  <c r="D143" i="16" s="1"/>
  <c r="E20" i="20"/>
  <c r="E23" i="20" s="1"/>
  <c r="E21" i="20"/>
  <c r="E22" i="20"/>
  <c r="D21" i="20"/>
  <c r="D22" i="20"/>
  <c r="D20" i="20"/>
  <c r="E59" i="20"/>
  <c r="D59" i="20"/>
  <c r="E50" i="20"/>
  <c r="E52" i="20"/>
  <c r="E56" i="20"/>
  <c r="D56" i="20"/>
  <c r="D52" i="20"/>
  <c r="D50" i="20"/>
  <c r="E31" i="20"/>
  <c r="E32" i="20"/>
  <c r="E33" i="20"/>
  <c r="E34" i="20"/>
  <c r="E35" i="20"/>
  <c r="E36" i="20"/>
  <c r="E37" i="20"/>
  <c r="E38" i="20"/>
  <c r="E39" i="20"/>
  <c r="E40" i="20"/>
  <c r="E41" i="20"/>
  <c r="E42" i="20"/>
  <c r="E43" i="20"/>
  <c r="E44" i="20"/>
  <c r="E45" i="20"/>
  <c r="D45" i="20"/>
  <c r="D44" i="20"/>
  <c r="D43" i="20"/>
  <c r="D42" i="20"/>
  <c r="D41" i="20"/>
  <c r="D40" i="20"/>
  <c r="D39" i="20"/>
  <c r="D38" i="20"/>
  <c r="D37" i="20"/>
  <c r="D36" i="20"/>
  <c r="D35" i="20"/>
  <c r="D34" i="20"/>
  <c r="D33" i="20"/>
  <c r="D32" i="20"/>
  <c r="D31" i="20"/>
  <c r="E25" i="20"/>
  <c r="E26" i="20"/>
  <c r="E27" i="20"/>
  <c r="D27" i="20"/>
  <c r="D26" i="20"/>
  <c r="D25" i="20"/>
  <c r="D17" i="20"/>
  <c r="E12" i="20"/>
  <c r="I38" i="12" s="1"/>
  <c r="D12" i="20"/>
  <c r="D10" i="20"/>
  <c r="D13" i="20" s="1"/>
  <c r="D16" i="20" s="1"/>
  <c r="D18" i="20" s="1"/>
  <c r="D11" i="20"/>
  <c r="C11" i="20"/>
  <c r="E86" i="17"/>
  <c r="E87" i="17"/>
  <c r="E88" i="17"/>
  <c r="E89" i="17"/>
  <c r="E90" i="17"/>
  <c r="E91" i="17"/>
  <c r="E92" i="17"/>
  <c r="D93" i="17"/>
  <c r="D92" i="17"/>
  <c r="D91" i="17"/>
  <c r="D90" i="17"/>
  <c r="D89" i="17"/>
  <c r="D88" i="17"/>
  <c r="D87" i="17"/>
  <c r="D86" i="17"/>
  <c r="E75" i="17"/>
  <c r="E76" i="17"/>
  <c r="E77" i="17"/>
  <c r="D76" i="17"/>
  <c r="D75" i="17"/>
  <c r="E79" i="17"/>
  <c r="E80" i="17"/>
  <c r="E81" i="17"/>
  <c r="H12" i="11" s="1"/>
  <c r="D80" i="17"/>
  <c r="D81" i="17"/>
  <c r="D82" i="17"/>
  <c r="D79" i="17"/>
  <c r="E63" i="17"/>
  <c r="E64" i="17"/>
  <c r="E65" i="17"/>
  <c r="E66" i="17"/>
  <c r="E67" i="17"/>
  <c r="E68" i="17"/>
  <c r="E69" i="17"/>
  <c r="E70" i="17"/>
  <c r="E71" i="17"/>
  <c r="E72" i="17"/>
  <c r="E73" i="17"/>
  <c r="D73" i="17"/>
  <c r="D72" i="17"/>
  <c r="D71" i="17"/>
  <c r="D70" i="17"/>
  <c r="D69" i="17"/>
  <c r="D68" i="17"/>
  <c r="D67" i="17"/>
  <c r="D66" i="17"/>
  <c r="D65" i="17"/>
  <c r="D64" i="17"/>
  <c r="D63" i="17"/>
  <c r="E55" i="17"/>
  <c r="E56" i="17"/>
  <c r="E57" i="17"/>
  <c r="E58" i="17"/>
  <c r="E59" i="17"/>
  <c r="E60" i="17"/>
  <c r="D60" i="17"/>
  <c r="D59" i="17"/>
  <c r="D58" i="17"/>
  <c r="D57" i="17"/>
  <c r="D56" i="17"/>
  <c r="D55" i="17"/>
  <c r="E50" i="17"/>
  <c r="E51" i="17"/>
  <c r="E52" i="17"/>
  <c r="D52" i="17"/>
  <c r="D51" i="17"/>
  <c r="D50" i="17"/>
  <c r="E43" i="17"/>
  <c r="G43" i="5" s="1"/>
  <c r="E44" i="17"/>
  <c r="E45" i="17"/>
  <c r="D45" i="17"/>
  <c r="D44" i="17"/>
  <c r="D43" i="17"/>
  <c r="E39" i="17"/>
  <c r="E40" i="17"/>
  <c r="E41" i="17"/>
  <c r="D40" i="17"/>
  <c r="D41" i="17"/>
  <c r="D39" i="17"/>
  <c r="E33" i="17"/>
  <c r="E34" i="17"/>
  <c r="E35" i="17"/>
  <c r="E36" i="17"/>
  <c r="D36" i="17"/>
  <c r="D35" i="17"/>
  <c r="D34" i="17"/>
  <c r="D33" i="17"/>
  <c r="E25" i="17"/>
  <c r="E27" i="17"/>
  <c r="E28" i="17"/>
  <c r="E29" i="17"/>
  <c r="E30" i="17"/>
  <c r="D30" i="17"/>
  <c r="D29" i="17"/>
  <c r="D28" i="17"/>
  <c r="D27" i="17"/>
  <c r="D26" i="17"/>
  <c r="D25" i="17"/>
  <c r="E22" i="17"/>
  <c r="D22" i="17"/>
  <c r="D23" i="17" s="1"/>
  <c r="E18" i="17"/>
  <c r="E19" i="17"/>
  <c r="D19" i="17"/>
  <c r="D18" i="17"/>
  <c r="E12" i="17"/>
  <c r="E13" i="17"/>
  <c r="E14" i="17"/>
  <c r="E15" i="17"/>
  <c r="D15" i="17"/>
  <c r="D14" i="17"/>
  <c r="D13" i="17"/>
  <c r="D12" i="17"/>
  <c r="E23" i="17"/>
  <c r="C15" i="17"/>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13" i="17"/>
  <c r="C11" i="17"/>
  <c r="C164" i="16"/>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K12" i="8"/>
  <c r="I12" i="8"/>
  <c r="H12" i="8"/>
  <c r="G12" i="8"/>
  <c r="F12" i="8"/>
  <c r="E12" i="8"/>
  <c r="D12" i="8"/>
  <c r="C12" i="8"/>
  <c r="A12" i="6"/>
  <c r="A13" i="6" s="1"/>
  <c r="A14" i="6" s="1"/>
  <c r="A15" i="6" s="1"/>
  <c r="A16" i="6" s="1"/>
  <c r="A17" i="6" s="1"/>
  <c r="A18" i="6" s="1"/>
  <c r="A19" i="6" s="1"/>
  <c r="A20" i="6" s="1"/>
  <c r="A21" i="6" s="1"/>
  <c r="A22" i="6" s="1"/>
  <c r="A23" i="6" s="1"/>
  <c r="A24" i="6" s="1"/>
  <c r="A25" i="6" s="1"/>
  <c r="A26" i="6" s="1"/>
  <c r="A27" i="6" s="1"/>
  <c r="A28" i="6" s="1"/>
  <c r="A29" i="6" s="1"/>
  <c r="A11" i="6"/>
  <c r="G9" i="6"/>
  <c r="F9" i="6"/>
  <c r="E9" i="6"/>
  <c r="S41" i="5"/>
  <c r="R41" i="5"/>
  <c r="P41" i="5"/>
  <c r="O41" i="5"/>
  <c r="N41" i="5"/>
  <c r="M41" i="5"/>
  <c r="J41" i="5"/>
  <c r="I41" i="5"/>
  <c r="H41" i="5"/>
  <c r="F41" i="5"/>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F9" i="5"/>
  <c r="G9" i="5" s="1"/>
  <c r="H9" i="5" s="1"/>
  <c r="I9" i="5" s="1"/>
  <c r="J9" i="5" s="1"/>
  <c r="K9" i="5" s="1"/>
  <c r="L9" i="5" s="1"/>
  <c r="M9" i="5" s="1"/>
  <c r="N9" i="5" s="1"/>
  <c r="O9" i="5" s="1"/>
  <c r="P9" i="5" s="1"/>
  <c r="Q9" i="5" s="1"/>
  <c r="R9" i="5" s="1"/>
  <c r="S9" i="5" s="1"/>
  <c r="E9" i="5"/>
  <c r="H68" i="4"/>
  <c r="F68" i="4"/>
  <c r="D68" i="4"/>
  <c r="I67" i="4"/>
  <c r="H66" i="4"/>
  <c r="G66" i="4"/>
  <c r="G68" i="4" s="1"/>
  <c r="F66" i="4"/>
  <c r="E66" i="4"/>
  <c r="E68" i="4" s="1"/>
  <c r="D66" i="4"/>
  <c r="I65" i="4"/>
  <c r="I64" i="4"/>
  <c r="I63" i="4"/>
  <c r="I62" i="4"/>
  <c r="I61" i="4"/>
  <c r="I60" i="4"/>
  <c r="I59" i="4"/>
  <c r="I58" i="4"/>
  <c r="I57" i="4"/>
  <c r="I56" i="4"/>
  <c r="G54" i="4"/>
  <c r="E54" i="4"/>
  <c r="I53" i="4"/>
  <c r="H52" i="4"/>
  <c r="H54" i="4" s="1"/>
  <c r="G52" i="4"/>
  <c r="F52" i="4"/>
  <c r="F54" i="4" s="1"/>
  <c r="E52" i="4"/>
  <c r="D52" i="4"/>
  <c r="D54" i="4" s="1"/>
  <c r="I51" i="4"/>
  <c r="I50" i="4"/>
  <c r="I49" i="4"/>
  <c r="E41" i="4"/>
  <c r="I40" i="4"/>
  <c r="H39" i="4"/>
  <c r="H41" i="4" s="1"/>
  <c r="G39" i="4"/>
  <c r="G41" i="4" s="1"/>
  <c r="F39" i="4"/>
  <c r="F41" i="4" s="1"/>
  <c r="E39" i="4"/>
  <c r="D39" i="4"/>
  <c r="D41" i="4" s="1"/>
  <c r="I38" i="4"/>
  <c r="I37" i="4"/>
  <c r="I36" i="4"/>
  <c r="I35" i="4"/>
  <c r="I34" i="4"/>
  <c r="I33" i="4"/>
  <c r="I32" i="4"/>
  <c r="I31" i="4"/>
  <c r="I30" i="4"/>
  <c r="I29" i="4"/>
  <c r="H21" i="4"/>
  <c r="F21" i="4"/>
  <c r="H19" i="4"/>
  <c r="G19" i="4"/>
  <c r="G21" i="4" s="1"/>
  <c r="F19" i="4"/>
  <c r="E19" i="4"/>
  <c r="D19" i="4"/>
  <c r="D21" i="4" s="1"/>
  <c r="I18" i="4"/>
  <c r="I17" i="4"/>
  <c r="I16" i="4"/>
  <c r="I15" i="4"/>
  <c r="I14" i="4"/>
  <c r="F94" i="3"/>
  <c r="F89" i="3"/>
  <c r="E86" i="3"/>
  <c r="D86" i="3"/>
  <c r="F86" i="3" s="1"/>
  <c r="F85" i="3"/>
  <c r="F77" i="3"/>
  <c r="F76" i="3"/>
  <c r="E75" i="3"/>
  <c r="D75" i="3"/>
  <c r="F75" i="3" s="1"/>
  <c r="F74" i="3"/>
  <c r="F73" i="3"/>
  <c r="F72" i="3"/>
  <c r="F71" i="3"/>
  <c r="F70" i="3"/>
  <c r="F69" i="3"/>
  <c r="F68" i="3"/>
  <c r="F67" i="3"/>
  <c r="F66" i="3"/>
  <c r="F65" i="3"/>
  <c r="F64" i="3"/>
  <c r="F63" i="3"/>
  <c r="E62" i="3"/>
  <c r="D62" i="3"/>
  <c r="F62" i="3" s="1"/>
  <c r="F61" i="3"/>
  <c r="F60" i="3"/>
  <c r="F59" i="3"/>
  <c r="F58" i="3"/>
  <c r="F57" i="3"/>
  <c r="F56" i="3"/>
  <c r="F55" i="3"/>
  <c r="F54" i="3"/>
  <c r="F53" i="3"/>
  <c r="F52" i="3"/>
  <c r="F51" i="3"/>
  <c r="F50" i="3"/>
  <c r="E49" i="3"/>
  <c r="D49" i="3"/>
  <c r="F49" i="3" s="1"/>
  <c r="F48" i="3"/>
  <c r="F47" i="3"/>
  <c r="F46" i="3"/>
  <c r="F45" i="3"/>
  <c r="F44" i="3"/>
  <c r="F43" i="3"/>
  <c r="F42" i="3"/>
  <c r="F41" i="3"/>
  <c r="F40" i="3"/>
  <c r="F39" i="3"/>
  <c r="F38" i="3"/>
  <c r="F37" i="3"/>
  <c r="E36" i="3"/>
  <c r="D36" i="3"/>
  <c r="F36" i="3" s="1"/>
  <c r="F35" i="3"/>
  <c r="F34" i="3"/>
  <c r="F33" i="3"/>
  <c r="F32" i="3"/>
  <c r="F31" i="3"/>
  <c r="F30" i="3"/>
  <c r="F29" i="3"/>
  <c r="F28" i="3"/>
  <c r="F27" i="3"/>
  <c r="F26" i="3"/>
  <c r="F25" i="3"/>
  <c r="F24" i="3"/>
  <c r="E23" i="3"/>
  <c r="D23" i="3"/>
  <c r="F23" i="3" s="1"/>
  <c r="F22" i="3"/>
  <c r="F21" i="3"/>
  <c r="F20" i="3"/>
  <c r="F19" i="3"/>
  <c r="F18" i="3"/>
  <c r="F17" i="3"/>
  <c r="F16" i="3"/>
  <c r="F15" i="3"/>
  <c r="F14" i="3"/>
  <c r="F13" i="3"/>
  <c r="F12" i="3"/>
  <c r="F11" i="3"/>
  <c r="E10" i="3"/>
  <c r="D10" i="3"/>
  <c r="F10" i="3" s="1"/>
  <c r="F9" i="3"/>
  <c r="E58" i="2"/>
  <c r="D58" i="2"/>
  <c r="E53" i="2"/>
  <c r="E64" i="2" s="1"/>
  <c r="D53" i="2"/>
  <c r="D64" i="2" s="1"/>
  <c r="E45" i="2"/>
  <c r="D45" i="2"/>
  <c r="E37" i="2"/>
  <c r="E51" i="2" s="1"/>
  <c r="D37" i="2"/>
  <c r="D51" i="2" s="1"/>
  <c r="E18" i="2"/>
  <c r="D18" i="2"/>
  <c r="E10" i="2"/>
  <c r="E35" i="2" s="1"/>
  <c r="D10" i="2"/>
  <c r="D35" i="2" s="1"/>
  <c r="K22" i="1"/>
  <c r="K21" i="1"/>
  <c r="K20" i="1"/>
  <c r="K19" i="1"/>
  <c r="K16" i="1"/>
  <c r="K14" i="1"/>
  <c r="K13" i="1"/>
  <c r="K12" i="1"/>
  <c r="K11" i="1"/>
  <c r="K10" i="1"/>
  <c r="J9" i="1"/>
  <c r="J15" i="1" s="1"/>
  <c r="J17" i="1" s="1"/>
  <c r="I9" i="1"/>
  <c r="I15" i="1" s="1"/>
  <c r="I17" i="1" s="1"/>
  <c r="I23" i="1" s="1"/>
  <c r="I25" i="1" s="1"/>
  <c r="H9" i="1"/>
  <c r="H15" i="1" s="1"/>
  <c r="H17" i="1" s="1"/>
  <c r="H23" i="1" s="1"/>
  <c r="G9" i="1"/>
  <c r="G15" i="1" s="1"/>
  <c r="G17" i="1" s="1"/>
  <c r="G23" i="1" s="1"/>
  <c r="G25" i="1" s="1"/>
  <c r="F9" i="1"/>
  <c r="F15" i="1" s="1"/>
  <c r="F17" i="1" s="1"/>
  <c r="F23" i="1" s="1"/>
  <c r="F25" i="1" s="1"/>
  <c r="E9" i="1"/>
  <c r="E15" i="1" s="1"/>
  <c r="E17" i="1" s="1"/>
  <c r="E23" i="1" s="1"/>
  <c r="E25" i="1" s="1"/>
  <c r="D9" i="1"/>
  <c r="D15" i="1" s="1"/>
  <c r="D17" i="1" s="1"/>
  <c r="D23" i="1" s="1"/>
  <c r="C9" i="1"/>
  <c r="K8" i="1"/>
  <c r="K7" i="1"/>
  <c r="D53" i="17" l="1"/>
  <c r="J43" i="5"/>
  <c r="D46" i="20"/>
  <c r="D28" i="20"/>
  <c r="D23" i="20"/>
  <c r="C167" i="16"/>
  <c r="D42" i="17"/>
  <c r="D25" i="1"/>
  <c r="H25" i="1"/>
  <c r="E42" i="17"/>
  <c r="J12" i="8"/>
  <c r="D57" i="20"/>
  <c r="E57" i="20"/>
  <c r="H43" i="5"/>
  <c r="I19" i="4"/>
  <c r="E13" i="20"/>
  <c r="E16" i="20" s="1"/>
  <c r="E18" i="20" s="1"/>
  <c r="H11" i="11"/>
  <c r="H10" i="11"/>
  <c r="G14" i="11"/>
  <c r="E11" i="15"/>
  <c r="E14" i="15"/>
  <c r="D231" i="21"/>
  <c r="E254" i="21"/>
  <c r="D243" i="21"/>
  <c r="C351" i="21"/>
  <c r="E28" i="20"/>
  <c r="E46" i="20"/>
  <c r="C166" i="16"/>
  <c r="E31" i="17"/>
  <c r="E37" i="17"/>
  <c r="F43" i="5" s="1"/>
  <c r="D61" i="17"/>
  <c r="E83" i="17"/>
  <c r="C79" i="17"/>
  <c r="C80" i="17" s="1"/>
  <c r="C83" i="17" s="1"/>
  <c r="C84" i="17" s="1"/>
  <c r="C85" i="17" s="1"/>
  <c r="C86" i="17" s="1"/>
  <c r="C87" i="17" s="1"/>
  <c r="C88" i="17" s="1"/>
  <c r="C91" i="17" s="1"/>
  <c r="C92" i="17" s="1"/>
  <c r="C93" i="17" s="1"/>
  <c r="C94" i="17" s="1"/>
  <c r="C95" i="17" s="1"/>
  <c r="D31" i="17"/>
  <c r="E16" i="17"/>
  <c r="E43" i="5" s="1"/>
  <c r="D20" i="17"/>
  <c r="D16" i="17"/>
  <c r="E20" i="17"/>
  <c r="D37" i="17"/>
  <c r="E53" i="17"/>
  <c r="E84" i="17" s="1"/>
  <c r="E61" i="17"/>
  <c r="E74" i="17"/>
  <c r="D94" i="17"/>
  <c r="D74" i="17"/>
  <c r="D83" i="17"/>
  <c r="D16" i="11" s="1"/>
  <c r="I68" i="4"/>
  <c r="I54" i="4"/>
  <c r="I41" i="4"/>
  <c r="I66" i="4"/>
  <c r="E21" i="4"/>
  <c r="I21" i="4" s="1"/>
  <c r="I39" i="4"/>
  <c r="I52" i="4"/>
  <c r="E95" i="3"/>
  <c r="D95" i="3"/>
  <c r="F95" i="3" s="1"/>
  <c r="D65" i="2"/>
  <c r="D67" i="2" s="1"/>
  <c r="E65" i="2"/>
  <c r="K9" i="1"/>
  <c r="C15" i="1"/>
  <c r="C17" i="1" s="1"/>
  <c r="C23" i="1" s="1"/>
  <c r="C25" i="1" s="1"/>
  <c r="D69" i="2" l="1"/>
  <c r="E243" i="21"/>
  <c r="H45" i="22" s="1"/>
  <c r="G45" i="22"/>
  <c r="E231" i="21"/>
  <c r="H44" i="22" s="1"/>
  <c r="G44" i="22"/>
  <c r="G16" i="11"/>
  <c r="J38" i="12"/>
  <c r="D29" i="20"/>
  <c r="E29" i="20"/>
  <c r="E47" i="20" s="1"/>
  <c r="E58" i="20" s="1"/>
  <c r="E60" i="20" s="1"/>
  <c r="D84" i="17"/>
  <c r="D95" i="17" s="1"/>
  <c r="E10" i="15"/>
  <c r="D47" i="20"/>
  <c r="D58" i="20" s="1"/>
  <c r="D60" i="20" s="1"/>
  <c r="D62" i="20" s="1"/>
  <c r="D64" i="20" s="1"/>
  <c r="E46" i="17"/>
  <c r="D43" i="5" s="1"/>
  <c r="D46" i="17"/>
  <c r="G95" i="3"/>
  <c r="G94" i="3"/>
  <c r="G91" i="3"/>
  <c r="G88" i="3"/>
  <c r="G77" i="3"/>
  <c r="G74" i="3"/>
  <c r="G72" i="3"/>
  <c r="G70" i="3"/>
  <c r="G68" i="3"/>
  <c r="G66" i="3"/>
  <c r="G64" i="3"/>
  <c r="G61" i="3"/>
  <c r="G59" i="3"/>
  <c r="G57" i="3"/>
  <c r="G55" i="3"/>
  <c r="G53" i="3"/>
  <c r="G51" i="3"/>
  <c r="G48" i="3"/>
  <c r="G46" i="3"/>
  <c r="G44" i="3"/>
  <c r="G42" i="3"/>
  <c r="G40" i="3"/>
  <c r="G38" i="3"/>
  <c r="G35" i="3"/>
  <c r="G33" i="3"/>
  <c r="G90" i="3"/>
  <c r="G87" i="3"/>
  <c r="G93" i="3"/>
  <c r="G92" i="3"/>
  <c r="G25" i="3"/>
  <c r="G22" i="3"/>
  <c r="G20" i="3"/>
  <c r="G18" i="3"/>
  <c r="G16" i="3"/>
  <c r="G14" i="3"/>
  <c r="G12" i="3"/>
  <c r="G9" i="3"/>
  <c r="G56" i="3"/>
  <c r="G41" i="3"/>
  <c r="G11" i="3"/>
  <c r="G58" i="3"/>
  <c r="G43" i="3"/>
  <c r="G13" i="3"/>
  <c r="G89" i="3"/>
  <c r="G52" i="3"/>
  <c r="G23" i="3"/>
  <c r="G24" i="3"/>
  <c r="G85" i="3"/>
  <c r="G63" i="3"/>
  <c r="G49" i="3"/>
  <c r="G34" i="3"/>
  <c r="G19" i="3"/>
  <c r="G29" i="3"/>
  <c r="G65" i="3"/>
  <c r="G50" i="3"/>
  <c r="G36" i="3"/>
  <c r="G21" i="3"/>
  <c r="G31" i="3"/>
  <c r="G71" i="3"/>
  <c r="G26" i="3"/>
  <c r="G73" i="3"/>
  <c r="G28" i="3"/>
  <c r="G67" i="3"/>
  <c r="G37" i="3"/>
  <c r="G86" i="3"/>
  <c r="G69" i="3"/>
  <c r="G54" i="3"/>
  <c r="G39" i="3"/>
  <c r="G10" i="3"/>
  <c r="G75" i="3"/>
  <c r="G60" i="3"/>
  <c r="G45" i="3"/>
  <c r="G30" i="3"/>
  <c r="G15" i="3"/>
  <c r="G76" i="3"/>
  <c r="G62" i="3"/>
  <c r="G47" i="3"/>
  <c r="G32" i="3"/>
  <c r="G17" i="3"/>
  <c r="G27" i="3"/>
  <c r="E66" i="2"/>
  <c r="E67" i="2" s="1"/>
  <c r="E69" i="2" s="1"/>
  <c r="K15" i="1"/>
  <c r="K17" i="1"/>
  <c r="E62" i="20" l="1"/>
  <c r="E64" i="20" s="1"/>
  <c r="D53" i="22"/>
  <c r="D49" i="22"/>
  <c r="D45" i="22"/>
  <c r="D41" i="22"/>
  <c r="D37" i="22"/>
  <c r="D21" i="22"/>
  <c r="D17" i="22"/>
  <c r="D13" i="22"/>
  <c r="D10" i="21"/>
  <c r="D342" i="21"/>
  <c r="E342" i="21" s="1"/>
  <c r="D346" i="21"/>
  <c r="E346" i="21" s="1"/>
  <c r="D339" i="21"/>
  <c r="D331" i="21"/>
  <c r="E331" i="21" s="1"/>
  <c r="D335" i="21"/>
  <c r="E335" i="21" s="1"/>
  <c r="D316" i="21"/>
  <c r="E316" i="21" s="1"/>
  <c r="D320" i="21"/>
  <c r="E320" i="21" s="1"/>
  <c r="D324" i="21"/>
  <c r="E324" i="21" s="1"/>
  <c r="D305" i="21"/>
  <c r="E305" i="21" s="1"/>
  <c r="D309" i="21"/>
  <c r="E309" i="21" s="1"/>
  <c r="D313" i="21"/>
  <c r="E313" i="21" s="1"/>
  <c r="D299" i="21"/>
  <c r="E299" i="21" s="1"/>
  <c r="D290" i="21"/>
  <c r="E290" i="21" s="1"/>
  <c r="D294" i="21"/>
  <c r="E294" i="21" s="1"/>
  <c r="D285" i="21"/>
  <c r="E285" i="21" s="1"/>
  <c r="D276" i="21"/>
  <c r="E276" i="21" s="1"/>
  <c r="D280" i="21"/>
  <c r="E280" i="21" s="1"/>
  <c r="D271" i="21"/>
  <c r="E271" i="21" s="1"/>
  <c r="D257" i="21"/>
  <c r="E257" i="21" s="1"/>
  <c r="D261" i="21"/>
  <c r="E261" i="21" s="1"/>
  <c r="D265" i="21"/>
  <c r="E265" i="21" s="1"/>
  <c r="D221" i="21"/>
  <c r="E221" i="21" s="1"/>
  <c r="D225" i="21"/>
  <c r="E225" i="21" s="1"/>
  <c r="D229" i="21"/>
  <c r="E229" i="21" s="1"/>
  <c r="D210" i="21"/>
  <c r="E210" i="21" s="1"/>
  <c r="D214" i="21"/>
  <c r="E214" i="21" s="1"/>
  <c r="D218" i="21"/>
  <c r="E218" i="21" s="1"/>
  <c r="D199" i="21"/>
  <c r="E199" i="21" s="1"/>
  <c r="D203" i="21"/>
  <c r="E203" i="21" s="1"/>
  <c r="D196" i="21"/>
  <c r="D188" i="21"/>
  <c r="E188" i="21" s="1"/>
  <c r="D192" i="21"/>
  <c r="E192" i="21" s="1"/>
  <c r="D173" i="21"/>
  <c r="E173" i="21" s="1"/>
  <c r="D177" i="21"/>
  <c r="E177" i="21" s="1"/>
  <c r="D181" i="21"/>
  <c r="E181" i="21" s="1"/>
  <c r="D162" i="21"/>
  <c r="E162" i="21" s="1"/>
  <c r="D166" i="21"/>
  <c r="E166" i="21" s="1"/>
  <c r="D170" i="21"/>
  <c r="E170" i="21" s="1"/>
  <c r="D56" i="22"/>
  <c r="D52" i="22"/>
  <c r="D48" i="22"/>
  <c r="D44" i="22"/>
  <c r="D40" i="22"/>
  <c r="D20" i="22"/>
  <c r="D16" i="22"/>
  <c r="D12" i="22"/>
  <c r="D350" i="21"/>
  <c r="D343" i="21"/>
  <c r="E343" i="21" s="1"/>
  <c r="D347" i="21"/>
  <c r="E347" i="21" s="1"/>
  <c r="D328" i="21"/>
  <c r="E328" i="21" s="1"/>
  <c r="D332" i="21"/>
  <c r="E332" i="21" s="1"/>
  <c r="D336" i="21"/>
  <c r="E336" i="21" s="1"/>
  <c r="D317" i="21"/>
  <c r="E317" i="21" s="1"/>
  <c r="D321" i="21"/>
  <c r="E321" i="21" s="1"/>
  <c r="D325" i="21"/>
  <c r="E325" i="21" s="1"/>
  <c r="D306" i="21"/>
  <c r="E306" i="21" s="1"/>
  <c r="D310" i="21"/>
  <c r="E310" i="21" s="1"/>
  <c r="D303" i="21"/>
  <c r="D300" i="21"/>
  <c r="E300" i="21" s="1"/>
  <c r="D291" i="21"/>
  <c r="E291" i="21" s="1"/>
  <c r="D289" i="21"/>
  <c r="D286" i="21"/>
  <c r="E286" i="21" s="1"/>
  <c r="D277" i="21"/>
  <c r="E277" i="21" s="1"/>
  <c r="D275" i="21"/>
  <c r="D272" i="21"/>
  <c r="E272" i="21" s="1"/>
  <c r="D258" i="21"/>
  <c r="E258" i="21" s="1"/>
  <c r="D262" i="21"/>
  <c r="E262" i="21" s="1"/>
  <c r="D266" i="21"/>
  <c r="E266" i="21" s="1"/>
  <c r="D222" i="21"/>
  <c r="D226" i="21"/>
  <c r="E226" i="21" s="1"/>
  <c r="D230" i="21"/>
  <c r="E230" i="21" s="1"/>
  <c r="D211" i="21"/>
  <c r="E211" i="21" s="1"/>
  <c r="D215" i="21"/>
  <c r="E215" i="21" s="1"/>
  <c r="D208" i="21"/>
  <c r="D200" i="21"/>
  <c r="E200" i="21" s="1"/>
  <c r="D204" i="21"/>
  <c r="E204" i="21" s="1"/>
  <c r="D185" i="21"/>
  <c r="E185" i="21" s="1"/>
  <c r="D189" i="21"/>
  <c r="E189" i="21" s="1"/>
  <c r="D193" i="21"/>
  <c r="E193" i="21" s="1"/>
  <c r="D174" i="21"/>
  <c r="E174" i="21" s="1"/>
  <c r="D178" i="21"/>
  <c r="E178" i="21" s="1"/>
  <c r="D182" i="21"/>
  <c r="E182" i="21" s="1"/>
  <c r="D163" i="21"/>
  <c r="E163" i="21" s="1"/>
  <c r="D167" i="21"/>
  <c r="E167" i="21" s="1"/>
  <c r="D55" i="22"/>
  <c r="D51" i="22"/>
  <c r="D47" i="22"/>
  <c r="D43" i="22"/>
  <c r="D39" i="22"/>
  <c r="D19" i="22"/>
  <c r="D15" i="22"/>
  <c r="D11" i="22"/>
  <c r="D340" i="21"/>
  <c r="E340" i="21" s="1"/>
  <c r="D344" i="21"/>
  <c r="E344" i="21" s="1"/>
  <c r="D348" i="21"/>
  <c r="E348" i="21" s="1"/>
  <c r="D329" i="21"/>
  <c r="E329" i="21" s="1"/>
  <c r="D333" i="21"/>
  <c r="E333" i="21" s="1"/>
  <c r="D337" i="21"/>
  <c r="E337" i="21" s="1"/>
  <c r="D318" i="21"/>
  <c r="E318" i="21" s="1"/>
  <c r="D322" i="21"/>
  <c r="E322" i="21" s="1"/>
  <c r="D315" i="21"/>
  <c r="D307" i="21"/>
  <c r="E307" i="21" s="1"/>
  <c r="D311" i="21"/>
  <c r="E311" i="21" s="1"/>
  <c r="D297" i="21"/>
  <c r="E297" i="21" s="1"/>
  <c r="D301" i="21"/>
  <c r="E301" i="21" s="1"/>
  <c r="D292" i="21"/>
  <c r="E292" i="21" s="1"/>
  <c r="D283" i="21"/>
  <c r="E283" i="21" s="1"/>
  <c r="D287" i="21"/>
  <c r="E287" i="21" s="1"/>
  <c r="D278" i="21"/>
  <c r="E278" i="21" s="1"/>
  <c r="D269" i="21"/>
  <c r="E269" i="21" s="1"/>
  <c r="D273" i="21"/>
  <c r="E273" i="21" s="1"/>
  <c r="D259" i="21"/>
  <c r="E259" i="21" s="1"/>
  <c r="D263" i="21"/>
  <c r="E263" i="21" s="1"/>
  <c r="D256" i="21"/>
  <c r="D223" i="21"/>
  <c r="E223" i="21" s="1"/>
  <c r="D227" i="21"/>
  <c r="E227" i="21" s="1"/>
  <c r="D220" i="21"/>
  <c r="E220" i="21" s="1"/>
  <c r="D212" i="21"/>
  <c r="E212" i="21" s="1"/>
  <c r="D216" i="21"/>
  <c r="E216" i="21" s="1"/>
  <c r="D197" i="21"/>
  <c r="E197" i="21" s="1"/>
  <c r="D201" i="21"/>
  <c r="E201" i="21" s="1"/>
  <c r="D205" i="21"/>
  <c r="E205" i="21" s="1"/>
  <c r="D186" i="21"/>
  <c r="E186" i="21" s="1"/>
  <c r="D190" i="21"/>
  <c r="E190" i="21" s="1"/>
  <c r="D194" i="21"/>
  <c r="E194" i="21" s="1"/>
  <c r="D175" i="21"/>
  <c r="E175" i="21" s="1"/>
  <c r="D179" i="21"/>
  <c r="E179" i="21" s="1"/>
  <c r="D172" i="21"/>
  <c r="D164" i="21"/>
  <c r="E164" i="21" s="1"/>
  <c r="D168" i="21"/>
  <c r="E168" i="21" s="1"/>
  <c r="E18" i="15"/>
  <c r="D54" i="22"/>
  <c r="D50" i="22"/>
  <c r="D46" i="22"/>
  <c r="D42" i="22"/>
  <c r="D38" i="22"/>
  <c r="D26" i="22"/>
  <c r="D18" i="22"/>
  <c r="D14" i="22"/>
  <c r="D10" i="22"/>
  <c r="D341" i="21"/>
  <c r="E341" i="21" s="1"/>
  <c r="D345" i="21"/>
  <c r="E345" i="21" s="1"/>
  <c r="D349" i="21"/>
  <c r="E349" i="21" s="1"/>
  <c r="D330" i="21"/>
  <c r="E330" i="21" s="1"/>
  <c r="D334" i="21"/>
  <c r="E334" i="21" s="1"/>
  <c r="D327" i="21"/>
  <c r="D319" i="21"/>
  <c r="E319" i="21" s="1"/>
  <c r="D323" i="21"/>
  <c r="E323" i="21" s="1"/>
  <c r="D304" i="21"/>
  <c r="E304" i="21" s="1"/>
  <c r="D308" i="21"/>
  <c r="E308" i="21" s="1"/>
  <c r="D312" i="21"/>
  <c r="E312" i="21" s="1"/>
  <c r="D298" i="21"/>
  <c r="E298" i="21" s="1"/>
  <c r="D296" i="21"/>
  <c r="D293" i="21"/>
  <c r="E293" i="21" s="1"/>
  <c r="D284" i="21"/>
  <c r="E284" i="21" s="1"/>
  <c r="D282" i="21"/>
  <c r="D279" i="21"/>
  <c r="E279" i="21" s="1"/>
  <c r="D270" i="21"/>
  <c r="E270" i="21" s="1"/>
  <c r="D268" i="21"/>
  <c r="D260" i="21"/>
  <c r="E260" i="21" s="1"/>
  <c r="D264" i="21"/>
  <c r="E264" i="21" s="1"/>
  <c r="D224" i="21"/>
  <c r="E224" i="21" s="1"/>
  <c r="D228" i="21"/>
  <c r="E228" i="21" s="1"/>
  <c r="D209" i="21"/>
  <c r="E209" i="21" s="1"/>
  <c r="D213" i="21"/>
  <c r="E213" i="21" s="1"/>
  <c r="D217" i="21"/>
  <c r="E217" i="21" s="1"/>
  <c r="D198" i="21"/>
  <c r="E198" i="21" s="1"/>
  <c r="D202" i="21"/>
  <c r="E202" i="21" s="1"/>
  <c r="D206" i="21"/>
  <c r="E206" i="21" s="1"/>
  <c r="D187" i="21"/>
  <c r="E187" i="21" s="1"/>
  <c r="D191" i="21"/>
  <c r="E191" i="21" s="1"/>
  <c r="D184" i="21"/>
  <c r="D176" i="21"/>
  <c r="E176" i="21" s="1"/>
  <c r="D180" i="21"/>
  <c r="E180" i="21" s="1"/>
  <c r="D161" i="21"/>
  <c r="E161" i="21" s="1"/>
  <c r="D165" i="21"/>
  <c r="E165" i="21" s="1"/>
  <c r="D169" i="21"/>
  <c r="E169" i="21" s="1"/>
  <c r="D150" i="21"/>
  <c r="E150" i="21" s="1"/>
  <c r="D154" i="21"/>
  <c r="E154" i="21" s="1"/>
  <c r="D158" i="21"/>
  <c r="E158" i="21" s="1"/>
  <c r="D139" i="21"/>
  <c r="E139" i="21" s="1"/>
  <c r="D143" i="21"/>
  <c r="E143" i="21" s="1"/>
  <c r="D136" i="21"/>
  <c r="D128" i="21"/>
  <c r="E128" i="21" s="1"/>
  <c r="D132" i="21"/>
  <c r="E132" i="21" s="1"/>
  <c r="D113" i="21"/>
  <c r="E113" i="21" s="1"/>
  <c r="D117" i="21"/>
  <c r="E117" i="21" s="1"/>
  <c r="D121" i="21"/>
  <c r="E121" i="21" s="1"/>
  <c r="D107" i="21"/>
  <c r="E107" i="21" s="1"/>
  <c r="D105" i="21"/>
  <c r="D93" i="21"/>
  <c r="E93" i="21" s="1"/>
  <c r="D97" i="21"/>
  <c r="E97" i="21" s="1"/>
  <c r="D101" i="21"/>
  <c r="E101" i="21" s="1"/>
  <c r="D87" i="21"/>
  <c r="E87" i="21" s="1"/>
  <c r="D78" i="21"/>
  <c r="E78" i="21" s="1"/>
  <c r="D82" i="21"/>
  <c r="E82" i="21" s="1"/>
  <c r="D73" i="21"/>
  <c r="E73" i="21" s="1"/>
  <c r="D64" i="21"/>
  <c r="E64" i="21" s="1"/>
  <c r="D68" i="21"/>
  <c r="E68" i="21" s="1"/>
  <c r="D59" i="21"/>
  <c r="E59" i="21" s="1"/>
  <c r="D53" i="21"/>
  <c r="E53" i="21" s="1"/>
  <c r="D46" i="21"/>
  <c r="E46" i="21" s="1"/>
  <c r="D50" i="21"/>
  <c r="E50" i="21" s="1"/>
  <c r="D36" i="21"/>
  <c r="E36" i="21" s="1"/>
  <c r="D35" i="21"/>
  <c r="E35" i="21" s="1"/>
  <c r="D40" i="21"/>
  <c r="E40" i="21" s="1"/>
  <c r="D12" i="21"/>
  <c r="E12" i="21" s="1"/>
  <c r="D151" i="21"/>
  <c r="E151" i="21" s="1"/>
  <c r="D155" i="21"/>
  <c r="E155" i="21" s="1"/>
  <c r="D148" i="21"/>
  <c r="E148" i="21" s="1"/>
  <c r="D140" i="21"/>
  <c r="E140" i="21" s="1"/>
  <c r="D144" i="21"/>
  <c r="E144" i="21" s="1"/>
  <c r="D125" i="21"/>
  <c r="E125" i="21" s="1"/>
  <c r="D129" i="21"/>
  <c r="E129" i="21" s="1"/>
  <c r="D133" i="21"/>
  <c r="E133" i="21" s="1"/>
  <c r="D114" i="21"/>
  <c r="E114" i="21" s="1"/>
  <c r="D118" i="21"/>
  <c r="E118" i="21" s="1"/>
  <c r="D122" i="21"/>
  <c r="E122" i="21" s="1"/>
  <c r="D108" i="21"/>
  <c r="E108" i="21" s="1"/>
  <c r="D103" i="21"/>
  <c r="D94" i="21"/>
  <c r="E94" i="21" s="1"/>
  <c r="D98" i="21"/>
  <c r="E98" i="21" s="1"/>
  <c r="D91" i="21"/>
  <c r="D88" i="21"/>
  <c r="E88" i="21" s="1"/>
  <c r="D79" i="21"/>
  <c r="E79" i="21" s="1"/>
  <c r="D77" i="21"/>
  <c r="D74" i="21"/>
  <c r="E74" i="21" s="1"/>
  <c r="D65" i="21"/>
  <c r="E65" i="21" s="1"/>
  <c r="D63" i="21"/>
  <c r="D60" i="21"/>
  <c r="E60" i="21" s="1"/>
  <c r="D54" i="21"/>
  <c r="D47" i="21"/>
  <c r="E47" i="21" s="1"/>
  <c r="D51" i="21"/>
  <c r="E51" i="21" s="1"/>
  <c r="D32" i="21"/>
  <c r="E32" i="21" s="1"/>
  <c r="D37" i="21"/>
  <c r="E37" i="21" s="1"/>
  <c r="D41" i="21"/>
  <c r="E41" i="21" s="1"/>
  <c r="D13" i="21"/>
  <c r="E13" i="21" s="1"/>
  <c r="D17" i="21"/>
  <c r="E17" i="21" s="1"/>
  <c r="D21" i="21"/>
  <c r="E21" i="21" s="1"/>
  <c r="D25" i="21"/>
  <c r="E25" i="21" s="1"/>
  <c r="D29" i="21"/>
  <c r="E29" i="21" s="1"/>
  <c r="D160" i="21"/>
  <c r="D152" i="21"/>
  <c r="D156" i="21"/>
  <c r="E156" i="21" s="1"/>
  <c r="D137" i="21"/>
  <c r="E137" i="21" s="1"/>
  <c r="D141" i="21"/>
  <c r="E141" i="21" s="1"/>
  <c r="D145" i="21"/>
  <c r="E145" i="21" s="1"/>
  <c r="D126" i="21"/>
  <c r="E126" i="21" s="1"/>
  <c r="D130" i="21"/>
  <c r="E130" i="21" s="1"/>
  <c r="D134" i="21"/>
  <c r="E134" i="21" s="1"/>
  <c r="D115" i="21"/>
  <c r="E115" i="21" s="1"/>
  <c r="D119" i="21"/>
  <c r="E119" i="21" s="1"/>
  <c r="D112" i="21"/>
  <c r="D109" i="21"/>
  <c r="E109" i="21" s="1"/>
  <c r="D95" i="21"/>
  <c r="E95" i="21" s="1"/>
  <c r="D99" i="21"/>
  <c r="E99" i="21" s="1"/>
  <c r="D85" i="21"/>
  <c r="E85" i="21" s="1"/>
  <c r="D89" i="21"/>
  <c r="E89" i="21" s="1"/>
  <c r="D80" i="21"/>
  <c r="E80" i="21" s="1"/>
  <c r="D71" i="21"/>
  <c r="E71" i="21" s="1"/>
  <c r="D75" i="21"/>
  <c r="E75" i="21" s="1"/>
  <c r="D66" i="21"/>
  <c r="E66" i="21" s="1"/>
  <c r="D57" i="21"/>
  <c r="E57" i="21" s="1"/>
  <c r="D61" i="21"/>
  <c r="E61" i="21" s="1"/>
  <c r="D44" i="21"/>
  <c r="E44" i="21" s="1"/>
  <c r="D48" i="21"/>
  <c r="E48" i="21" s="1"/>
  <c r="D52" i="21"/>
  <c r="E52" i="21" s="1"/>
  <c r="D33" i="21"/>
  <c r="E33" i="21" s="1"/>
  <c r="D38" i="21"/>
  <c r="E38" i="21" s="1"/>
  <c r="D31" i="21"/>
  <c r="D14" i="21"/>
  <c r="E14" i="21" s="1"/>
  <c r="D18" i="21"/>
  <c r="E18" i="21" s="1"/>
  <c r="D22" i="21"/>
  <c r="E22" i="21" s="1"/>
  <c r="D26" i="21"/>
  <c r="E26" i="21" s="1"/>
  <c r="D149" i="21"/>
  <c r="E149" i="21" s="1"/>
  <c r="D153" i="21"/>
  <c r="E153" i="21" s="1"/>
  <c r="D157" i="21"/>
  <c r="E157" i="21" s="1"/>
  <c r="D138" i="21"/>
  <c r="E138" i="21" s="1"/>
  <c r="D142" i="21"/>
  <c r="E142" i="21" s="1"/>
  <c r="D146" i="21"/>
  <c r="E146" i="21" s="1"/>
  <c r="D127" i="21"/>
  <c r="E127" i="21" s="1"/>
  <c r="D131" i="21"/>
  <c r="E131" i="21" s="1"/>
  <c r="D124" i="21"/>
  <c r="D116" i="21"/>
  <c r="E116" i="21" s="1"/>
  <c r="D120" i="21"/>
  <c r="E120" i="21" s="1"/>
  <c r="D106" i="21"/>
  <c r="E106" i="21" s="1"/>
  <c r="D110" i="21"/>
  <c r="E110" i="21" s="1"/>
  <c r="D92" i="21"/>
  <c r="E92" i="21" s="1"/>
  <c r="D96" i="21"/>
  <c r="E96" i="21" s="1"/>
  <c r="D100" i="21"/>
  <c r="E100" i="21" s="1"/>
  <c r="D86" i="21"/>
  <c r="E86" i="21" s="1"/>
  <c r="D84" i="21"/>
  <c r="D81" i="21"/>
  <c r="E81" i="21" s="1"/>
  <c r="D72" i="21"/>
  <c r="E72" i="21" s="1"/>
  <c r="D70" i="21"/>
  <c r="D67" i="21"/>
  <c r="E67" i="21" s="1"/>
  <c r="D58" i="21"/>
  <c r="E58" i="21" s="1"/>
  <c r="D56" i="21"/>
  <c r="D45" i="21"/>
  <c r="E45" i="21" s="1"/>
  <c r="D49" i="21"/>
  <c r="E49" i="21" s="1"/>
  <c r="D43" i="21"/>
  <c r="D34" i="21"/>
  <c r="E34" i="21" s="1"/>
  <c r="D39" i="21"/>
  <c r="E39" i="21" s="1"/>
  <c r="D11" i="21"/>
  <c r="D19" i="21"/>
  <c r="E19" i="21" s="1"/>
  <c r="D23" i="21"/>
  <c r="E23" i="21" s="1"/>
  <c r="D27" i="21"/>
  <c r="E27" i="21" s="1"/>
  <c r="D20" i="21"/>
  <c r="E20" i="21" s="1"/>
  <c r="D24" i="21"/>
  <c r="E24" i="21" s="1"/>
  <c r="D28" i="21"/>
  <c r="E28" i="21" s="1"/>
  <c r="D16" i="21"/>
  <c r="E16" i="21" s="1"/>
  <c r="E11" i="21" l="1"/>
  <c r="D9" i="21"/>
  <c r="J18" i="1"/>
  <c r="L43" i="5"/>
  <c r="E84" i="21"/>
  <c r="D83" i="21"/>
  <c r="G20" i="22"/>
  <c r="E103" i="21"/>
  <c r="H20" i="22" s="1"/>
  <c r="E184" i="21"/>
  <c r="D183" i="21"/>
  <c r="E282" i="21"/>
  <c r="D281" i="21"/>
  <c r="J10" i="22"/>
  <c r="E10" i="22"/>
  <c r="J38" i="22"/>
  <c r="E38" i="22"/>
  <c r="J54" i="22"/>
  <c r="E54" i="22"/>
  <c r="D171" i="21"/>
  <c r="E172" i="21"/>
  <c r="J11" i="22"/>
  <c r="E11" i="22"/>
  <c r="J39" i="22"/>
  <c r="E39" i="22"/>
  <c r="J55" i="22"/>
  <c r="E55" i="22"/>
  <c r="D219" i="21"/>
  <c r="E222" i="21"/>
  <c r="E289" i="21"/>
  <c r="D288" i="21"/>
  <c r="E16" i="22"/>
  <c r="K16" i="22" s="1"/>
  <c r="J16" i="22"/>
  <c r="E44" i="22"/>
  <c r="J44" i="22"/>
  <c r="E196" i="21"/>
  <c r="D195" i="21"/>
  <c r="J17" i="22"/>
  <c r="E17" i="22"/>
  <c r="K17" i="22" s="1"/>
  <c r="J45" i="22"/>
  <c r="E45" i="22"/>
  <c r="E70" i="21"/>
  <c r="D69" i="21"/>
  <c r="E124" i="21"/>
  <c r="D123" i="21"/>
  <c r="D147" i="21"/>
  <c r="E152" i="21"/>
  <c r="G12" i="22"/>
  <c r="E54" i="21"/>
  <c r="H12" i="22" s="1"/>
  <c r="E91" i="21"/>
  <c r="D90" i="21"/>
  <c r="D135" i="21"/>
  <c r="E136" i="21"/>
  <c r="E268" i="21"/>
  <c r="D267" i="21"/>
  <c r="J14" i="22"/>
  <c r="E14" i="22"/>
  <c r="J42" i="22"/>
  <c r="E42" i="22"/>
  <c r="J15" i="22"/>
  <c r="E15" i="22"/>
  <c r="J43" i="22"/>
  <c r="E43" i="22"/>
  <c r="D274" i="21"/>
  <c r="E275" i="21"/>
  <c r="E20" i="22"/>
  <c r="J20" i="22"/>
  <c r="E48" i="22"/>
  <c r="J48" i="22"/>
  <c r="E21" i="22"/>
  <c r="J49" i="22"/>
  <c r="E49" i="22"/>
  <c r="E56" i="21"/>
  <c r="D55" i="21"/>
  <c r="E31" i="21"/>
  <c r="D30" i="21"/>
  <c r="E160" i="21"/>
  <c r="D159" i="21"/>
  <c r="E77" i="21"/>
  <c r="D76" i="21"/>
  <c r="E105" i="21"/>
  <c r="D104" i="21"/>
  <c r="E327" i="21"/>
  <c r="D326" i="21"/>
  <c r="J18" i="22"/>
  <c r="E18" i="22"/>
  <c r="J46" i="22"/>
  <c r="E46" i="22"/>
  <c r="E256" i="21"/>
  <c r="D255" i="21"/>
  <c r="J19" i="22"/>
  <c r="E19" i="22"/>
  <c r="J47" i="22"/>
  <c r="E47" i="22"/>
  <c r="G56" i="22"/>
  <c r="E350" i="21"/>
  <c r="H56" i="22" s="1"/>
  <c r="E36" i="22"/>
  <c r="J36" i="22"/>
  <c r="E52" i="22"/>
  <c r="J52" i="22"/>
  <c r="E10" i="21"/>
  <c r="J37" i="22"/>
  <c r="E37" i="22"/>
  <c r="J53" i="22"/>
  <c r="E53" i="22"/>
  <c r="D42" i="21"/>
  <c r="E43" i="21"/>
  <c r="E112" i="21"/>
  <c r="D111" i="21"/>
  <c r="E63" i="21"/>
  <c r="D62" i="21"/>
  <c r="E296" i="21"/>
  <c r="D295" i="21"/>
  <c r="E26" i="22"/>
  <c r="J50" i="22"/>
  <c r="E50" i="22"/>
  <c r="K50" i="22" s="1"/>
  <c r="D314" i="21"/>
  <c r="E315" i="21"/>
  <c r="E31" i="22"/>
  <c r="K31" i="22" s="1"/>
  <c r="J51" i="22"/>
  <c r="E51" i="22"/>
  <c r="K51" i="22" s="1"/>
  <c r="E208" i="21"/>
  <c r="D207" i="21"/>
  <c r="E303" i="21"/>
  <c r="D302" i="21"/>
  <c r="E12" i="22"/>
  <c r="J12" i="22"/>
  <c r="E40" i="22"/>
  <c r="J40" i="22"/>
  <c r="E56" i="22"/>
  <c r="K56" i="22" s="1"/>
  <c r="J56" i="22"/>
  <c r="E339" i="21"/>
  <c r="D338" i="21"/>
  <c r="J13" i="22"/>
  <c r="E13" i="22"/>
  <c r="J41" i="22"/>
  <c r="E41" i="22"/>
  <c r="D57" i="22"/>
  <c r="J9" i="22"/>
  <c r="E9" i="22"/>
  <c r="E9" i="21" l="1"/>
  <c r="H9" i="22" s="1"/>
  <c r="K9" i="22" s="1"/>
  <c r="K20" i="22"/>
  <c r="E57" i="22"/>
  <c r="K45" i="22"/>
  <c r="E338" i="21"/>
  <c r="H55" i="22" s="1"/>
  <c r="K55" i="22" s="1"/>
  <c r="G55" i="22"/>
  <c r="J57" i="22"/>
  <c r="K12" i="22"/>
  <c r="E207" i="21"/>
  <c r="H42" i="22" s="1"/>
  <c r="G42" i="22"/>
  <c r="G51" i="22"/>
  <c r="E295" i="21"/>
  <c r="H51" i="22" s="1"/>
  <c r="E111" i="21"/>
  <c r="H26" i="22" s="1"/>
  <c r="G26" i="22"/>
  <c r="D351" i="21"/>
  <c r="E351" i="21" s="1"/>
  <c r="G9" i="22"/>
  <c r="E255" i="21"/>
  <c r="H46" i="22" s="1"/>
  <c r="G46" i="22"/>
  <c r="E104" i="21"/>
  <c r="H21" i="22" s="1"/>
  <c r="G21" i="22"/>
  <c r="E159" i="21"/>
  <c r="H38" i="22" s="1"/>
  <c r="G38" i="22"/>
  <c r="G13" i="22"/>
  <c r="E55" i="21"/>
  <c r="H13" i="22" s="1"/>
  <c r="K13" i="22" s="1"/>
  <c r="E274" i="21"/>
  <c r="H48" i="22" s="1"/>
  <c r="K48" i="22" s="1"/>
  <c r="G48" i="22"/>
  <c r="E123" i="21"/>
  <c r="H31" i="22" s="1"/>
  <c r="G31" i="22"/>
  <c r="E195" i="21"/>
  <c r="H41" i="22" s="1"/>
  <c r="K41" i="22" s="1"/>
  <c r="G41" i="22"/>
  <c r="E281" i="21"/>
  <c r="H49" i="22" s="1"/>
  <c r="K49" i="22" s="1"/>
  <c r="G49" i="22"/>
  <c r="E135" i="21"/>
  <c r="H36" i="22" s="1"/>
  <c r="K36" i="22" s="1"/>
  <c r="G36" i="22"/>
  <c r="E219" i="21"/>
  <c r="H43" i="22" s="1"/>
  <c r="K43" i="22" s="1"/>
  <c r="G43" i="22"/>
  <c r="E171" i="21"/>
  <c r="H39" i="22" s="1"/>
  <c r="K39" i="22" s="1"/>
  <c r="G39" i="22"/>
  <c r="K38" i="22"/>
  <c r="E302" i="21"/>
  <c r="H52" i="22" s="1"/>
  <c r="K52" i="22" s="1"/>
  <c r="G52" i="22"/>
  <c r="E62" i="21"/>
  <c r="H14" i="22" s="1"/>
  <c r="K14" i="22" s="1"/>
  <c r="G14" i="22"/>
  <c r="E326" i="21"/>
  <c r="H54" i="22" s="1"/>
  <c r="K54" i="22" s="1"/>
  <c r="G54" i="22"/>
  <c r="E76" i="21"/>
  <c r="H16" i="22" s="1"/>
  <c r="G16" i="22"/>
  <c r="E30" i="21"/>
  <c r="H10" i="22" s="1"/>
  <c r="K10" i="22" s="1"/>
  <c r="G10" i="22"/>
  <c r="G47" i="22"/>
  <c r="E267" i="21"/>
  <c r="H47" i="22" s="1"/>
  <c r="K47" i="22" s="1"/>
  <c r="E90" i="21"/>
  <c r="H18" i="22" s="1"/>
  <c r="K18" i="22" s="1"/>
  <c r="G18" i="22"/>
  <c r="G15" i="22"/>
  <c r="E69" i="21"/>
  <c r="H15" i="22" s="1"/>
  <c r="K15" i="22" s="1"/>
  <c r="K44" i="22"/>
  <c r="E288" i="21"/>
  <c r="H50" i="22" s="1"/>
  <c r="G50" i="22"/>
  <c r="G40" i="22"/>
  <c r="E183" i="21"/>
  <c r="H40" i="22" s="1"/>
  <c r="K40" i="22" s="1"/>
  <c r="G17" i="22"/>
  <c r="E83" i="21"/>
  <c r="H17" i="22" s="1"/>
  <c r="E314" i="21"/>
  <c r="H53" i="22" s="1"/>
  <c r="K53" i="22" s="1"/>
  <c r="G53" i="22"/>
  <c r="E42" i="21"/>
  <c r="H11" i="22" s="1"/>
  <c r="G11" i="22"/>
  <c r="K19" i="22"/>
  <c r="K46" i="22"/>
  <c r="K42" i="22"/>
  <c r="E147" i="21"/>
  <c r="H37" i="22" s="1"/>
  <c r="K37" i="22" s="1"/>
  <c r="G37" i="22"/>
  <c r="K18" i="1"/>
  <c r="J23" i="1"/>
  <c r="D156" i="16" l="1"/>
  <c r="H57" i="22"/>
  <c r="K11" i="22"/>
  <c r="K57" i="22" s="1"/>
  <c r="E19" i="15" s="1"/>
  <c r="E20" i="15" s="1"/>
  <c r="E22" i="15" s="1"/>
  <c r="G57" i="22"/>
  <c r="K23" i="1"/>
  <c r="E93" i="17" l="1"/>
  <c r="D165" i="16"/>
  <c r="D167" i="16" l="1"/>
  <c r="D166" i="16"/>
  <c r="E94" i="17"/>
  <c r="J25" i="1"/>
  <c r="E95" i="17" l="1"/>
  <c r="K25" i="1"/>
  <c r="D9" i="6"/>
</calcChain>
</file>

<file path=xl/sharedStrings.xml><?xml version="1.0" encoding="utf-8"?>
<sst xmlns="http://schemas.openxmlformats.org/spreadsheetml/2006/main" count="2578" uniqueCount="1188">
  <si>
    <t xml:space="preserve"> </t>
  </si>
  <si>
    <t/>
  </si>
  <si>
    <t>Өмч</t>
  </si>
  <si>
    <t>Халаасны хувьцаа</t>
  </si>
  <si>
    <t>Нэмж төлөгдсөн капитал</t>
  </si>
  <si>
    <t>Тогтвортой байдлын нөөц сан</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</si>
  <si>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</si>
  <si>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</si>
  <si>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</si>
  <si>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</si>
  <si>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</si>
  <si>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20.... оны ..-р сарын ...-ний үлдэгдэл</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</si>
  <si>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</si>
  <si>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</si>
  <si>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</si>
  <si>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</si>
  <si>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</si>
  <si>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Зарласан ногдол ашиг</t>
  </si>
  <si>
    <t>Дахин үнэлгээний нэмэгдлийн хэрэгжсэн дүн</t>
  </si>
  <si>
    <t>-</t>
  </si>
  <si>
    <t>Мөнгө, түүнтэй адилтгах хөрөнгө</t>
  </si>
  <si>
    <t>Хөрөнгө оруулалт</t>
  </si>
  <si>
    <t>Дүн</t>
  </si>
  <si>
    <t>Эзлэх хувь</t>
  </si>
  <si>
    <t>4. Банкны хугацаатай хадгаламж  (мөр4=мөр(4.1+...+4.14))</t>
  </si>
  <si>
    <t>5. Банкны хадгаламжийн сертификат (мөр5=мөр(5.1+...+5.14))</t>
  </si>
  <si>
    <t>А. ХУВЬЦАА БОЛОН ТҮҮНТЭЙ АДИЛТГАН ТООЦОХ ҮНЭТ ЦААСНААС БУСАД ҮНЭТ ЦААС</t>
  </si>
  <si>
    <t>Хэвийн</t>
  </si>
  <si>
    <t>Хугацаа хэтэрсэн</t>
  </si>
  <si>
    <t>Хэвийн бус</t>
  </si>
  <si>
    <t>Эргэлзээтэй</t>
  </si>
  <si>
    <t>Муу</t>
  </si>
  <si>
    <t>ДҮН</t>
  </si>
  <si>
    <t>Хувьцаа болон түүнтэй адилтган тооцох үнэт цааснаас бусад үнэт цаас</t>
  </si>
  <si>
    <t>Үнэт цаас 1</t>
  </si>
  <si>
    <t>Үнэт цаас 2</t>
  </si>
  <si>
    <t>Үнэт цаас 3</t>
  </si>
  <si>
    <t>Үнэт цаас 4</t>
  </si>
  <si>
    <t>Үнэт цаас 5</t>
  </si>
  <si>
    <t>Хувьцаа болон түүнтэй адилтган тооцох үнэт цааснаас бусад үнэт цаасны нийт дүн</t>
  </si>
  <si>
    <t>Хувьцаа болон түүнтэй адилтган тооцох үнэт цааснаас бусад үнэт цаасны эрсдэлийн дүн</t>
  </si>
  <si>
    <t>Хувьцаа болон түүнтэй адилтган тооцох үнэт цааснаас бусад үнэт цаасны цэвэр дүн</t>
  </si>
  <si>
    <t>Б. ӨМЧЛӨХ БУСАД ХӨРӨНГӨ</t>
  </si>
  <si>
    <t>Өмчлөх бусад хөрөнгө</t>
  </si>
  <si>
    <t>Хөрөнгө 1</t>
  </si>
  <si>
    <t>Хөрөнгө 2</t>
  </si>
  <si>
    <t>Хөрөнгө 3</t>
  </si>
  <si>
    <t>Хөрөнгө 4</t>
  </si>
  <si>
    <t>Хөрөнгө 5</t>
  </si>
  <si>
    <t>Хөрөнгө 6</t>
  </si>
  <si>
    <t>Хөрөнгө 7</t>
  </si>
  <si>
    <t>Хөрөнгө 8</t>
  </si>
  <si>
    <t>Хөрөнгө 9</t>
  </si>
  <si>
    <t>Хөрөнгө 10</t>
  </si>
  <si>
    <t>Өмчлөх бусад хөрөнгийн нийт дүн</t>
  </si>
  <si>
    <t>Өмчлөх бусад хөрөнгийн эрсдэлийн дүн</t>
  </si>
  <si>
    <t>Өмчлөх бусад хөрөнгийн цэвэр дүн</t>
  </si>
  <si>
    <t>В. АВЛАГА</t>
  </si>
  <si>
    <t>ДААТГАЛЫН АВЛАГА</t>
  </si>
  <si>
    <t>Даатгалын хураамжийн авлага</t>
  </si>
  <si>
    <t>Буруутай этгээдээс авах авлага</t>
  </si>
  <si>
    <t>Давхар даатгалаас авах авлага</t>
  </si>
  <si>
    <t>Даатгалын авлагын нийт дүн</t>
  </si>
  <si>
    <t>Даатгалын авлагын эрсдлийн дүн</t>
  </si>
  <si>
    <t>Даатгалын авлагын цэвэр дүн</t>
  </si>
  <si>
    <t>БУСАД САНХҮҮГИЙН БА САНХҮҮГИЙН БУС ХӨРӨНГӨД БАЙГАА АВЛАГА</t>
  </si>
  <si>
    <t>Авлага 1</t>
  </si>
  <si>
    <t>Авлага 2</t>
  </si>
  <si>
    <t>Авлага 3</t>
  </si>
  <si>
    <t>Авлага 4</t>
  </si>
  <si>
    <t>Авлага 5</t>
  </si>
  <si>
    <t>Авлага 6</t>
  </si>
  <si>
    <t>Авлага 7</t>
  </si>
  <si>
    <t>Авлага 8</t>
  </si>
  <si>
    <t>Авлага 9</t>
  </si>
  <si>
    <t>Авлага 10</t>
  </si>
  <si>
    <t>Бусад санхүүгийн ба санхүүгийн бус хөрөнгөд байгаа авлагын дүн</t>
  </si>
  <si>
    <t>Авлагын эрсдлийн дүн</t>
  </si>
  <si>
    <t>Бусад санхүүгийн ба санхүүгийн бус хөрөнгөд байгаа авлагын цэвэр дүн</t>
  </si>
  <si>
    <t>Нийт хөрөнгө</t>
  </si>
  <si>
    <t>Даатгалын хураамжийн нийт орлого</t>
  </si>
  <si>
    <t>Бусад орлого</t>
  </si>
  <si>
    <t>Нөхөн төлбөрийн зардал</t>
  </si>
  <si>
    <t>Бусад зардал</t>
  </si>
  <si>
    <t>Ажиллагчдын тоо /тоогоор/</t>
  </si>
  <si>
    <t>Төв компани</t>
  </si>
  <si>
    <t>Архангай</t>
  </si>
  <si>
    <t>Баян-Өлгий</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</si>
  <si>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</si>
  <si>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</si>
  <si>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</si>
  <si>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</si>
  <si>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</si>
  <si>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</si>
  <si>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</si>
  <si>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</si>
  <si>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</si>
  <si>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</si>
  <si>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</si>
  <si>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</si>
  <si>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</si>
  <si>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</si>
  <si>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</si>
  <si>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</si>
  <si>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</si>
  <si>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</si>
  <si>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</si>
  <si>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</si>
  <si>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</si>
  <si>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</si>
  <si>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</si>
  <si>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Багахангай дүүрэг</t>
  </si>
  <si>
    <t>Баянгол дүүрэг</t>
  </si>
  <si>
    <t>Холбоотой талын нэр</t>
  </si>
  <si>
    <t>Ажил гүйлгээний утга</t>
  </si>
  <si>
    <t>Орлого</t>
  </si>
  <si>
    <t>Зарлага</t>
  </si>
  <si>
    <t>Үлдэгдэл</t>
  </si>
  <si>
    <t>Үүнээс: Төрийн байгууллага, албан газар</t>
  </si>
  <si>
    <t>Даатгалын шимтгэлийн дүн</t>
  </si>
  <si>
    <t>ХӨРӨНГӨ</t>
  </si>
  <si>
    <t>Бэлэн мөнгө</t>
  </si>
  <si>
    <t>Харилцах</t>
  </si>
  <si>
    <t>Банк санхүүгийн байгууллагад байршуулсан хөрөнгө</t>
  </si>
  <si>
    <t>Мөнгөн хөрөнгөнд хуримтлуулж тооцсон хүүний авлага</t>
  </si>
  <si>
    <t>Даатгалын авлага</t>
  </si>
  <si>
    <t>Бусад санхүүгийн хөрөнгө</t>
  </si>
  <si>
    <t>Бусад авлага /цэвэр дүнгээр/</t>
  </si>
  <si>
    <t>Бусад санхүүгийн бус  хөрөнгө</t>
  </si>
  <si>
    <t>НДШ авлага, бусад татварын авлага</t>
  </si>
  <si>
    <t>ААНОАТатварын авлага</t>
  </si>
  <si>
    <t>Хойшлогдсон татварын хөрөнгө</t>
  </si>
  <si>
    <t>Бараа материал</t>
  </si>
  <si>
    <t>Урьдчилж төлсөн зардал/тооцоо</t>
  </si>
  <si>
    <t>Өмчлөх бусад хөрөнгө /цэвэр/</t>
  </si>
  <si>
    <t>Хадгаламж, хадгаламжийн сертификат</t>
  </si>
  <si>
    <t>Үнэт цаас /цэвэр/</t>
  </si>
  <si>
    <t>Хараат ба хамтын хяналттай, охин компаниудад оруулсан хөрөнгө оруулалт</t>
  </si>
  <si>
    <t>Үнэт металл, Дериватив</t>
  </si>
  <si>
    <t>Даатгалын хөрөнгө</t>
  </si>
  <si>
    <t>ДД-ын хойшлогдсон хураамж</t>
  </si>
  <si>
    <t>Нөхөн төлбөрийн нөөцийн ДД-ын ногдох хэсэг</t>
  </si>
  <si>
    <t>Даатгалын орлогын шимтгэлийн хойшлогдсон зардал</t>
  </si>
  <si>
    <t>Үндсэн хөрөнгө /Цэвэр/</t>
  </si>
  <si>
    <t>Биет бус хөрөнгө /Цэвэр/</t>
  </si>
  <si>
    <t>Хөрөнгө оруулалтын зориулалттай үл хөдлөх  хөрөнгө</t>
  </si>
  <si>
    <t>НИЙТ ХӨРӨНГИЙН ДҮН</t>
  </si>
  <si>
    <t>ӨР ТӨЛБӨР БА ЭЗДИЙН ӨМЧ</t>
  </si>
  <si>
    <t>ӨР ТӨЛБӨР</t>
  </si>
  <si>
    <t>Даатгалын өглөг</t>
  </si>
  <si>
    <t>Даатгалын хураамжийн буцаалтын өглөг</t>
  </si>
  <si>
    <t>Даатгалын гэрээний шимтгэлийн өглөг</t>
  </si>
  <si>
    <t>ДД өгөх өглөг</t>
  </si>
  <si>
    <t>Бусад санхүүгийн өр төлбөр</t>
  </si>
  <si>
    <t>Зээлийн өглөг, хүү</t>
  </si>
  <si>
    <t>Өрийн бичиг, хүү</t>
  </si>
  <si>
    <t>Санхүүгийн түрээсийн өр төлбөр</t>
  </si>
  <si>
    <t>Ногдол ашгийн өглөг</t>
  </si>
  <si>
    <t>Деривативын өр төлбөр</t>
  </si>
  <si>
    <t>Бусад өр төлбөр</t>
  </si>
  <si>
    <t>Бусад санхүүгийн бус өр төлбөр</t>
  </si>
  <si>
    <t>Цалингийн өглөг</t>
  </si>
  <si>
    <t>НДШ-ийн өглөг</t>
  </si>
  <si>
    <t>ААНОАТатварын өглөг</t>
  </si>
  <si>
    <t>Хойшлогдсон татварын өглөг</t>
  </si>
  <si>
    <t>Урьдчилж орсон орлого</t>
  </si>
  <si>
    <t>Нийгмийн хөгжлийн сангийн өр төлбөр</t>
  </si>
  <si>
    <t>Хуулийн байууллагаар шийдэгдэж байгаа зүйлсийн өр төлбөр</t>
  </si>
  <si>
    <t>Мөнгөөр төлөгдөх хувьцааны опцион</t>
  </si>
  <si>
    <t>Тэтгэврийн сангийн өр төлбөр</t>
  </si>
  <si>
    <t>Санхүүгийн түрээсийн хэрэгжээгүй орлого</t>
  </si>
  <si>
    <t>Хоёрдогч өглөг</t>
  </si>
  <si>
    <t>Давуу эрхийн хувьцаа (хөрвөхгүй)</t>
  </si>
  <si>
    <t>Нөөц сан</t>
  </si>
  <si>
    <t>Алдагдлаас хамгаалах сан</t>
  </si>
  <si>
    <t>Хамтын эрсдэлийн сан</t>
  </si>
  <si>
    <t>Эрсдэлээс хамгаалах сан</t>
  </si>
  <si>
    <t>Бусад нөөц сан</t>
  </si>
  <si>
    <t>ЭЗДИЙН ӨМЧ</t>
  </si>
  <si>
    <t>Эзэмшигчдийн өмч</t>
  </si>
  <si>
    <t>Хөрөнгийн дахин үнэлгээний өөрчлөлт</t>
  </si>
  <si>
    <t>Хуримтлагдсан ашиг, алдагдал</t>
  </si>
  <si>
    <t>Даатгалын хураамжийн буцаалт</t>
  </si>
  <si>
    <t>Давхар даатгалын хураамж</t>
  </si>
  <si>
    <t>Даатгалын цэвэр хураамжийн орлого</t>
  </si>
  <si>
    <t>Нийт төлсөн нэхэмжлэл</t>
  </si>
  <si>
    <t>Даатгалын нөөц сангийн өөрчлөлт</t>
  </si>
  <si>
    <t>Алдагдлаас хамгаалах сангийн өөрчлөлт</t>
  </si>
  <si>
    <t>Хамтын эрсдэлийн сангийн өөрчлөлт</t>
  </si>
  <si>
    <t>Бусад нөөц сангийн өөрчлөлт</t>
  </si>
  <si>
    <t>Даатгалын хураамжийн бус орлого</t>
  </si>
  <si>
    <t>Хөрөнгө оруулалтын орлого</t>
  </si>
  <si>
    <t>Үйл ажиллагаа (борлуулалт, ерөнхий удирдлага)-ны зардал</t>
  </si>
  <si>
    <t>Үндсэн болон нэмэгдэл цалин</t>
  </si>
  <si>
    <t>Нийгмийн даатгалын шимтгэл</t>
  </si>
  <si>
    <t>Засвар үйлчилгээний зардал</t>
  </si>
  <si>
    <t>Ашиглалтын зардал</t>
  </si>
  <si>
    <t>Түрээсийн зардал</t>
  </si>
  <si>
    <t>Албан томилолтын зардал</t>
  </si>
  <si>
    <t>Тээврийн зардал</t>
  </si>
  <si>
    <t>Түүхий эд материалын зардал</t>
  </si>
  <si>
    <t>Элэгдлийн зардал</t>
  </si>
  <si>
    <t>Зар сурталчилгааны зардал</t>
  </si>
  <si>
    <t>Шуудан, холбооны зардал</t>
  </si>
  <si>
    <t>Шатахууны зардал</t>
  </si>
  <si>
    <t>Найдваргүй авлагын зардал</t>
  </si>
  <si>
    <t>Бусдаар ажил гүйцэтгүүлсэн ажлын зардал</t>
  </si>
  <si>
    <t>Даатгалын төлөөлөгчийн шимтгэл</t>
  </si>
  <si>
    <t>Үндсэн бус үйл ажиллагааны ашиг (алдагдал)</t>
  </si>
  <si>
    <t>Үндсэн бус үйлдвэрлэл, үйлчилгээний ашиг, алдагдал</t>
  </si>
  <si>
    <t>Торгууль, хөнгөлөлтийн ашиг (алдагдал)</t>
  </si>
  <si>
    <t>Ногдол ашгийн орлого</t>
  </si>
  <si>
    <t>Валютын ханшийн өөрчлөлтийн хэрэгжсэн ашиг (алдагдал)</t>
  </si>
  <si>
    <t>Валютын ханшийн өөрчлөлтийн хэрэгжээгүй ашиг (алдагдал)</t>
  </si>
  <si>
    <t>Хувьцаа, бондын зардлын хорогдуулга</t>
  </si>
  <si>
    <t>Хараат болон хамтарсан үйлдвэрээс олсон ашиг</t>
  </si>
  <si>
    <t>Бусад</t>
  </si>
  <si>
    <t>Орлогын татварын зардал</t>
  </si>
  <si>
    <t>Цөөнхөд ногдох хувь</t>
  </si>
  <si>
    <t>Онцгой шинжтэй зүйлс-цэвэр</t>
  </si>
  <si>
    <t>Нэгж хувьцаанд ногдох ашиг (алдагдал)</t>
  </si>
  <si>
    <t>Эхний үлдэгдэл</t>
  </si>
  <si>
    <t>Хасагдсан</t>
  </si>
  <si>
    <t>Даатгалын гэрээний тоо</t>
  </si>
  <si>
    <t>Даатгалын үнэлгээ</t>
  </si>
  <si>
    <t>Даатгалын нийт хураамж</t>
  </si>
  <si>
    <t>Үүнээс: давхар даатгалын зуучлагчаар дамжсан</t>
  </si>
  <si>
    <t>1.Ердийн даатгал</t>
  </si>
  <si>
    <t>2.Урт хугацааны даатгал</t>
  </si>
  <si>
    <t>Хөрөнгийн ангилал</t>
  </si>
  <si>
    <t>Зөвшөөрөгдөх хэмжээнд байгаа дүн</t>
  </si>
  <si>
    <t>Нийт хөрөнгөд ногдох зөвшөөрөгдөхгүй дүн</t>
  </si>
  <si>
    <t>Нэгжид ногдох зөвшөөрөгдөх хэмжээнд байгаа дүн</t>
  </si>
  <si>
    <t>Зөвшөөрөгдөх хөрөнгийг бууруулах дүн</t>
  </si>
  <si>
    <t>Нийт зөвшөөрөгдөхгүй хөрөнгийн дүн</t>
  </si>
  <si>
    <t>1</t>
  </si>
  <si>
    <t>2</t>
  </si>
  <si>
    <t>3</t>
  </si>
  <si>
    <t>4</t>
  </si>
  <si>
    <t>5</t>
  </si>
  <si>
    <t>Төв банкны үнэт цаас</t>
  </si>
  <si>
    <t>6</t>
  </si>
  <si>
    <t>7</t>
  </si>
  <si>
    <t>8</t>
  </si>
  <si>
    <t>Санхүүгийн түрээс</t>
  </si>
  <si>
    <t>9</t>
  </si>
  <si>
    <t>Хөрөнгөөр баталгаажсан үнэт цаас</t>
  </si>
  <si>
    <t>10</t>
  </si>
  <si>
    <t>11</t>
  </si>
  <si>
    <t>12</t>
  </si>
  <si>
    <t>13</t>
  </si>
  <si>
    <t>14</t>
  </si>
  <si>
    <t>15</t>
  </si>
  <si>
    <t>16</t>
  </si>
  <si>
    <t>Урьдчилж төлсөн зардал</t>
  </si>
  <si>
    <t>17</t>
  </si>
  <si>
    <t>18</t>
  </si>
  <si>
    <t>19</t>
  </si>
  <si>
    <t>Үл хөдлөх хөрөнгө</t>
  </si>
  <si>
    <t>20</t>
  </si>
  <si>
    <t>Биет бус хөрөнгө</t>
  </si>
  <si>
    <t>21</t>
  </si>
  <si>
    <t>22</t>
  </si>
  <si>
    <t>23</t>
  </si>
  <si>
    <t>Нэгжид ногдох хөрөнгийн дүн</t>
  </si>
  <si>
    <t>Хаан банк</t>
  </si>
  <si>
    <t>Голомт банк</t>
  </si>
  <si>
    <t>Худалдаа хөгжлийн банк</t>
  </si>
  <si>
    <t>Төрийн банк</t>
  </si>
  <si>
    <t>Хас банк</t>
  </si>
  <si>
    <t>Үндэсний хөрөнгө оруулалтын банк</t>
  </si>
  <si>
    <t>Капитрон банк</t>
  </si>
  <si>
    <t>Ариг банк</t>
  </si>
  <si>
    <t>Кредит банк</t>
  </si>
  <si>
    <t>Богд банк</t>
  </si>
  <si>
    <t>Тооцсон дүн</t>
  </si>
  <si>
    <t>МАЯГТ СЗХ04103. ӨМЧИЙН ӨӨРЧЛӨЛТИЙН ТАЙЛАН</t>
  </si>
  <si>
    <t>Даатгагчийн нэр:</t>
  </si>
  <si>
    <t>..... оны .... сарын ...-ны өдөр</t>
  </si>
  <si>
    <t>(төгрөгөөр)</t>
  </si>
  <si>
    <t>№</t>
  </si>
  <si>
    <t>ҮЗҮҮЛЭЛТ</t>
  </si>
  <si>
    <t>А</t>
  </si>
  <si>
    <t>Б</t>
  </si>
  <si>
    <t>20.... оны ... -р сарын ... -ний үлдэгдэл</t>
  </si>
  <si>
    <t>тамга тэмдэг</t>
  </si>
  <si>
    <t xml:space="preserve">ТАЙЛАН ГАРГАСАН:    </t>
  </si>
  <si>
    <t xml:space="preserve"> Гүйцэтгэх захирал</t>
  </si>
  <si>
    <t xml:space="preserve">/................................../   </t>
  </si>
  <si>
    <t>/................................./</t>
  </si>
  <si>
    <t xml:space="preserve"> Ерөнхий нягтлан бодогч  </t>
  </si>
  <si>
    <t xml:space="preserve">/.................................../   </t>
  </si>
  <si>
    <t>/................................/</t>
  </si>
  <si>
    <t>...................................................</t>
  </si>
  <si>
    <t>МАЯГТ СЗХ04104. МӨНГӨН ГҮЙЛГЭЭНИЙ ТАЙЛАН</t>
  </si>
  <si>
    <t>Мөрийн дугаар</t>
  </si>
  <si>
    <t>... оны ..-р сарын ..</t>
  </si>
  <si>
    <t>В</t>
  </si>
  <si>
    <t>Үндсэн үйл ажиллагааны мөнгөн гүйлгээ</t>
  </si>
  <si>
    <t>Мөнгөн орлогын дүн (+)</t>
  </si>
  <si>
    <t>1.1.1</t>
  </si>
  <si>
    <t>Даатгалын хураамжийн орлого</t>
  </si>
  <si>
    <t>1.1.2</t>
  </si>
  <si>
    <t>Давхар даатгалын нөхөн төлбөр</t>
  </si>
  <si>
    <t>1.1.3</t>
  </si>
  <si>
    <t>Эрхийн шимтгэл, хураамж, төлбөрийн орлого</t>
  </si>
  <si>
    <t>1.1.4</t>
  </si>
  <si>
    <t>Даатгалын нөхвөрөөс хүлээн авсан мөнгө</t>
  </si>
  <si>
    <t>1.1.5</t>
  </si>
  <si>
    <t>Буцаан авсан албан татвар</t>
  </si>
  <si>
    <t>1.1.6</t>
  </si>
  <si>
    <t>Татаас, санхүүжилтийн орлого</t>
  </si>
  <si>
    <t>1.1.7</t>
  </si>
  <si>
    <t>Бусад мөнгөн орлого</t>
  </si>
  <si>
    <t>Мөнгөн зарлагын дүн (-)</t>
  </si>
  <si>
    <t>1.2.1</t>
  </si>
  <si>
    <t>Ажиллагчдад төлсөн</t>
  </si>
  <si>
    <t>1.2.2</t>
  </si>
  <si>
    <t>Нийгмийн даатгалын байгууллагад төлсөн</t>
  </si>
  <si>
    <t>1.2.3</t>
  </si>
  <si>
    <t>Бараа материал худалдан авахад төлсөн</t>
  </si>
  <si>
    <t>1.2.4</t>
  </si>
  <si>
    <t>Ашиглалтын зардалд төлсөн</t>
  </si>
  <si>
    <t>1.2.5</t>
  </si>
  <si>
    <t>Давхар даатгагчид төлсөн давхар даатгалын хураамж</t>
  </si>
  <si>
    <t>1.2.6</t>
  </si>
  <si>
    <t>Нөхөн төлбөрт төлсөн</t>
  </si>
  <si>
    <t>1.2.7</t>
  </si>
  <si>
    <t>Үүнээс: Сайн дурын даатгалын</t>
  </si>
  <si>
    <t>1.2.8</t>
  </si>
  <si>
    <t>Албан журмын даатгалын</t>
  </si>
  <si>
    <t>1.2.9</t>
  </si>
  <si>
    <t>1.2.10</t>
  </si>
  <si>
    <t>Даатгалын зуучлагчид төлсөн төлбөр</t>
  </si>
  <si>
    <t>1.2.11</t>
  </si>
  <si>
    <t>Даатгалын хохирол үнэлэгчид төлсөн төлбөр</t>
  </si>
  <si>
    <t>1.2.12</t>
  </si>
  <si>
    <t>Түлш шатахуун, тээврийн хөлс, сэлбэг хэрэгсэлд төлсөн</t>
  </si>
  <si>
    <t>1.2.13</t>
  </si>
  <si>
    <t>Хүүний төлбөрт төлсөн</t>
  </si>
  <si>
    <t>1.2.14</t>
  </si>
  <si>
    <t>Татварын байгууллагад төлсөн</t>
  </si>
  <si>
    <t>1.2.15</t>
  </si>
  <si>
    <t>Даатгалын төлбөрт төлсөн</t>
  </si>
  <si>
    <t>1.2.16</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</si>
  <si>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</si>
  <si>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</si>
  <si>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</si>
  <si>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</si>
  <si>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</si>
  <si>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</si>
  <si>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</si>
  <si>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2.1.3</t>
  </si>
  <si>
    <t>Хөрөнгө оруулалт борлуулсны орлого</t>
  </si>
  <si>
    <t>2.1.4</t>
  </si>
  <si>
    <t>Бусад урт хугацаат хөрөнгө борлуулсны орлого</t>
  </si>
  <si>
    <t>2.1.5</t>
  </si>
  <si>
    <t>Бусдад олгосон зээл, мөнгөн урьдчилгааны буцаан төлөлт</t>
  </si>
  <si>
    <t>2.1.6</t>
  </si>
  <si>
    <t>Хүлээн авсан хүүний орлого</t>
  </si>
  <si>
    <t>2.1.7</t>
  </si>
  <si>
    <t>Хүлээн авсан ногдол ашиг</t>
  </si>
  <si>
    <t>2.2.1</t>
  </si>
  <si>
    <t>Үндсэн хөрөнгө олж эзэмшихэд төлсөн</t>
  </si>
  <si>
    <t>2.2.2</t>
  </si>
  <si>
    <t>Биет бус хөрөнгө олж эзэмшихэд төлсөн</t>
  </si>
  <si>
    <t>2.2.3</t>
  </si>
  <si>
    <t>Хөрөнгө оруулалт олж эзэмшихэд төлсөн</t>
  </si>
  <si>
    <t>2.2.4</t>
  </si>
  <si>
    <t>Бусад урт хугацаат хөрөнгө олж эзэмшихэд төлсөн</t>
  </si>
  <si>
    <t>2.2.5</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</si>
  <si>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</si>
  <si>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</si>
  <si>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</si>
  <si>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3.1.1</t>
  </si>
  <si>
    <t>Зээл авсан, өрийн үнэт цаас гаргаснаас хүлээн авсан</t>
  </si>
  <si>
    <t>3.1.2</t>
  </si>
  <si>
    <t>Хувьцаа болон өмчийн бусад үнэт цаас гаргаснаас хүлээн авсан</t>
  </si>
  <si>
    <t>3.1.3</t>
  </si>
  <si>
    <t>Төрөл бүрийн хандив</t>
  </si>
  <si>
    <t>3.1.4</t>
  </si>
  <si>
    <t>3.2.1</t>
  </si>
  <si>
    <t>Зээл, өрийн үнэт цаасны төлбөрт төлсөн мөнгө</t>
  </si>
  <si>
    <t>3.2.2</t>
  </si>
  <si>
    <t>Санхүүгийн түрээсийн өглөгт төлсөн</t>
  </si>
  <si>
    <t>3.2.3</t>
  </si>
  <si>
    <t>Хувьцаа буцаан худалдаж авахад төлсөн</t>
  </si>
  <si>
    <t>3.2.4</t>
  </si>
  <si>
    <t>Төлсөн ногдол ашиг</t>
  </si>
  <si>
    <t>3.2.5</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</si>
  <si>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</si>
  <si>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</si>
  <si>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</si>
  <si>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</si>
  <si>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“Даатгагч болон даатгалын мэргэжлийн оролцогчоос 
тайлан, мэдээ, өргөдөл гаргах заавар”-ын 1 дүгээр хавсралт</t>
  </si>
  <si>
    <t>МАЯГТ СЗХ04105. ДААТГАЛЫН КОМПАНИЙН ДҮРМИЙН САНГИЙН ХӨРӨНГИЙН БАЙРШИЛ</t>
  </si>
  <si>
    <t>Банкны харилцах (мөр2=мөр(2.1+...+2.14))</t>
  </si>
  <si>
    <t>Тээврийн хөгжлийн банк</t>
  </si>
  <si>
    <t>Чингисхаан банк</t>
  </si>
  <si>
    <t>Банкны хугацаагүй хадгаламж  (мөр3=мөр(3.1+...+3.14))</t>
  </si>
  <si>
    <t>Үнэт цаас (мөр6=мөр(6.1.+...6.9)</t>
  </si>
  <si>
    <t>Засгийн газрын өрийн хэрэгсэл</t>
  </si>
  <si>
    <t>Аймаг, нийслэлийн гаргасан өрийн бичиг</t>
  </si>
  <si>
    <t>Компанийн бонд</t>
  </si>
  <si>
    <t>ХБ-ийн I ангиллын хувьцаа</t>
  </si>
  <si>
    <t>ХБ-ийн II ангиллын хувьцаа</t>
  </si>
  <si>
    <t>Хөрөнгө оруулалтын сангийн үнэт цаас /нэгж эрх/</t>
  </si>
  <si>
    <t>Бусад санхүүгийн байгууллагад байршуулсан хөрөнгө (мөр10=мөр(10.1+10.2+10.3)</t>
  </si>
  <si>
    <t>Cанхүүгийн байгууллага 1</t>
  </si>
  <si>
    <t>Cанхүүгийн байгууллага 2</t>
  </si>
  <si>
    <t>Cанхүүгийн байгууллага 3</t>
  </si>
  <si>
    <t>Үндсэн хөрөнгө  (мөр11=мөр(11.1+11.2))</t>
  </si>
  <si>
    <t>Бусад үндсэн хөрөнгө</t>
  </si>
  <si>
    <t>Бусад хөрөнгө (мөр12=мөр(12.1+…+12.5)</t>
  </si>
  <si>
    <t>Бусад санхүүгийн ба санхүүгийн бус хөрөнгө</t>
  </si>
  <si>
    <t>Хөрөнгө оруулалтын зориулалттай үл хөдлөх хөрөнгө</t>
  </si>
  <si>
    <t>НИЙТ ДҮН (мөр13=мөр(1+2+...+11+12)</t>
  </si>
  <si>
    <t>“Даатгагч болон даатгалын мэргэжлийн оролцогчоос 
тайлан, мэдээ, өргөдөл гаргах заавар”-ын 2 дугаар хавсралт</t>
  </si>
  <si>
    <t>МАЯГТ СЗХ04106. ДААТГАЛЫН КОМПАНИЙН ХӨРӨНГИЙН ЭРСДЭЛИЙН ТАЙЛАН</t>
  </si>
  <si>
    <t>I</t>
  </si>
  <si>
    <t>II</t>
  </si>
  <si>
    <t>“Даатгагч болон даатгалын мэргэжлийн оролцогчоос 
тайлан, мэдээ, өргөдөл гаргах заавар”-ын 12 дугаар хавсралт</t>
  </si>
  <si>
    <t>МАЯГТ СЗХ04116. ДААТГАЛЫН КОМПАНИЙН САЛБАР, ТӨЛӨӨЛӨГЧИЙН ГАЗРЫН ЕРӨНХИЙ МЭДЭЭЛЛИЙН ТАЙЛАН</t>
  </si>
  <si>
    <t>Салбарын мэдээлэл</t>
  </si>
  <si>
    <t>Үүнээс:</t>
  </si>
  <si>
    <t>Даатгалын гэрээний тоо /тоогоор/</t>
  </si>
  <si>
    <t>Нөхөн төлбөр авсан даатгуулагчийн тоо  /тоогоор/</t>
  </si>
  <si>
    <t>Мөнгөн хөрөнгө</t>
  </si>
  <si>
    <t>Үндсэн хөрөнгө</t>
  </si>
  <si>
    <t>хувь хүн</t>
  </si>
  <si>
    <t>хуулийн этгээд</t>
  </si>
  <si>
    <t>Үүнээс: хамрагдсан даатгалын зүйл</t>
  </si>
  <si>
    <t>Үүнээс: Олгосон хувь хүн</t>
  </si>
  <si>
    <t>Баянхонгор</t>
  </si>
  <si>
    <t>Дархан-Уул</t>
  </si>
  <si>
    <t>Сонгинохайрхан дүүрэг</t>
  </si>
  <si>
    <t>“Даатгагч болон даатгалын мэргэжлийн оролцогчоос 
тайлан, мэдээ, өргөдөл гаргах заавар”-ын 13 дугаар хавсралт</t>
  </si>
  <si>
    <t>МАЯГТ СЗХ04117. ДААТГАЛЫН КОМПАНИЙН ХОЛБОГДОХ ЭТГЭЭД БОЛОН ТҮҮНТЭЙ ХОЛБООТОЙ ТАЛУУДТАЙ ХИЙСЭН АЖИЛ, ГҮЙЛГЭЭНИЙ ТАЙЛАН</t>
  </si>
  <si>
    <t xml:space="preserve">.............холбогдох этгээд </t>
  </si>
  <si>
    <t>“Даатгагч болон даатгалын мэргэжлийн оролцогчоос 
тайлан, мэдээ, өргөдөл гаргах заавар”-ын 14 дүгээр хавсралт</t>
  </si>
  <si>
    <t>МАЯГТ СЗХ04118. ДААТГАЛЫН КОМПАНИЙН ДААТГАЛЫН ЗУУЧЛАГЧИЙН ШИМТГЭЛИЙН ТАЛААРХ ТАЙЛАН</t>
  </si>
  <si>
    <t>Даатгалын зуучлагч, төлөөлөгчийн нэр</t>
  </si>
  <si>
    <t>Даатгалын  үнэлгээний дүн</t>
  </si>
  <si>
    <t>Хувь хүн</t>
  </si>
  <si>
    <t>Хуулийн этгээд</t>
  </si>
  <si>
    <t xml:space="preserve">Нийт </t>
  </si>
  <si>
    <t>Төрийн болон орон нутгийн өмчит хуулийн этгээд</t>
  </si>
  <si>
    <t>Хувьцаат компани</t>
  </si>
  <si>
    <t>Гадаадын хөрөнгө оруулалттай компани</t>
  </si>
  <si>
    <t>Даатгалын зуучлагч /хамгийн их дүнтэйгээс эхэлнэ/</t>
  </si>
  <si>
    <t>......  Даатгалын зуучлагч</t>
  </si>
  <si>
    <t>24</t>
  </si>
  <si>
    <t>25</t>
  </si>
  <si>
    <t>26</t>
  </si>
  <si>
    <t>27</t>
  </si>
  <si>
    <t>28</t>
  </si>
  <si>
    <t>29</t>
  </si>
  <si>
    <t>30</t>
  </si>
  <si>
    <t>31</t>
  </si>
  <si>
    <t>Бусад даатгалын зуучлагч</t>
  </si>
  <si>
    <t>МАЯГТ СЗХ04118. ДААТГАЛЫН КОМПАНИЙН ДААТГАЛЫН ТӨЛӨӨЛӨГЧИЙН ШИМТГЭЛИЙН ТАЛААРХ ТАЙЛАН</t>
  </si>
  <si>
    <t>Даатгалын төлөөлөгч / хамгийн их дүнтэйгээс эхэлнэ</t>
  </si>
  <si>
    <t xml:space="preserve">........Даатгалын төлөөлөгч </t>
  </si>
  <si>
    <t>Бусад төлөөлөгч</t>
  </si>
  <si>
    <t>Үзүүлэлт</t>
  </si>
  <si>
    <t>Данс</t>
  </si>
  <si>
    <t>Бэлэн мөнгө /төгрөг/</t>
  </si>
  <si>
    <t>Бэлэн мөнгө /валют/</t>
  </si>
  <si>
    <t>Замд яваа мөнгө</t>
  </si>
  <si>
    <t>Дотоодын банкин дахь харилцах /төгрөг/</t>
  </si>
  <si>
    <t>Дотоодын банкин дахь харилцах /валют/</t>
  </si>
  <si>
    <t>Гадаадын банкин дахь харилцах</t>
  </si>
  <si>
    <t>Дотоодын банкин дахь хугацаагүй хадгаламж /төгрөг/</t>
  </si>
  <si>
    <t>Дотоодын банкин дахь хугацаагүй хадгаламж /валют/</t>
  </si>
  <si>
    <t>Санхүүгийн байгууллагад байршуулсан 3 сараас бага хугацаатай хөрөнгө /төгрөг/</t>
  </si>
  <si>
    <t>Санхүүгийн байгууллагад байршуулсан 3 сараас бага хугацаатай хөрөнгө /валют/</t>
  </si>
  <si>
    <t xml:space="preserve">Гадаадын санхүүгийн байгууллагад байршуулсан 3 сараас бага хугацаатай хөрөнгө </t>
  </si>
  <si>
    <t>Дотоодын банкин дахь 3 сар хүртлэх хугацаатай хадгаламж, хадгаламжийн сертификат /төгрөг/</t>
  </si>
  <si>
    <t>Дотоодын банкин дахь  хадгаламж, 3 сар хүртлэх хугацаатай хадгаламж, хадгаламжийн сертификат /валют/</t>
  </si>
  <si>
    <t>Гадаадын банкин дахь 3 сар хүртлэх хугацаатай хадгаламж, хадгаламжийн сертификат</t>
  </si>
  <si>
    <t>3 сар хүртэл хугацаатай Үнэт цаас /төгрөг/</t>
  </si>
  <si>
    <t>3 сар хүртэл хугацаатай Үнэт цаас /валют/</t>
  </si>
  <si>
    <t>Дотоодын банкинд байршуулсан 3 сар хүртлэх хугацаатай хөрөнгө оруулалтын хүү, хямдруулалтын авлага /төгрөг/</t>
  </si>
  <si>
    <t>Дотоодын банкинд байршуулсан 3 сар хүртлэх хугацаатай хөрөнгө оруулалтын хүү, хямдруулалтын авлага /валют/</t>
  </si>
  <si>
    <t>Гадаадын банкинд байршуулсан 3 сар хүртлэх хугацаатай хөрөнгө оруулалтын хүү, хямдруулалтын авлага</t>
  </si>
  <si>
    <t>Үнэт цаасанд хуримтлуулж тооцсон хүү /төгрөг/</t>
  </si>
  <si>
    <t>Үнэт цаасанд хуримтлуулж тооцсон хүү /валют/</t>
  </si>
  <si>
    <t xml:space="preserve">Даатгалын хураамжийн авлага </t>
  </si>
  <si>
    <t>Даатгалын хураамжийн авлагын эрсдэлийн сан</t>
  </si>
  <si>
    <t xml:space="preserve">Буруутай этгээдээс авах авлага </t>
  </si>
  <si>
    <t>Буруутай этгээдээс авах авлагын эрсдэлийн сан</t>
  </si>
  <si>
    <t xml:space="preserve">Давхар даатгагчаас авах нөхөн төлбөрийн авлага </t>
  </si>
  <si>
    <t>Давхар даатгагчаас авах нөхөн төлбөрийн авлагын эрсдэлийн сан</t>
  </si>
  <si>
    <t xml:space="preserve">Давхар даатгагчаас авах хураамжийн авлага </t>
  </si>
  <si>
    <t>Давхар даатгагчаас авах хураамжийн авлагын эрсдэлийн сан</t>
  </si>
  <si>
    <t xml:space="preserve">Давхар даатгагчаас авах шимтгэлийн авлага </t>
  </si>
  <si>
    <t>Давхар даатгагчаас авах шимтгэлийн эрсдэлийн сан</t>
  </si>
  <si>
    <t xml:space="preserve">Бусад авлага </t>
  </si>
  <si>
    <t>Бусад авлагын эрсдэлийн сан</t>
  </si>
  <si>
    <t>Татварын авлага</t>
  </si>
  <si>
    <t>НДШ-ийн авлага</t>
  </si>
  <si>
    <t>Банкинд байршуулсан 3 сараас дээш хугацаатай хадгаламж, хадгаламжийн сертификат /төгрөг/</t>
  </si>
  <si>
    <t>Банкинд байршуулсан 3 сараас дээш хугацаатай хадгаламж, хадгаламжийн сертификат /валют/</t>
  </si>
  <si>
    <t>Гадаадын банкинд байршуулсан 3 сараас дээш хугацаатай хадгаламж, хадгаламжийн сертификат</t>
  </si>
  <si>
    <t>Санхүүгийн байгууллагад байршуулсан 3 сараас дээш хугацаатай хөрөнгө оруулалт</t>
  </si>
  <si>
    <t>Банкинд байршуулсан 3 сараас дээш хугацаатай хадгаламж, хадгаламжийн сертификатийн хөнгөлөлт, урамшуулал, хямдруулалт</t>
  </si>
  <si>
    <t>Банкинд байршуулсан 3 сараас дээш хугацаатай хадгаламж, хадгаламжийн сертификат, хүүний авлага /төгрөг/</t>
  </si>
  <si>
    <t>Банкинд байршуулсан 3 сараас дээш хугацаатай хадгаламж, хадгаламжийн сертификат, хүүний авлага /валют/</t>
  </si>
  <si>
    <t xml:space="preserve">Хугацааны эцэс хүртэл эзэмших үнэт цаас /Дотоод/  </t>
  </si>
  <si>
    <t xml:space="preserve">Борлуулахад бэлэн үнэт цаас /Дотоод/  </t>
  </si>
  <si>
    <t>Арилжааны үнэт цаас</t>
  </si>
  <si>
    <t>Зээл ба авлага гэж ангилсан үнэт цаас</t>
  </si>
  <si>
    <t>Үнэт цаасны урамшуулал</t>
  </si>
  <si>
    <t>Үнэт цаасны хөнгөлөлт, хасагдуулга, хямдруулалт</t>
  </si>
  <si>
    <t>Үнэт цаасны хуримтлуулж тооцсон авлага</t>
  </si>
  <si>
    <t>Үнэт цаасны дахин үнэлгээний эрсдэлийн сан</t>
  </si>
  <si>
    <t>Охин компанид оруулсан хөрөнгө оруулалт</t>
  </si>
  <si>
    <t>Хараат компанид оруулсан хөрөнгө оруулалт</t>
  </si>
  <si>
    <t>Хамтын хяналттай компанид оруулсан хөрөнгө оруулалт</t>
  </si>
  <si>
    <t>Хараат, хамтын хяналттай, охин компаниудад оруулсан хөрөнгө оруулалтын эрсдэлийн сан</t>
  </si>
  <si>
    <t>Үнэт металл, Дериватив /Дотоод/</t>
  </si>
  <si>
    <t>Үнэт металл, Дериватив /Гадаад/</t>
  </si>
  <si>
    <t xml:space="preserve">Бичиг хэргийн материал </t>
  </si>
  <si>
    <t>Хангамжийн материал</t>
  </si>
  <si>
    <t>Түлш шатахуун</t>
  </si>
  <si>
    <t>Сэлбэг хэрэгсэл</t>
  </si>
  <si>
    <t>Сурталчилгааны материал</t>
  </si>
  <si>
    <t>Урьдчилж төлсөн тооцоо</t>
  </si>
  <si>
    <t xml:space="preserve">Өмчлөх бусад хөрөнгө </t>
  </si>
  <si>
    <t>Өмчлөх бусад хөрөнгийн эрсдэлийн сан</t>
  </si>
  <si>
    <t>Нөхөн төлбөрийн нөөцийн давхар даатгагчид ногдох хэсэг ХО-гүй</t>
  </si>
  <si>
    <t>Даатгалын орлогын шимтгэлийн хойшлогдсон зардал /Зуучлагч/</t>
  </si>
  <si>
    <t>Даатгалын орлогын шимтгэлийн хойшлогдсон зардал /Төлөөлөгч/</t>
  </si>
  <si>
    <t>Даатгалын орлогын шимтгэлийн хойшлогдсон бусад зардал</t>
  </si>
  <si>
    <t>Газрын сайжруулалт</t>
  </si>
  <si>
    <t>Газар сайжруулалтын Хуримтлагдсан элэгдэл</t>
  </si>
  <si>
    <t xml:space="preserve">Барилга байгууламж </t>
  </si>
  <si>
    <t>Барилга байгууламж хуримтлагдсан элэгдэл</t>
  </si>
  <si>
    <t>Машин тоног төхөөрөмж</t>
  </si>
  <si>
    <t>Машин тоног төхөөрөмж хуримтлагдсан элэгдэл</t>
  </si>
  <si>
    <t>Тээврийн хэрэгсэл</t>
  </si>
  <si>
    <t>Тээврийн хэрэгсэл хуримтлагдсан элэгдэл</t>
  </si>
  <si>
    <t xml:space="preserve">Тавилга эд хогшил </t>
  </si>
  <si>
    <t>Тавилга эд хогшил хуримтлагдсан элэгдэл</t>
  </si>
  <si>
    <t>Компьютер дагалдах хэрэгсэл</t>
  </si>
  <si>
    <t>Компьютер дагалдах хэрэгсэл хуримтлагдсан элэгдэл</t>
  </si>
  <si>
    <t>Санхүүгийн түрээсийн хөрөнгө</t>
  </si>
  <si>
    <t>Санхүүгийн түрээсийн хөрөнгө хуримтлагдсан элэгдэл</t>
  </si>
  <si>
    <t>Мал сүрэг</t>
  </si>
  <si>
    <t>Мал сүргийн хуримтлагдсан элэгдэл</t>
  </si>
  <si>
    <t>Дуусаагүй барилга</t>
  </si>
  <si>
    <t>Зохиогчийн эрх</t>
  </si>
  <si>
    <t>Зохиогчийн эрх хуримтлагдсан хорогдуулалт</t>
  </si>
  <si>
    <t>Програм хангамж</t>
  </si>
  <si>
    <t>Програм хангамж хуримтлагдсан хорогдуулалт</t>
  </si>
  <si>
    <t>Патент</t>
  </si>
  <si>
    <t>Патент хуримтлагдсан хорогдуулалт</t>
  </si>
  <si>
    <t>Барааны тэмдэг</t>
  </si>
  <si>
    <t>Барааны тэмдэг хуримтлагдсан хорогдуулалт</t>
  </si>
  <si>
    <t>Газар эзэмших эрх</t>
  </si>
  <si>
    <t>Газар эзэмших эрх хуримтлагдсан хорогдуулалт</t>
  </si>
  <si>
    <t>Бусад биет бус хөрөнгө</t>
  </si>
  <si>
    <t>Бусад биет бус хөрөнгө хуримтлагдсан хорогдуулалт</t>
  </si>
  <si>
    <t>Салбар хоорондын тооцоо</t>
  </si>
  <si>
    <t>Даатгалын орлогын шимтгэлийн өглөг</t>
  </si>
  <si>
    <t>Давхар даатгагчид өгөх хураамжийн өглөг</t>
  </si>
  <si>
    <t>Татварын өглөг</t>
  </si>
  <si>
    <t>Давуу эрхийн хувьцаа /Хөрвөхгүй/</t>
  </si>
  <si>
    <t>Орлогод тооцоогүй хураамжийн нөөц</t>
  </si>
  <si>
    <t xml:space="preserve">Учирсан боловч мэдэгдээгүй ХНС </t>
  </si>
  <si>
    <t>Учирсан боловч мэдэгдээгүй хохирлыг барагдуулахтай холбогдон гарах зайлшгүй зардал</t>
  </si>
  <si>
    <t xml:space="preserve">Мэдсэн боловч төлөөгүй ХНС </t>
  </si>
  <si>
    <t>Учирч болзошгүй ХНС</t>
  </si>
  <si>
    <t>Тусгай нөөц сан</t>
  </si>
  <si>
    <t>Хувь оролцоотой гэрээний нөөц сан</t>
  </si>
  <si>
    <t>Хувь оролцоогүй гэрээний нөөц сан</t>
  </si>
  <si>
    <t>Хөрөнгө оруулалттай холбоотой гэрээний нөөц сан</t>
  </si>
  <si>
    <t>Хувь нийлүүлсэн хөрөнгө: Энгийн хувьцаа</t>
  </si>
  <si>
    <t>Хувь нийлүүлсэн хөрөнгө: Давуу эрхийн хувьцаа</t>
  </si>
  <si>
    <t>Нэмж төлөгдсөн капитал: Энгийн хувьцаа</t>
  </si>
  <si>
    <t>Нэмж төлөгдсөн капитал: Давуу эрхийн хувьцаа</t>
  </si>
  <si>
    <t>Халаасны хувьцаа: Энгийн хувьцаа</t>
  </si>
  <si>
    <t>Халаасны хувьцаа: Давуу эрхийн хувьцаа</t>
  </si>
  <si>
    <t>Тусгай зориулалттай сан</t>
  </si>
  <si>
    <t>Хувьцаанд суурилсан төлбөр</t>
  </si>
  <si>
    <t>Хувьцаа эзэмшигчдээс оруулсан бусад хөрөнгө</t>
  </si>
  <si>
    <t xml:space="preserve">НИЙТ ӨР ТӨЛБӨРИЙН БА ЭЗДИЙН ӨМЧИЙН ДҮН </t>
  </si>
  <si>
    <t>1.1</t>
  </si>
  <si>
    <t>Мөнгө, түүнтэй адилтгах хөрөнгийн дүн  (=мөр(3+...+6))</t>
  </si>
  <si>
    <t>1.2</t>
  </si>
  <si>
    <t>Даатгалын хураамжийн авлага /цэвэр дүнгээр/</t>
  </si>
  <si>
    <t>Давхар даатгалаас авах авлага /цэвэр дүнгээр/</t>
  </si>
  <si>
    <t>1.3</t>
  </si>
  <si>
    <t>1.3.1</t>
  </si>
  <si>
    <t>1.3.2</t>
  </si>
  <si>
    <t>Бусад санхүүгийн хөрөнгийн дүн  (=мөр14)</t>
  </si>
  <si>
    <t>1.4</t>
  </si>
  <si>
    <t>1.4.1</t>
  </si>
  <si>
    <t>1.4.2</t>
  </si>
  <si>
    <t>1.4.3</t>
  </si>
  <si>
    <t>1.4.4</t>
  </si>
  <si>
    <t>1.4.5</t>
  </si>
  <si>
    <t>1.4.6</t>
  </si>
  <si>
    <t>1.4.7</t>
  </si>
  <si>
    <t>1.5</t>
  </si>
  <si>
    <t>1.5.1</t>
  </si>
  <si>
    <t>1.5.2</t>
  </si>
  <si>
    <t>1.5.3</t>
  </si>
  <si>
    <t>1.5.4</t>
  </si>
  <si>
    <t>1.5.5</t>
  </si>
  <si>
    <t>1.6</t>
  </si>
  <si>
    <t>1.6.1</t>
  </si>
  <si>
    <t>1.6.4</t>
  </si>
  <si>
    <t>1.7</t>
  </si>
  <si>
    <t>1.8</t>
  </si>
  <si>
    <t>1.9</t>
  </si>
  <si>
    <t>1.10</t>
  </si>
  <si>
    <t>2.1</t>
  </si>
  <si>
    <t>2.1.1.1</t>
  </si>
  <si>
    <t>2.1.1.2</t>
  </si>
  <si>
    <t>2.1.1.3</t>
  </si>
  <si>
    <t>2.1.1.4</t>
  </si>
  <si>
    <t>2.1.2.1</t>
  </si>
  <si>
    <t>2.1.2.2</t>
  </si>
  <si>
    <t>2.1.2.3</t>
  </si>
  <si>
    <t>2.1.2.4</t>
  </si>
  <si>
    <t>2.1.2.5</t>
  </si>
  <si>
    <t>2.1.2.6</t>
  </si>
  <si>
    <t>2.1.2.7</t>
  </si>
  <si>
    <t>2.1.3.1</t>
  </si>
  <si>
    <t>2.1.3.2</t>
  </si>
  <si>
    <t>2.1.3.3</t>
  </si>
  <si>
    <t>2.1.3.4</t>
  </si>
  <si>
    <t>2.1.3.5</t>
  </si>
  <si>
    <t>2.1.3.6</t>
  </si>
  <si>
    <t>2.1.3.7</t>
  </si>
  <si>
    <t>2.1.3.8</t>
  </si>
  <si>
    <t>2.1.3.9</t>
  </si>
  <si>
    <t>2.1.3.10</t>
  </si>
  <si>
    <t>2.1.3.11</t>
  </si>
  <si>
    <t>2.1.3.12</t>
  </si>
  <si>
    <t>НИЙТ ӨР ТӨЛБӨРИЙН ДҮН (=мөр(45+53+66+67+68+69+75)</t>
  </si>
  <si>
    <t>2.2</t>
  </si>
  <si>
    <t>2.2.6</t>
  </si>
  <si>
    <t>2.2.7</t>
  </si>
  <si>
    <t>2.2.8</t>
  </si>
  <si>
    <t>2.3</t>
  </si>
  <si>
    <t>НИЙТ ӨР ТӨЛБӨРИЙН БА ЭЗДИЙН ӨМЧИЙН ДҮН (=мөр(76+86)</t>
  </si>
  <si>
    <t>1.6.2</t>
  </si>
  <si>
    <t>1.6.3</t>
  </si>
  <si>
    <t>Орлогод тооцоогүй хураамжийн нөөц сан</t>
  </si>
  <si>
    <t>2.1.7.1</t>
  </si>
  <si>
    <t>2.1.7.2</t>
  </si>
  <si>
    <t>2.1.7.3</t>
  </si>
  <si>
    <t>2.1.7.4</t>
  </si>
  <si>
    <t>2.1.8</t>
  </si>
  <si>
    <t>Тогтвортай байдлын нөөц сан</t>
  </si>
  <si>
    <t>2.2.9</t>
  </si>
  <si>
    <t>ДАВХАР ДААТГАЛЫН КОМПАНИЙН САНХҮҮГИЙН БАЙДЛЫН ТАЙЛАН /ДАНСНЫ ЖАГСААЛТААР/</t>
  </si>
  <si>
    <t>МАЯГТ СЗХ04130. ДАВХАР ДААТГАЛЫН КОМПАНИЙН САНХҮҮГИЙН БАЙДЛЫН ТАЙЛАН</t>
  </si>
  <si>
    <t>“Даатгагч болон даатгалын мэргэжлийн оролцогчоос 
тайлан, мэдээ, өргөдөл гаргах заавар”-ын 26 дугаар хавсралт</t>
  </si>
  <si>
    <t>Орлогын албан татварын зардал</t>
  </si>
  <si>
    <t>Үйл ажиллагааны бус бусад зардал</t>
  </si>
  <si>
    <t>Бусад гарз</t>
  </si>
  <si>
    <t>Торгууль алданги</t>
  </si>
  <si>
    <t>Өрийн бичиг, бонд эргэлтээс гаргалтын гарз</t>
  </si>
  <si>
    <t>Биет болон биет бус хөрөнгө борлуулсан, данснаас хассаны гарз</t>
  </si>
  <si>
    <t>Гадаад валютын ханшийн зөрүүний гарз</t>
  </si>
  <si>
    <t>Эрсдэлийн сангийн зардал</t>
  </si>
  <si>
    <t>Үйл ажиллагааны бус зардал</t>
  </si>
  <si>
    <t>Үйл ажиллагааны бусад зардал</t>
  </si>
  <si>
    <t>Хараат ба хамтын хяналттай, охин компанид оруулсан хөрөнгө оруулалтын гарз</t>
  </si>
  <si>
    <t>Хөрөнгө оруулалтын гарз</t>
  </si>
  <si>
    <t>Санхүүгийн зардал</t>
  </si>
  <si>
    <t>Хүлээн авалт, баяр ёслолын зардал</t>
  </si>
  <si>
    <t>Цэвэрлэгээ, Үйлчилгээний зардал</t>
  </si>
  <si>
    <t>Харуул, хамгаалалтын зардал</t>
  </si>
  <si>
    <t>Элэгдэл, хорогдлын зардал</t>
  </si>
  <si>
    <t>Засварын зардал</t>
  </si>
  <si>
    <t>Даатгалын зардал</t>
  </si>
  <si>
    <t>Сонин сэтгүүл захиалгын зардал</t>
  </si>
  <si>
    <t>Сургалтын зардал</t>
  </si>
  <si>
    <t>Мэргэжлийн үйлчилгээний зардал</t>
  </si>
  <si>
    <t>Шуудан холбооны зардал</t>
  </si>
  <si>
    <t>Бичиг хэргийн зардал</t>
  </si>
  <si>
    <t>Томилолтын зардал</t>
  </si>
  <si>
    <t>Татвар, төлбөр, хураамжийн зардал</t>
  </si>
  <si>
    <t>Байгууллагаас төлсөн НДШ-ийн зардал</t>
  </si>
  <si>
    <t>Ажиллагчдын цалингийн зардал</t>
  </si>
  <si>
    <t>Даатгалын гэрээний зардал /Төлөөлөгч/</t>
  </si>
  <si>
    <t>Даатгалын гэрээний зардал /Зуучлагч/</t>
  </si>
  <si>
    <t>Нөхөн төлбөрийн нөөцийн давхар даатгагчид ногдох хэсгийн өөрчлөлт МБТХНС</t>
  </si>
  <si>
    <t>Нөхөн төлбөрийн нөөцийн давхар даатгагчид ногдох хэсгийн өөрчлөлт УБМХНС</t>
  </si>
  <si>
    <t>Хөрөнгө оруулалттай холбоотой гэрээний нөөц сангийн өөрчлөлт</t>
  </si>
  <si>
    <t>Хувь оролцоогүй гэрээний нөөц сангийн өөрчлөлт</t>
  </si>
  <si>
    <t>Хувь оролцоотой гэрээний нөөц сангийн өөрчлөлт</t>
  </si>
  <si>
    <t>Тусгай нөөц сангийн өөрчлөлт</t>
  </si>
  <si>
    <t>Учирч болзошгүй хохирлын нөөц сангийн өөрчлөлт</t>
  </si>
  <si>
    <t>Мэдсэн боловч төлөөгүй хохирлын НС-ийн өөрчлөлт</t>
  </si>
  <si>
    <t>Учирсан боловч мэдэгдээгүй хохирлыг барагдуулахтай холбогдон гарах зайлшгүй зардлын өөрчлөлт</t>
  </si>
  <si>
    <t>Учирсан боловч мэдэгдээгүй хохирлын НС-ийн өөрчлөлт</t>
  </si>
  <si>
    <t>ДД-ын хойшлогдсон хураамжийн өөрчлөлт</t>
  </si>
  <si>
    <t>Орлого тооцоогүй  хураамжийн нөөцийн өөрчлөлт</t>
  </si>
  <si>
    <t>Давхар даатгалын хураамжийн буцаалт</t>
  </si>
  <si>
    <t>Бусад олз</t>
  </si>
  <si>
    <t>Хандивын олз</t>
  </si>
  <si>
    <t>Торгууль алдангийн олз</t>
  </si>
  <si>
    <t>Өрийн бичиг, Бонд эргэлтээс гаргалтын олз</t>
  </si>
  <si>
    <t>Биет болон биет бус хөрөнгө борлуулсан, данснаас хассаны олз</t>
  </si>
  <si>
    <t>Гадаад валютын ханшийн зөрүүний олз</t>
  </si>
  <si>
    <t>Үйл ажиллагааны бусад орлого</t>
  </si>
  <si>
    <t>Эрсдэлийн сангаас хаагдсан авлагын эргэн төлөлт</t>
  </si>
  <si>
    <t>Санхүүгийн түрээсийн орлого</t>
  </si>
  <si>
    <t>Хүүгийн орлого /харилцах, хугацаагүй хадгаламж/</t>
  </si>
  <si>
    <t>Эрхийн шимтгэлийн орлого</t>
  </si>
  <si>
    <t>Түрээсийн орлого</t>
  </si>
  <si>
    <t>Хараат ба хамтын хяналттай, охин компанид оруулсан хөрөнгө оруулалтын олз</t>
  </si>
  <si>
    <t>Хөрөнгө оруулалтын  олз</t>
  </si>
  <si>
    <t>Хямдруулалт, хөнгөлөлтийн орлого</t>
  </si>
  <si>
    <t>Хөрөнгө оруулалтын хүүний орлого</t>
  </si>
  <si>
    <t>Буруутай этгээдийн хариуцсан нөхөн төлбөр</t>
  </si>
  <si>
    <t>Давхар даатгагчийн хариуцсан нөхөн төлбөр</t>
  </si>
  <si>
    <t>Давхар даатгалын шимтгэлийн орлого</t>
  </si>
  <si>
    <t>Ерөнхий данс</t>
  </si>
  <si>
    <t xml:space="preserve">Давхар даатгалын хураамжийн зардал </t>
  </si>
  <si>
    <t>4.1</t>
  </si>
  <si>
    <t>4.2</t>
  </si>
  <si>
    <t>4.3</t>
  </si>
  <si>
    <t>4.4</t>
  </si>
  <si>
    <t>5.1</t>
  </si>
  <si>
    <t>5.2</t>
  </si>
  <si>
    <t>Давхар даатгалын комиссын орлого</t>
  </si>
  <si>
    <t>5.3</t>
  </si>
  <si>
    <t>5.4</t>
  </si>
  <si>
    <t xml:space="preserve">Бусад </t>
  </si>
  <si>
    <t>Үндсэн бус үйл ажиллагааны ашиг (алдагдал)-ын дүн (= мөр (40 : 47))</t>
  </si>
  <si>
    <t>10.1</t>
  </si>
  <si>
    <t>11.1</t>
  </si>
  <si>
    <t>“Даатгагч болон даатгалын мэргэжлийн оролцогчоос 
тайлан, мэдээ, өргөдөл гаргах заавар”-ын 27 дугаар хавсралт</t>
  </si>
  <si>
    <t>ДАВХАР ДААТГАЛЫН КОМПАНИЙН ОРЛОГЫН ДЭЛГЭРЭНГҮЙ ТАЙЛАН /ДАНСНЫ ЖАГСААЛТААР/</t>
  </si>
  <si>
    <t>МАЯГТ СЗХ04131. ДАВХАР ДААТГАЛЫН КОМПАНИЙН ОРЛОГЫН ДЭЛГЭРЭНГҮЙ ТАЙЛАН</t>
  </si>
  <si>
    <t>.... оны .... сарын ...-ны өдөр</t>
  </si>
  <si>
    <t>Даатгалын нөөц сан</t>
  </si>
  <si>
    <t xml:space="preserve">Нэмэгдсэн </t>
  </si>
  <si>
    <t xml:space="preserve">Эцсийн үлдэгдэл </t>
  </si>
  <si>
    <t xml:space="preserve">ДҮН </t>
  </si>
  <si>
    <t>“Даатгагч болон даатгалын мэргэжлийн оролцогчоос 
тайлан, мэдээ, өргөдөл гаргах заавар”-ын 28 дугаар хавсралт</t>
  </si>
  <si>
    <t xml:space="preserve">             МАЯГТ СЗХ04132. ДАВХАР ДААТГАЛЫН КОМПАНИЙН ДААТГАЛЫН НӨӨЦ САНГИЙН ТАЙЛАН</t>
  </si>
  <si>
    <t>Даатгалын ангилал</t>
  </si>
  <si>
    <t>Даатгалын хэлбэр</t>
  </si>
  <si>
    <t>1.1.Гэнэтийн осол, эмчилгээний зардлын даатгал</t>
  </si>
  <si>
    <t>1.2.       Үүнээс: Ипотекийн даатгал</t>
  </si>
  <si>
    <t>1.3.Хөрөнгийн даатгал</t>
  </si>
  <si>
    <t xml:space="preserve"> 1.4.      Үүнээс: Ипотекийн даатгал</t>
  </si>
  <si>
    <t>1.5.Автотээврийн хэрэгслийн даатгал</t>
  </si>
  <si>
    <t>1.6.Ачааны даатгал</t>
  </si>
  <si>
    <t>1.7.Барилга угсралтын даатгал</t>
  </si>
  <si>
    <t>1.8.Газар тариалангийн даатгал</t>
  </si>
  <si>
    <t>1.9.Мал амьтдын даатгал</t>
  </si>
  <si>
    <t>1.10.Агаарын хөлгийн даатгал</t>
  </si>
  <si>
    <t>1.11.Автотээврийн хэрэгслийн жолоочийн хариуцлагын даатгал</t>
  </si>
  <si>
    <t>1.12.Хариуцлагын даатгал</t>
  </si>
  <si>
    <t>1.13.Санхүүгийн даатгал</t>
  </si>
  <si>
    <t>1.14. Зээлийн даатгал</t>
  </si>
  <si>
    <t>1.15. Итгэлцлийн даатгал</t>
  </si>
  <si>
    <t>1.16. Төмөр замын болон усан замын тээврийн хэрэгслийн даатгал</t>
  </si>
  <si>
    <t>1.17. Төмөр замын эсхүл усан замын тээврийн хэрэгслийг өмчлөх, эзэмших ашиглахтай холбоотой хариуцлагын даатгал</t>
  </si>
  <si>
    <t>1.18 Агаарын хөлгийг өмчлөх, эзэмших, ашиглахтай холбоотой хариуцлагын даатгал</t>
  </si>
  <si>
    <t>2.1.Хугацаат амьдралын даатгал</t>
  </si>
  <si>
    <t>2.2.      Үүнээс: Ипотекийн даатгал</t>
  </si>
  <si>
    <t>2.3.Насан туршийн даатгал</t>
  </si>
  <si>
    <t>2.4.     Үүнээс: Ипотекийн даатгал</t>
  </si>
  <si>
    <t>2.5.Хуримтлалын даатгал</t>
  </si>
  <si>
    <t>2.6.Тэтгэврийн даатгал</t>
  </si>
  <si>
    <t>2.7.Эрүүл мэндийн даатгал</t>
  </si>
  <si>
    <t>2.8.Аннуити даатгал</t>
  </si>
  <si>
    <t>Дүн (=мөр(1+2+..+26)</t>
  </si>
  <si>
    <t>МАЯГТ СЗХ04128. ДААТГАГЧИЙН ДАВХАР ДААТГАЛЫН ҮЙЛ АЖИЛЛАГААНЫ ДЭЛГЭРЭНГҮЙ ТАЙЛАН</t>
  </si>
  <si>
    <t>Даатгагчийн нэр: .....................................</t>
  </si>
  <si>
    <t xml:space="preserve"> “Даатгагч болон даатгалын мэргэжлийн оролцогчоос тайлан, мэдээ, өргөдөл гаргах заавар”-ын 29 дүгээр хавсралт.</t>
  </si>
  <si>
    <t>“Даатгагчийн төлбөрийн чадварын шалгуур үзүүлэлт, 
түүнд хяналт тавих журам”-ын 1 дүгээр хавсралт</t>
  </si>
  <si>
    <t>МАЯГТ СЗХ04144. ЗӨВШӨӨРӨГДӨХГҮЙ ХӨРӨНГИЙН ДҮН</t>
  </si>
  <si>
    <t xml:space="preserve">Зөвшөөрөгдөхгүй хөрөнгийн дүн </t>
  </si>
  <si>
    <t>Хөрөнгө байршуулах дээд хувь</t>
  </si>
  <si>
    <t>Нэгжид ногдох хөрөнгийн  дээд хувь</t>
  </si>
  <si>
    <t xml:space="preserve">Нэгжид ногдох тухайн хөрөнгийн зөвшөөрөгдөхгүй дүн </t>
  </si>
  <si>
    <t>Зөвшөөрөгдөхгүй хөрөнгийн хувь</t>
  </si>
  <si>
    <t>НЭГЖИД НОГДОХ ЗӨВШӨӨРӨГДӨХГҮЙ ХӨРӨНГИЙН ДҮН</t>
  </si>
  <si>
    <t>1.              </t>
  </si>
  <si>
    <t>1.20</t>
  </si>
  <si>
    <t>2.                     </t>
  </si>
  <si>
    <t>3.                     </t>
  </si>
  <si>
    <t>4.                     </t>
  </si>
  <si>
    <t>5.1                  </t>
  </si>
  <si>
    <t>5.1.1</t>
  </si>
  <si>
    <t>5.1.2</t>
  </si>
  <si>
    <t>5.1.3</t>
  </si>
  <si>
    <t>5.1.4</t>
  </si>
  <si>
    <t>5.1.5</t>
  </si>
  <si>
    <t>5.1.6</t>
  </si>
  <si>
    <t>5.2.1</t>
  </si>
  <si>
    <t>5.2.2</t>
  </si>
  <si>
    <t>5.2.3</t>
  </si>
  <si>
    <t>5.2.4</t>
  </si>
  <si>
    <t>5.2.5</t>
  </si>
  <si>
    <t>5.2.6</t>
  </si>
  <si>
    <t>5.3.1</t>
  </si>
  <si>
    <t>5.3.2</t>
  </si>
  <si>
    <t>5.3.3</t>
  </si>
  <si>
    <t>5.3.4</t>
  </si>
  <si>
    <t>5.3.5</t>
  </si>
  <si>
    <t>5.3.6</t>
  </si>
  <si>
    <t>5.4.1</t>
  </si>
  <si>
    <t>5.4.2</t>
  </si>
  <si>
    <t>5.4.3</t>
  </si>
  <si>
    <t>5.4.4</t>
  </si>
  <si>
    <t>5.4.5</t>
  </si>
  <si>
    <t>5.4.6</t>
  </si>
  <si>
    <t>5.5.1</t>
  </si>
  <si>
    <t>5.5.2</t>
  </si>
  <si>
    <t>5.5.3</t>
  </si>
  <si>
    <t>5.5.4</t>
  </si>
  <si>
    <t>5.5.5</t>
  </si>
  <si>
    <t>5.5.6</t>
  </si>
  <si>
    <t>6.                     </t>
  </si>
  <si>
    <t>7.                     </t>
  </si>
  <si>
    <t>8.                     </t>
  </si>
  <si>
    <t>9.                     </t>
  </si>
  <si>
    <t>10.                  </t>
  </si>
  <si>
    <t>11.                  </t>
  </si>
  <si>
    <t>12.                  </t>
  </si>
  <si>
    <t>13.                  </t>
  </si>
  <si>
    <t>14.                  </t>
  </si>
  <si>
    <t>15.                  </t>
  </si>
  <si>
    <t>16.                  </t>
  </si>
  <si>
    <t>17.                  </t>
  </si>
  <si>
    <t>18.                  </t>
  </si>
  <si>
    <t>19.                  </t>
  </si>
  <si>
    <t>20.                  </t>
  </si>
  <si>
    <t>21.                  </t>
  </si>
  <si>
    <t>22.                  </t>
  </si>
  <si>
    <t>23. 1               </t>
  </si>
  <si>
    <t>23.1.1</t>
  </si>
  <si>
    <t>23.1.2</t>
  </si>
  <si>
    <t>23.1.3</t>
  </si>
  <si>
    <t>23.1.4</t>
  </si>
  <si>
    <t>23.1.5</t>
  </si>
  <si>
    <t>23.1.6</t>
  </si>
  <si>
    <t>23.2.1</t>
  </si>
  <si>
    <t>23.2.2</t>
  </si>
  <si>
    <t>23.2.3</t>
  </si>
  <si>
    <t>23.2.4</t>
  </si>
  <si>
    <t>23.2.5</t>
  </si>
  <si>
    <t>23.2.6</t>
  </si>
  <si>
    <t>23.3.1</t>
  </si>
  <si>
    <t>23.3.2</t>
  </si>
  <si>
    <t>23.3.3</t>
  </si>
  <si>
    <t>23.3.4</t>
  </si>
  <si>
    <t>23.3.5</t>
  </si>
  <si>
    <t>23.3.6</t>
  </si>
  <si>
    <t>23.4.1</t>
  </si>
  <si>
    <t>23.4.2</t>
  </si>
  <si>
    <t>23.4.3</t>
  </si>
  <si>
    <t>23.4.4</t>
  </si>
  <si>
    <t>23.4.5</t>
  </si>
  <si>
    <t>23.4.6</t>
  </si>
  <si>
    <t>23.5.1</t>
  </si>
  <si>
    <t>23.5.2</t>
  </si>
  <si>
    <t>23.5.3</t>
  </si>
  <si>
    <t>23.5.4</t>
  </si>
  <si>
    <t>23.5.5</t>
  </si>
  <si>
    <t>23.5.6</t>
  </si>
  <si>
    <t>24.                  </t>
  </si>
  <si>
    <t>25.                  </t>
  </si>
  <si>
    <t>26.                  </t>
  </si>
  <si>
    <t>27.                  </t>
  </si>
  <si>
    <t>28.                  </t>
  </si>
  <si>
    <t>“Даатгагчийн төлбөрийн чадварын шалгуур үзүүлэлт, 
түүнд хяналт тавих журам”-ын 2 дугаар хавсралт</t>
  </si>
  <si>
    <t>МАЯГТ СЗХ04145. ТӨЛБӨРИЙН ЧАДВАРЫН ШАЛГУУР ҮЗҮҮЛЭЛТ</t>
  </si>
  <si>
    <t>Тооцох хувь</t>
  </si>
  <si>
    <t>Эрсдэлээс хамгаалах саэ</t>
  </si>
  <si>
    <t>МАЯГТ СЗХ04151. Алдагдлаас хамгаалах сангийн хөрөнгийн байршлын тайлан</t>
  </si>
  <si>
    <t>“Даатгалын нөөц сан, албан журмын даатгалын сан  болон бусад санг бүрдүүлэх, хуваарилах, түүнд хяналт тавих журам”-ын 5 дугаар хавсралт</t>
  </si>
  <si>
    <t>Зүйл</t>
  </si>
  <si>
    <t>Хөрөнгийн хэмжээ</t>
  </si>
  <si>
    <t>Хувь</t>
  </si>
  <si>
    <t>Заавал байршуулах нөөц (Алдагдлаас хамгаалах сангийн 1/3)</t>
  </si>
  <si>
    <t>Хөрөнгө оруулалт хийж болох мөнгөн хөрөнгө (Алдагдлаас хамгаалах сангийн 2/3)</t>
  </si>
  <si>
    <t>2.1.9</t>
  </si>
  <si>
    <t>2.1.10</t>
  </si>
  <si>
    <t>2.1.11</t>
  </si>
  <si>
    <t>2.1.12</t>
  </si>
  <si>
    <t>2.1.13</t>
  </si>
  <si>
    <t>2.1.14</t>
  </si>
  <si>
    <t>2.2.10</t>
  </si>
  <si>
    <t>2.2.11</t>
  </si>
  <si>
    <t>2.2.12</t>
  </si>
  <si>
    <t>2.2.13</t>
  </si>
  <si>
    <t>2.2.14</t>
  </si>
  <si>
    <t>2.8.1</t>
  </si>
  <si>
    <t>2.8.2</t>
  </si>
  <si>
    <t>2.8.3</t>
  </si>
  <si>
    <t>2.8.4</t>
  </si>
  <si>
    <t>2.8.5</t>
  </si>
  <si>
    <t>НИЙТ ДҮН</t>
  </si>
  <si>
    <t xml:space="preserve">Банкны хадгаламж </t>
  </si>
  <si>
    <t>Банкны харилцах дансанд</t>
  </si>
  <si>
    <t>“…… ” ХК, ХХК</t>
  </si>
  <si>
    <t>Санхүүгийн болон үйл ажиллагааны лизинг: 5 хүртэл хувь</t>
  </si>
  <si>
    <t>Үл хөдлөх хөрөнгө (Үндсэн үйл ажиллагаа явуулдаг ажлын байрнаас бусад)</t>
  </si>
  <si>
    <t xml:space="preserve">Үл хөдлөх хөрөнгө барьцаалсан арилжааны богино хугацаат (нэг жил хүртэл) зээл </t>
  </si>
  <si>
    <t xml:space="preserve">Компанийн бонд: </t>
  </si>
  <si>
    <t xml:space="preserve">Банкны хадгаламжийн сертификат: </t>
  </si>
  <si>
    <t xml:space="preserve">Үл хөдлөх хөрөнгөөр барьцаалсан үнэт цаас </t>
  </si>
  <si>
    <t xml:space="preserve">Орон нутгийн засаг захиргааны бонд: </t>
  </si>
  <si>
    <t xml:space="preserve">Төв банкны үнэт цаас: </t>
  </si>
  <si>
    <t xml:space="preserve">Засгийн газрын өрийн бичиг: </t>
  </si>
  <si>
    <t>“Даатгалын нөөц санд болон албан журмын даатгалын санд төвлөрүүлэх хөрөнгийн хэмжээ, түүнийг хөрөнгө оруулалтад байршуулахад тавигдах нөхцөл, шаардлага”-ын 1 дүгээр хавсралт</t>
  </si>
  <si>
    <t xml:space="preserve">МАЯГТСЗХ04152. ДААТГАЛЫН НӨӨЦ САНГ ХӨРӨНГӨ ОРУУЛАЛТАД БАЙРШУУЛСАН ТАЙЛАН </t>
  </si>
  <si>
    <t>Мөр дугаар</t>
  </si>
  <si>
    <t>Банкны харилцах (=мөр(3+4+5)</t>
  </si>
  <si>
    <t>2.4</t>
  </si>
  <si>
    <t>2.5</t>
  </si>
  <si>
    <t>2.6</t>
  </si>
  <si>
    <t>2.7</t>
  </si>
  <si>
    <t>2.8</t>
  </si>
  <si>
    <t>2.9</t>
  </si>
  <si>
    <t>2.10</t>
  </si>
  <si>
    <t>2.11</t>
  </si>
  <si>
    <t>2.12</t>
  </si>
  <si>
    <t>Банкны хугацаагүй хадгаламж (=мөр(7+8))</t>
  </si>
  <si>
    <t>3.1</t>
  </si>
  <si>
    <t>3.2</t>
  </si>
  <si>
    <t>3.3</t>
  </si>
  <si>
    <t>3.4</t>
  </si>
  <si>
    <t>3.5</t>
  </si>
  <si>
    <t>3.6</t>
  </si>
  <si>
    <t>3.7</t>
  </si>
  <si>
    <t>3.8</t>
  </si>
  <si>
    <t>3.9</t>
  </si>
  <si>
    <t>3.10</t>
  </si>
  <si>
    <t>3.11</t>
  </si>
  <si>
    <t>3.12</t>
  </si>
  <si>
    <t>Банкны хугацаатай хадгаламж (=мөр(10+11))</t>
  </si>
  <si>
    <t>4.5</t>
  </si>
  <si>
    <t>4.6</t>
  </si>
  <si>
    <t>4.7</t>
  </si>
  <si>
    <t>4.8</t>
  </si>
  <si>
    <t>4.9</t>
  </si>
  <si>
    <t>4.10</t>
  </si>
  <si>
    <t>4.11</t>
  </si>
  <si>
    <t>4.12</t>
  </si>
  <si>
    <t>Банкны хадгаламжийн сертификат (мөр12=мөр(13+14+15)</t>
  </si>
  <si>
    <t>5.5</t>
  </si>
  <si>
    <t>5.6</t>
  </si>
  <si>
    <t>5.7</t>
  </si>
  <si>
    <t>5.8</t>
  </si>
  <si>
    <t>5.9</t>
  </si>
  <si>
    <t>5.10</t>
  </si>
  <si>
    <t>5.11</t>
  </si>
  <si>
    <t>5.12</t>
  </si>
  <si>
    <t>Үнэт цаас (мөр16=мөр(17+18+...25))</t>
  </si>
  <si>
    <t>6.1</t>
  </si>
  <si>
    <t>6.2</t>
  </si>
  <si>
    <t>6.3</t>
  </si>
  <si>
    <t>6.4</t>
  </si>
  <si>
    <t>6.5</t>
  </si>
  <si>
    <t>6.6</t>
  </si>
  <si>
    <t>6.7</t>
  </si>
  <si>
    <t>6.8</t>
  </si>
  <si>
    <t>6.9</t>
  </si>
  <si>
    <t>Бусад санхүүгийн байгууллагад байршуулсан хөрөнгө (=мөр(30+31+32))</t>
  </si>
  <si>
    <t>8.1</t>
  </si>
  <si>
    <t>.......санхүүгийн байгууллага</t>
  </si>
  <si>
    <t>Хуримтлал барьцаалсан зээл /Зөвхөн урт хугацааны даатгагч/</t>
  </si>
  <si>
    <t>32</t>
  </si>
  <si>
    <t>33</t>
  </si>
  <si>
    <t>34</t>
  </si>
  <si>
    <t>35</t>
  </si>
  <si>
    <t>36</t>
  </si>
  <si>
    <t>37</t>
  </si>
  <si>
    <t>38</t>
  </si>
  <si>
    <t>39</t>
  </si>
  <si>
    <t>40</t>
  </si>
  <si>
    <t>41</t>
  </si>
  <si>
    <t>42</t>
  </si>
  <si>
    <t>43</t>
  </si>
  <si>
    <t>44</t>
  </si>
  <si>
    <t>45</t>
  </si>
  <si>
    <t>46</t>
  </si>
  <si>
    <t>47</t>
  </si>
  <si>
    <t>48</t>
  </si>
  <si>
    <t>49</t>
  </si>
  <si>
    <t>50</t>
  </si>
  <si>
    <t>51</t>
  </si>
  <si>
    <t>Орлогод тооцоогүй хураамжийн нөөцийн өөрчлөлт</t>
  </si>
  <si>
    <t>Давхар даатгалын хойшлогдсон хураамжийн өөрчлөлт</t>
  </si>
  <si>
    <t>Даатгалын хураамжийн цэвэр орлого (=мөр(1-2-3))</t>
  </si>
  <si>
    <t>Орлогод тооцсон хураамж (=мөр(4-5+6))</t>
  </si>
  <si>
    <t>Даатгалын нөөц сангийн өөрчлөлтийн дүн (= мөр(11+12+13))</t>
  </si>
  <si>
    <t>Даатгалын хураамжийн бус орлогын дүн (= мөр (16+17+18))</t>
  </si>
  <si>
    <t>8.2</t>
  </si>
  <si>
    <t>8.3</t>
  </si>
  <si>
    <t>8.4</t>
  </si>
  <si>
    <t>8.5</t>
  </si>
  <si>
    <t>8.6</t>
  </si>
  <si>
    <t>8.7</t>
  </si>
  <si>
    <t>8.8</t>
  </si>
  <si>
    <t>8.9</t>
  </si>
  <si>
    <t>8.10</t>
  </si>
  <si>
    <t>8.11</t>
  </si>
  <si>
    <t>8.12</t>
  </si>
  <si>
    <t>8.13</t>
  </si>
  <si>
    <t>8.14</t>
  </si>
  <si>
    <t>8.15</t>
  </si>
  <si>
    <t>8.16</t>
  </si>
  <si>
    <t>10.2</t>
  </si>
  <si>
    <t>10.3</t>
  </si>
  <si>
    <t>10.4</t>
  </si>
  <si>
    <t>10.5</t>
  </si>
  <si>
    <t>10.6</t>
  </si>
  <si>
    <t>10.7</t>
  </si>
  <si>
    <t>10.8</t>
  </si>
  <si>
    <t>10.9</t>
  </si>
  <si>
    <t>12.1</t>
  </si>
  <si>
    <t>13.1</t>
  </si>
  <si>
    <t>14.1</t>
  </si>
  <si>
    <t xml:space="preserve">“Даатгагчийн давхар даатгалын төлөвлөгөөнд </t>
  </si>
  <si>
    <t>тавигдах шаардлага”-ын 1 дүгээр хавсралт</t>
  </si>
  <si>
    <t>Даатгагчийн нэр.............................................</t>
  </si>
  <si>
    <t>20...оны ... сарын ...-ны өдөр</t>
  </si>
  <si>
    <t>Огноо</t>
  </si>
  <si>
    <t>Даатгалын гэрээний дугаар</t>
  </si>
  <si>
    <t>Даатгалын бүтээгдэхүүн</t>
  </si>
  <si>
    <t>Даатгалын хураамж</t>
  </si>
  <si>
    <t>Даатгалын зуучлагчаар дамжсан эсэх*</t>
  </si>
  <si>
    <t xml:space="preserve"> Давхар даатгагч </t>
  </si>
  <si>
    <t xml:space="preserve">Давхар даатгалын нөхцөл** </t>
  </si>
  <si>
    <t>Эрсдэлийн хувь***</t>
  </si>
  <si>
    <t>Хариуцлагын хязгаар****</t>
  </si>
  <si>
    <t>Шимтгэл /Commision/</t>
  </si>
  <si>
    <t>Давхар даатгалд ногдох нөөц сангийн хэмжээ</t>
  </si>
  <si>
    <t>Нийт нөхөн төлбөр</t>
  </si>
  <si>
    <t>Үүнээс: Давхар даатгагчаас төлсөн нөхөн төлбөр</t>
  </si>
  <si>
    <t xml:space="preserve">Шууд </t>
  </si>
  <si>
    <t xml:space="preserve">Дотоодын зуучлагч </t>
  </si>
  <si>
    <t xml:space="preserve">Гадаадын зуучлагч </t>
  </si>
  <si>
    <t>Хувь тэнцүүлсэн /proportional/</t>
  </si>
  <si>
    <t>Хувь тэнцүүлээгүй</t>
  </si>
  <si>
    <t>/non-proportional/</t>
  </si>
  <si>
    <t>Даатгагч хариуцах хувь</t>
  </si>
  <si>
    <t>Давхар даатгагч хариуцах хувь</t>
  </si>
  <si>
    <t xml:space="preserve"> Даатгагч хариуцах дээд хэмжээ </t>
  </si>
  <si>
    <t>Давхар даатгагч хариуцах дээд хэмжээ</t>
  </si>
  <si>
    <t>quota share</t>
  </si>
  <si>
    <t>surplus share</t>
  </si>
  <si>
    <t>Stop loss</t>
  </si>
  <si>
    <t xml:space="preserve">Excess of loss </t>
  </si>
  <si>
    <t>Нийт</t>
  </si>
  <si>
    <t>Маягт нөхөх заавар:</t>
  </si>
  <si>
    <t>***Эрсдэлийн хувь хэмжээ- Давхар даатгагчтай quota share, surplus share  нөхцөлөөр гэрээг хийсэн тохиолдолд даатгагч болон давхар даатгагчид хариуцах хувь хэмжээг бөглөх. Хэрэв хэд хэдэн давхар даатгагч оролцох тохиолдолд хариуцах хэмжээг тус бүрээр мөр нэмэх.</t>
  </si>
  <si>
    <t>****Хариуцлагын хязгаар- Давхар даатгагчтай stop loss, excess of loss  нөхцөлөөр давхар даатгалын гэрээг хийсэн нөхцөлд даатгагч, давхар даатгагчийн хариуцлагын дээд хязгаарын хэмжээг бичих</t>
  </si>
  <si>
    <t>ТАЙЛАН ГАРГАСАН:</t>
  </si>
  <si>
    <t>МАЯГТ СЗХ04153.ФАКУЛЬТАТИВ ДАВХАР ДААТГАЛЫН ГЭРЭЭНИЙ МЭДЭЭЛЭЛ</t>
  </si>
  <si>
    <t>тавигдах шаардлага”-ын 2 дугаар хавсралт</t>
  </si>
  <si>
    <t>Нийт хураамж</t>
  </si>
  <si>
    <t>Давхар даатгалын хураамжийн төлөх нөхцөл</t>
  </si>
  <si>
    <t>Даатгалын хураамжийн дүн</t>
  </si>
  <si>
    <t xml:space="preserve">Давхар даатгагч компанийн нэр </t>
  </si>
  <si>
    <t>Даатгалын шимтгэлийн нөхцөл**</t>
  </si>
  <si>
    <t>Даатгалын нөхцөл***</t>
  </si>
  <si>
    <t>Эрсдэл хариуцах хувь****</t>
  </si>
  <si>
    <t>Хариуцлагын хэмжээ*****</t>
  </si>
  <si>
    <t>Нөхөн төлбөрийн дүн</t>
  </si>
  <si>
    <t xml:space="preserve">/Sliding scale/ </t>
  </si>
  <si>
    <t xml:space="preserve">/Loss corridors/ </t>
  </si>
  <si>
    <t xml:space="preserve">/Profit commission/ </t>
  </si>
  <si>
    <t>/pro-rata/</t>
  </si>
  <si>
    <t xml:space="preserve">Даатгагч </t>
  </si>
  <si>
    <t xml:space="preserve">Давхар даатгагч </t>
  </si>
  <si>
    <t xml:space="preserve"> Давхар даатгагчаас төлсөн нөхөн төлбөр</t>
  </si>
  <si>
    <t xml:space="preserve">Нэг удаа төлөх </t>
  </si>
  <si>
    <t>Тухай бүр төлөх</t>
  </si>
  <si>
    <t>catastropic loss</t>
  </si>
  <si>
    <t>** Даатгалын шимтгэлийн нөхцөл- Хэрэв даатгагч шууд давхар даатгалын компанитай гэрээ байгуулсан тохиолдолд тохирох баганад нийт шимтгэлийн хэмжээг бичих</t>
  </si>
  <si>
    <t>МАЯГТ СЗХ04154.ГЭРЭЭТ ДАВХАР ДААТГАЛЫН ГЭРЭЭНИЙ МЭДЭЭЛЭЛ</t>
  </si>
  <si>
    <t xml:space="preserve">*** Давхар даатгалын нөхцөл- давхар даатгалын гэрээний нөхцөлийг сонгох </t>
  </si>
  <si>
    <t>**** Эрсдэлийн хариуцах хувь- Давхар даатгалыг "quota share", "surplus share"  нөхцөлөөр хийсэн тохиолдолд  "эрсдэлийн хариуцах хувь" ( багана 20,21) -г харгалзан бөглөнө.</t>
  </si>
  <si>
    <t>***** Хариуцлагын хэмжээ- Давхар даатгалыг "stop loss", "excess of loss"  нөхцөлөөр хийсэн тохиолдолд " хариуцлагын хэмжээ"(багана22,23)-г харгалзан бөглөнө</t>
  </si>
  <si>
    <t>****** Нийт дүн- тайлант хугацаа тус бүрийн нийт дүнг гаргана.</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</si>
  <si>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9 ("шууд")-г сонгох </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</si>
  <si>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8 ("шууд")-г сонгох </t>
  </si>
  <si>
    <t xml:space="preserve">** Давхар даатгалын нөхцөл- давхар даатгалын гэрээний нөхцөлийг сонгох </t>
  </si>
  <si>
    <t>Cанхүүгийн байгууллага 4</t>
  </si>
  <si>
    <t>Cанхүүгийн байгууллага 5</t>
  </si>
  <si>
    <t>Cанхүүгийн байгууллага 6</t>
  </si>
  <si>
    <t>Cанхүүгийн байгууллага 7</t>
  </si>
  <si>
    <t>Cанхүүгийн байгууллага 8</t>
  </si>
  <si>
    <t>Cанхүүгийн байгууллага 9</t>
  </si>
  <si>
    <t>Cанхүүгийн байгууллага 10</t>
  </si>
  <si>
    <t>Улаанбаатар хотын банк</t>
  </si>
  <si>
    <t>Даатгалын орлогын дүн (=мөр (7-8))</t>
  </si>
  <si>
    <t>Орлогын дүн (= мөр (9-14+19))</t>
  </si>
  <si>
    <t xml:space="preserve">Үйл ажиллагааны зардлын дүн (= мөр (22+…+ 36))            </t>
  </si>
  <si>
    <t xml:space="preserve">Татвар төлөхийн өмнөх ашиг (алдагдал)  (= мөр (38 - 48))                     </t>
  </si>
  <si>
    <t>Татварын дараах ашиг (алдагдал) (= мөр (49 -50))</t>
  </si>
  <si>
    <t>Ердийн ажиллагааны ашиг (алдагдал)   (= мөр (51 - 52))</t>
  </si>
  <si>
    <t xml:space="preserve">Тайлант үеийн цэвэр ашиг (алдагдал)  (= мөр (53 - 54))                            </t>
  </si>
  <si>
    <t>Даатгалын авлагын дүн  (=мөр(9+10))</t>
  </si>
  <si>
    <t>Бусад санхүүгийн бус хөрөнгийн дүн  (=мөр(16+...+21))</t>
  </si>
  <si>
    <t>Хөрөнгө оруулалтын дүн  (=мөр(24+...+27))</t>
  </si>
  <si>
    <t>Даатгалын хөрөнгийн дүн  (=мөр(30+31+32))</t>
  </si>
  <si>
    <t>НИЙТ ХӨРӨНГИЙН ДҮН (=мөр(7+11+14+22+28+33+34+35+36)</t>
  </si>
  <si>
    <t>Даатгалын өглөгийн дүн  (=мөр(41+42+43))</t>
  </si>
  <si>
    <t>Бусад санхүүгийн өр төлбөрийн дүн  (=мөр(46+...+51))</t>
  </si>
  <si>
    <t>Бусад санхүүгийн бус өр төлбөрийн дүн  (=мөр(54+...+64))</t>
  </si>
  <si>
    <t>Нөөц сангийн дүн  (=мөр(70+...+73))</t>
  </si>
  <si>
    <t>ЭЗДИЙН ӨМЧИЙН ДҮН (=мөр(77+…+84)</t>
  </si>
  <si>
    <t xml:space="preserve">Үндсэн үйл ажиллагааны ашиг (алдагдал)     (= мөр (17- 37))                 </t>
  </si>
  <si>
    <t>“Даатгалын нөөц сан, албан журмын даатгалын сан 
болон бусад санг бүрдүүлэх, хуваарилах, түүнд 
хяналт тавих журам”-ын 2 дугаар хавсралт</t>
  </si>
  <si>
    <t>МАЯГТ СЗХ04148. ОРЛОГОД ТООЦООГҮЙ ХУРААМЖИЙН НӨӨЦИЙН ХӨРӨНГИЙН БАЙРШЛЫН ТАЙЛАН</t>
  </si>
  <si>
    <t>Банкны харилцах (=мөр(3+4+...+15)</t>
  </si>
  <si>
    <t>2.13</t>
  </si>
  <si>
    <t>Банкны хугацаагүй хадгаламж (=мөр(7+8+...+29))</t>
  </si>
  <si>
    <t>3.13</t>
  </si>
  <si>
    <t>Банкны хугацаатай хадгаламж (=мөр(10+11+...+43))</t>
  </si>
  <si>
    <t>4.13</t>
  </si>
  <si>
    <t>Банкны хадгаламжийн сертификат (мөр12=мөр(13+14+...+57)</t>
  </si>
  <si>
    <t>5.13</t>
  </si>
  <si>
    <t xml:space="preserve"> Даатгалын хураамжийн авлага</t>
  </si>
  <si>
    <t>“Ай Ай Би” ХХК</t>
  </si>
  <si>
    <t>“Асимон брокерс” ХХК</t>
  </si>
  <si>
    <t>“Ачит ундарга” ХХК</t>
  </si>
  <si>
    <t>“Ковер хилл” ХХК</t>
  </si>
  <si>
    <t>“Конкорал” ХХК</t>
  </si>
  <si>
    <t>“Монголиан интернэшнл брокерс” ХХК</t>
  </si>
  <si>
    <t>“Си эн эн икс” ХХК</t>
  </si>
  <si>
    <t>“Хост рок” ХХК</t>
  </si>
  <si>
    <t>“Амбрелла брокер” ХХК</t>
  </si>
  <si>
    <t>“АМЕ” ХХК</t>
  </si>
  <si>
    <t>“Арм интернэшнл” ХХК</t>
  </si>
  <si>
    <t>“Би эйч өү кредит” ХХК</t>
  </si>
  <si>
    <t>“Ваяснью Солюшн” ХХК</t>
  </si>
  <si>
    <t>“Дэвжих дэлгэрэх холдинг” ХХК</t>
  </si>
  <si>
    <t>"Дэвжих зууч" ХХК</t>
  </si>
  <si>
    <t>“Ивээлт-Очир” ХХК</t>
  </si>
  <si>
    <t>“Лояалти солюшн” ХХК</t>
  </si>
  <si>
    <t>“Марш брокерс” ХХК</t>
  </si>
  <si>
    <t>“Мастер шийдэл” ХХК</t>
  </si>
  <si>
    <t>“Монгол бичээч зууч” ХХК</t>
  </si>
  <si>
    <t>“Монголиан иншуранс Брокерейж” ХХК</t>
  </si>
  <si>
    <t>"Нэйшнл иншуранс брокерэйж сервисэс" ХХК</t>
  </si>
  <si>
    <t>“Нэйшнл эженси” ХХК</t>
  </si>
  <si>
    <t>“Онолт язгуур” ХХК</t>
  </si>
  <si>
    <t>"Онч цэгц" ХХК</t>
  </si>
  <si>
    <t>“Паблик паст брокер” ХХК</t>
  </si>
  <si>
    <t>"Профешнл иншурэнс партнер" ХХК</t>
  </si>
  <si>
    <t>“Ренессанс групп” ХХК</t>
  </si>
  <si>
    <t>“Смарт брокерс” ХХК</t>
  </si>
  <si>
    <t>“Сүрэг хараацай” ХХК</t>
  </si>
  <si>
    <t>“Ти Ди Би Лизинг” ХХК</t>
  </si>
  <si>
    <t>“Тод капитал” ХХК</t>
  </si>
  <si>
    <t>“Тус брокерс” ХХК</t>
  </si>
  <si>
    <t>"Ухаалаг ирээдүй шийдэл" ХХК</t>
  </si>
  <si>
    <t>“Финс брокер” ХХК</t>
  </si>
  <si>
    <t>“Хэйва инсур” ХХК</t>
  </si>
  <si>
    <t>“Цагаан гэрэлт” ХХК</t>
  </si>
  <si>
    <t>“Цахим капитал” ХХК</t>
  </si>
  <si>
    <t>“Чанд финтех” ХХК</t>
  </si>
  <si>
    <t>“Эл Би брокерэж” ХХК</t>
  </si>
  <si>
    <t>“Эм жи ай би” ХХК</t>
  </si>
  <si>
    <t>“Эн Ай Си Брокер” ХХК</t>
  </si>
  <si>
    <t>“Эн И Би Консалтэнси” ХХК</t>
  </si>
  <si>
    <t>“Эрсдэлийн шийдэл” ХХК</t>
  </si>
  <si>
    <t>“Эс ай би эс” ХХК</t>
  </si>
  <si>
    <t>52</t>
  </si>
  <si>
    <t>Тээвэр хөгжлийн банк</t>
  </si>
  <si>
    <t>53</t>
  </si>
  <si>
    <t>54</t>
  </si>
  <si>
    <t>55</t>
  </si>
  <si>
    <t>ХасБанк</t>
  </si>
  <si>
    <t>56</t>
  </si>
  <si>
    <t>57</t>
  </si>
  <si>
    <t>58</t>
  </si>
  <si>
    <t>59</t>
  </si>
  <si>
    <t>60</t>
  </si>
  <si>
    <t>61</t>
  </si>
  <si>
    <t>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</si>
</sst>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_(* #,##0_);_(* \(#,##0\);_(* &quot;-&quot;??_);_(@_)"/>
    <numFmt numFmtId="166" formatCode="0.0%"/>
    <numFmt numFmtId="167" formatCode="0.0"/>
  </numFmts>
  <fonts count="24" x14ac:knownFonts="1">
    <font>
      <sz val="10"/>
      <name val="Arial"/>
      <family val="2"/>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i/>
      <sz val="10"/>
      <color rgb="FF000000"/>
      <name val="Times New Roman"/>
      <family val="1"/>
    </font>
    <font>
      <sz val="11"/>
      <color theme="1"/>
      <name val="Calibri"/>
      <family val="2"/>
      <charset val="1"/>
      <scheme val="minor"/>
    </font>
    <font>
      <b/>
      <sz val="10"/>
      <name val="Times New Roman"/>
      <family val="1"/>
    </font>
    <font>
      <b/>
      <sz val="10"/>
      <color rgb="FF000000"/>
      <name val="Times New Roman"/>
      <family val="1"/>
    </font>
    <font>
      <sz val="10"/>
      <name val="Times New Roman"/>
      <family val="1"/>
    </font>
    <font>
      <sz val="10"/>
      <color theme="1"/>
      <name val="Times New Roman"/>
      <family val="1"/>
    </font>
    <font>
      <sz val="10"/>
      <color rgb="FFFF0000"/>
      <name val="Times New Roman"/>
      <family val="1"/>
    </font>
    <font>
      <b/>
      <sz val="10"/>
      <color theme="1"/>
      <name val="Times New Roman"/>
      <family val="1"/>
    </font>
    <font>
      <b/>
      <sz val="10"/>
      <color rgb="FFFF0000"/>
      <name val="Times New Roman"/>
      <family val="1"/>
    </font>
    <font>
      <sz val="10"/>
      <color theme="1"/>
      <name val="Calibri"/>
      <family val="2"/>
      <scheme val="minor"/>
    </font>
    <font>
      <i/>
      <sz val="10"/>
      <name val="Times New Roman"/>
      <family val="1"/>
    </font>
    <font>
      <i/>
      <sz val="10"/>
      <color theme="1"/>
      <name val="Times New Roman"/>
      <family val="1"/>
    </font>
    <font>
      <b/>
      <u/>
      <sz val="10"/>
      <color rgb="FF000000"/>
      <name val="Times New Roman"/>
      <family val="1"/>
    </font>
    <font>
      <u/>
      <sz val="10"/>
      <color rgb="FF000000"/>
      <name val="Times New Roman"/>
      <family val="1"/>
    </font>
    <font>
      <sz val="11"/>
      <name val="Calibri"/>
      <family val="2"/>
    </font>
    <font>
      <sz val="10"/>
      <name val="Calibri"/>
      <family val="2"/>
    </font>
    <font>
      <sz val="11"/>
      <color rgb="FF000000"/>
      <name val="Times New Roman"/>
      <family val="1"/>
    </font>
    <font>
      <sz val="14"/>
      <color rgb="FF000000"/>
      <name val="Times New Roman"/>
      <family val="1"/>
    </font>
    <font>
      <i/>
      <sz val="14"/>
      <color rgb="FF000000"/>
      <name val="Times New Roman"/>
      <family val="1"/>
    </font>
  </fonts>
  <fills count="9">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theme="5" tint="0.79998168889431442"/>
        <bgColor indexed="64"/>
      </patternFill>
    </fill>
    <fill>
      <patternFill patternType="solid">
        <fgColor theme="0"/>
        <bgColor rgb="FFFFFFFF"/>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bottom/>
      <diagonal/>
    </border>
    <border>
      <left/>
      <right/>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rgb="FF000000"/>
      </left>
      <right/>
      <top style="thin">
        <color rgb="FF000000"/>
      </top>
      <bottom/>
      <diagonal/>
    </border>
  </borders>
  <cellStyleXfs count="12">
    <xf numFmtId="0" fontId="0" fillId="0" borderId="0"/>
    <xf numFmtId="43" fontId="3" fillId="0" borderId="0" applyBorder="0" applyAlignment="0" applyProtection="0"/>
    <xf numFmtId="0" fontId="3" fillId="0" borderId="0" applyFont="0" applyBorder="0" applyAlignment="0" applyProtection="0"/>
    <xf numFmtId="0" fontId="6" fillId="0" borderId="0"/>
    <xf numFmtId="43" fontId="6"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91">
    <xf numFmtId="0" fontId="0" fillId="0" borderId="0" xfId="0"/>
    <xf numFmtId="0" fontId="5" fillId="0" borderId="0" xfId="0" applyFont="1" applyAlignment="1">
      <alignment horizontal="center"/>
    </xf>
    <xf numFmtId="0" fontId="5" fillId="0" borderId="0" xfId="0" applyFont="1" applyAlignment="1" applyProtection="1">
      <alignment horizontal="left" indent="5"/>
    </xf>
    <xf numFmtId="0" fontId="4" fillId="0" borderId="0" xfId="0" applyFont="1" applyAlignment="1" applyProtection="1">
      <alignment horizontal="center" vertical="center"/>
    </xf>
    <xf numFmtId="0" fontId="4" fillId="0" borderId="0" xfId="0" applyFont="1" applyProtection="1"/>
    <xf numFmtId="0" fontId="4" fillId="0" borderId="0" xfId="0" applyFont="1" applyAlignment="1" applyProtection="1">
      <alignment wrapText="1"/>
    </xf>
    <xf numFmtId="0" fontId="4" fillId="0" borderId="0" xfId="0" applyFont="1" applyAlignment="1" applyProtection="1">
      <alignment horizontal="left" wrapText="1"/>
    </xf>
    <xf numFmtId="0" fontId="4" fillId="0" borderId="0" xfId="0" applyFont="1" applyProtection="1">
      <protection locked="0"/>
    </xf>
    <xf numFmtId="0" fontId="4" fillId="0" borderId="0" xfId="0" applyFont="1" applyAlignment="1" applyProtection="1">
      <alignment horizontal="left" wrapText="1"/>
      <protection locked="0"/>
    </xf>
    <xf numFmtId="0" fontId="7" fillId="2" borderId="1" xfId="3" applyFont="1" applyFill="1" applyBorder="1" applyAlignment="1" applyProtection="1">
      <alignment horizontal="center" vertical="center" wrapText="1"/>
      <protection locked="0"/>
    </xf>
    <xf numFmtId="0" fontId="4" fillId="0" borderId="0" xfId="0" applyNumberFormat="1" applyFont="1" applyAlignment="1" applyProtection="1">
      <alignment horizontal="center"/>
    </xf>
    <xf numFmtId="0" fontId="4" fillId="0" borderId="0" xfId="0" applyNumberFormat="1" applyFont="1" applyProtection="1"/>
    <xf numFmtId="0" fontId="4" fillId="5" borderId="0" xfId="0" applyNumberFormat="1" applyFont="1" applyFill="1" applyBorder="1" applyAlignment="1" applyProtection="1">
      <alignment vertical="center" wrapText="1"/>
    </xf>
    <xf numFmtId="0" fontId="4" fillId="0" borderId="0" xfId="0" applyNumberFormat="1" applyFont="1" applyAlignment="1" applyProtection="1"/>
    <xf numFmtId="0" fontId="8" fillId="5" borderId="0" xfId="0" applyNumberFormat="1" applyFont="1" applyFill="1" applyBorder="1" applyAlignment="1" applyProtection="1">
      <alignment horizontal="center" vertical="center" wrapText="1"/>
    </xf>
    <xf numFmtId="0" fontId="5" fillId="0" borderId="2" xfId="0" applyNumberFormat="1" applyFont="1" applyBorder="1" applyAlignment="1" applyProtection="1"/>
    <xf numFmtId="0" fontId="9" fillId="2" borderId="1" xfId="0" applyNumberFormat="1" applyFont="1" applyFill="1" applyBorder="1" applyAlignment="1" applyProtection="1">
      <alignment horizontal="center" wrapText="1"/>
    </xf>
    <xf numFmtId="0" fontId="4" fillId="0" borderId="1" xfId="0" applyNumberFormat="1" applyFont="1" applyBorder="1" applyAlignment="1" applyProtection="1">
      <alignment horizontal="center"/>
    </xf>
    <xf numFmtId="0" fontId="4" fillId="0" borderId="1" xfId="0" applyNumberFormat="1" applyFont="1" applyBorder="1" applyProtection="1"/>
    <xf numFmtId="0" fontId="4" fillId="2" borderId="1" xfId="0" applyNumberFormat="1" applyFont="1" applyFill="1" applyBorder="1" applyAlignment="1" applyProtection="1">
      <alignment horizontal="center"/>
    </xf>
    <xf numFmtId="0" fontId="8" fillId="2" borderId="1" xfId="0" applyNumberFormat="1" applyFont="1" applyFill="1" applyBorder="1" applyAlignment="1" applyProtection="1">
      <alignment horizontal="center"/>
    </xf>
    <xf numFmtId="0" fontId="4" fillId="0" borderId="0" xfId="0" applyFont="1" applyAlignment="1" applyProtection="1">
      <alignment vertical="center" wrapText="1"/>
    </xf>
    <xf numFmtId="0" fontId="8" fillId="2" borderId="3"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3" xfId="0" applyFont="1" applyFill="1" applyBorder="1" applyAlignment="1" applyProtection="1">
      <alignment horizontal="center"/>
    </xf>
    <xf numFmtId="0" fontId="8" fillId="2" borderId="4" xfId="0" applyFont="1" applyFill="1" applyBorder="1" applyAlignment="1" applyProtection="1">
      <alignment horizontal="center" vertical="center"/>
    </xf>
    <xf numFmtId="43" fontId="4" fillId="2" borderId="3" xfId="1" applyNumberFormat="1" applyFont="1" applyFill="1" applyBorder="1" applyProtection="1"/>
    <xf numFmtId="0" fontId="4" fillId="0" borderId="3" xfId="0" applyFont="1" applyBorder="1" applyProtection="1">
      <protection locked="0"/>
    </xf>
    <xf numFmtId="43" fontId="4" fillId="0" borderId="3" xfId="1" applyNumberFormat="1" applyFont="1" applyBorder="1" applyProtection="1">
      <protection locked="0"/>
    </xf>
    <xf numFmtId="0" fontId="4" fillId="0" borderId="5" xfId="0" applyFont="1" applyBorder="1" applyProtection="1">
      <protection locked="0"/>
    </xf>
    <xf numFmtId="43" fontId="4" fillId="0" borderId="5" xfId="1" applyNumberFormat="1" applyFont="1" applyBorder="1" applyProtection="1">
      <protection locked="0"/>
    </xf>
    <xf numFmtId="0" fontId="4" fillId="0" borderId="1" xfId="0" applyFont="1" applyBorder="1" applyAlignment="1" applyProtection="1">
      <alignment horizontal="center"/>
      <protection locked="0"/>
    </xf>
    <xf numFmtId="0" fontId="4" fillId="0" borderId="1" xfId="0" applyFont="1" applyBorder="1" applyProtection="1">
      <protection locked="0"/>
    </xf>
    <xf numFmtId="43" fontId="4" fillId="0" borderId="1" xfId="1" applyNumberFormat="1" applyFont="1" applyBorder="1" applyProtection="1">
      <protection locked="0"/>
    </xf>
    <xf numFmtId="43" fontId="4" fillId="0" borderId="1" xfId="0" applyNumberFormat="1" applyFont="1" applyBorder="1" applyProtection="1">
      <protection locked="0"/>
    </xf>
    <xf numFmtId="0" fontId="9" fillId="0" borderId="1" xfId="3" applyFont="1" applyFill="1" applyBorder="1" applyProtection="1">
      <protection locked="0"/>
    </xf>
    <xf numFmtId="43" fontId="9" fillId="0" borderId="1" xfId="3" applyNumberFormat="1" applyFont="1" applyFill="1" applyBorder="1" applyProtection="1">
      <protection locked="0"/>
    </xf>
    <xf numFmtId="43" fontId="4" fillId="0" borderId="1" xfId="0" applyNumberFormat="1" applyFont="1" applyBorder="1" applyAlignment="1" applyProtection="1">
      <protection locked="0"/>
    </xf>
    <xf numFmtId="43" fontId="4" fillId="0" borderId="1" xfId="0" applyNumberFormat="1" applyFont="1" applyBorder="1" applyAlignment="1" applyProtection="1">
      <alignment horizontal="center"/>
      <protection locked="0"/>
    </xf>
    <xf numFmtId="49" fontId="4" fillId="0" borderId="0" xfId="0" applyNumberFormat="1" applyFont="1" applyAlignment="1" applyProtection="1">
      <alignment horizontal="left"/>
    </xf>
    <xf numFmtId="0" fontId="4" fillId="2" borderId="4" xfId="0" applyFont="1" applyFill="1" applyBorder="1" applyAlignment="1" applyProtection="1">
      <alignment vertical="center" wrapText="1"/>
    </xf>
    <xf numFmtId="0" fontId="4" fillId="2" borderId="1" xfId="0" applyFont="1" applyFill="1" applyBorder="1" applyAlignment="1" applyProtection="1">
      <alignment wrapText="1"/>
    </xf>
    <xf numFmtId="0" fontId="4" fillId="2" borderId="7" xfId="0" applyFont="1" applyFill="1" applyBorder="1" applyAlignment="1" applyProtection="1">
      <alignment vertical="center" wrapText="1"/>
    </xf>
    <xf numFmtId="0" fontId="4" fillId="2" borderId="3" xfId="0" applyFont="1" applyFill="1" applyBorder="1" applyAlignment="1" applyProtection="1">
      <alignment vertical="center" wrapText="1"/>
    </xf>
    <xf numFmtId="49" fontId="9" fillId="2" borderId="10" xfId="0" applyNumberFormat="1" applyFont="1" applyFill="1" applyBorder="1" applyAlignment="1" applyProtection="1">
      <alignment horizontal="center"/>
    </xf>
    <xf numFmtId="0" fontId="9" fillId="2" borderId="10" xfId="0" applyFont="1" applyFill="1" applyBorder="1" applyAlignment="1" applyProtection="1">
      <alignment horizontal="center"/>
    </xf>
    <xf numFmtId="0" fontId="9" fillId="2" borderId="8" xfId="0" applyFont="1" applyFill="1" applyBorder="1" applyAlignment="1" applyProtection="1">
      <alignment horizontal="center"/>
    </xf>
    <xf numFmtId="0" fontId="4" fillId="2" borderId="4" xfId="0" applyFont="1" applyFill="1" applyBorder="1" applyAlignment="1" applyProtection="1">
      <alignment horizontal="center" vertical="center" wrapText="1"/>
    </xf>
    <xf numFmtId="0" fontId="4" fillId="2" borderId="0" xfId="0" applyFont="1" applyFill="1" applyBorder="1" applyAlignment="1" applyProtection="1">
      <alignment horizontal="center" wrapText="1"/>
    </xf>
    <xf numFmtId="0" fontId="4" fillId="2" borderId="7" xfId="0" applyFont="1" applyFill="1" applyBorder="1" applyAlignment="1" applyProtection="1">
      <alignment horizontal="center" vertical="center" wrapText="1"/>
    </xf>
    <xf numFmtId="49" fontId="8" fillId="2" borderId="3" xfId="0" applyNumberFormat="1" applyFont="1" applyFill="1" applyBorder="1" applyAlignment="1" applyProtection="1">
      <alignment horizontal="center" vertical="center"/>
    </xf>
    <xf numFmtId="0" fontId="8" fillId="2" borderId="3" xfId="0" applyFont="1" applyFill="1" applyBorder="1" applyAlignment="1" applyProtection="1">
      <alignment wrapText="1"/>
    </xf>
    <xf numFmtId="43" fontId="10" fillId="0" borderId="1" xfId="1" applyNumberFormat="1" applyFont="1" applyBorder="1" applyProtection="1">
      <protection locked="0"/>
    </xf>
    <xf numFmtId="0" fontId="4" fillId="2" borderId="1" xfId="0" applyFont="1" applyFill="1" applyBorder="1" applyAlignment="1" applyProtection="1">
      <alignment vertical="center" wrapText="1"/>
    </xf>
    <xf numFmtId="0" fontId="9" fillId="2" borderId="11" xfId="0" applyFont="1" applyFill="1" applyBorder="1" applyAlignment="1" applyProtection="1">
      <alignment horizontal="center"/>
    </xf>
    <xf numFmtId="0" fontId="9" fillId="2" borderId="1" xfId="0" applyFont="1" applyFill="1" applyBorder="1" applyAlignment="1" applyProtection="1">
      <alignment horizontal="center"/>
    </xf>
    <xf numFmtId="0" fontId="9" fillId="2" borderId="12" xfId="0" applyFont="1" applyFill="1" applyBorder="1" applyAlignment="1" applyProtection="1">
      <alignment horizontal="center"/>
    </xf>
    <xf numFmtId="0" fontId="8" fillId="2" borderId="4" xfId="0" applyFont="1" applyFill="1" applyBorder="1" applyAlignment="1" applyProtection="1">
      <alignment wrapText="1"/>
    </xf>
    <xf numFmtId="43" fontId="4" fillId="2" borderId="1" xfId="1" applyNumberFormat="1" applyFont="1" applyFill="1" applyBorder="1" applyProtection="1"/>
    <xf numFmtId="43" fontId="4" fillId="0" borderId="10" xfId="1" applyNumberFormat="1" applyFont="1" applyBorder="1" applyProtection="1">
      <protection locked="0"/>
    </xf>
    <xf numFmtId="0" fontId="9" fillId="0" borderId="0" xfId="0" applyFont="1"/>
    <xf numFmtId="0" fontId="4" fillId="8" borderId="0" xfId="5" applyFont="1" applyFill="1" applyBorder="1" applyAlignment="1" applyProtection="1">
      <alignment vertical="center" wrapText="1"/>
    </xf>
    <xf numFmtId="0" fontId="4" fillId="8" borderId="2" xfId="5" applyFont="1" applyFill="1" applyBorder="1" applyAlignment="1" applyProtection="1">
      <alignment vertical="center"/>
    </xf>
    <xf numFmtId="0" fontId="4" fillId="8" borderId="2" xfId="5" applyFont="1" applyFill="1" applyBorder="1" applyAlignment="1" applyProtection="1">
      <alignment vertical="center" wrapText="1"/>
    </xf>
    <xf numFmtId="4" fontId="10" fillId="0" borderId="1" xfId="5" applyNumberFormat="1" applyFont="1" applyBorder="1" applyProtection="1">
      <protection locked="0"/>
    </xf>
    <xf numFmtId="0" fontId="9" fillId="4" borderId="1" xfId="5" applyFont="1" applyFill="1" applyBorder="1" applyAlignment="1" applyProtection="1">
      <alignment vertical="center" wrapText="1"/>
      <protection locked="0"/>
    </xf>
    <xf numFmtId="43" fontId="10" fillId="4" borderId="1" xfId="6" applyFont="1" applyFill="1" applyBorder="1" applyAlignment="1" applyProtection="1">
      <alignment horizontal="left" vertical="top" wrapText="1"/>
      <protection locked="0"/>
    </xf>
    <xf numFmtId="43" fontId="9" fillId="4" borderId="1" xfId="6" applyFont="1" applyFill="1" applyBorder="1" applyAlignment="1" applyProtection="1">
      <alignment horizontal="left" vertical="top" wrapText="1"/>
      <protection locked="0"/>
    </xf>
    <xf numFmtId="0" fontId="4" fillId="4" borderId="0" xfId="5" applyFont="1" applyFill="1" applyAlignment="1" applyProtection="1"/>
    <xf numFmtId="0" fontId="5" fillId="4" borderId="0" xfId="5" applyFont="1" applyFill="1" applyProtection="1"/>
    <xf numFmtId="0" fontId="10" fillId="0" borderId="0" xfId="5" applyFont="1" applyProtection="1"/>
    <xf numFmtId="0" fontId="10" fillId="4" borderId="0" xfId="5" applyFont="1" applyFill="1" applyProtection="1"/>
    <xf numFmtId="0" fontId="10" fillId="0" borderId="0" xfId="9" applyFont="1" applyAlignment="1" applyProtection="1">
      <alignment wrapText="1"/>
    </xf>
    <xf numFmtId="2" fontId="7" fillId="0" borderId="0" xfId="9" applyNumberFormat="1" applyFont="1" applyAlignment="1" applyProtection="1">
      <alignment horizontal="center" wrapText="1"/>
    </xf>
    <xf numFmtId="43" fontId="7" fillId="0" borderId="0" xfId="10" applyFont="1" applyAlignment="1" applyProtection="1">
      <alignment horizontal="center" wrapText="1"/>
    </xf>
    <xf numFmtId="0" fontId="7" fillId="0" borderId="0" xfId="9" applyFont="1" applyAlignment="1" applyProtection="1">
      <alignment horizontal="center" wrapText="1"/>
    </xf>
    <xf numFmtId="0" fontId="4" fillId="0" borderId="0" xfId="9" applyFont="1" applyAlignment="1" applyProtection="1">
      <alignment vertical="center" wrapText="1"/>
    </xf>
    <xf numFmtId="2" fontId="4" fillId="5" borderId="0" xfId="9" applyNumberFormat="1" applyFont="1" applyFill="1" applyBorder="1" applyAlignment="1" applyProtection="1">
      <alignment horizontal="left" vertical="center" wrapText="1"/>
    </xf>
    <xf numFmtId="43" fontId="10" fillId="0" borderId="0" xfId="10" applyFont="1" applyAlignment="1" applyProtection="1">
      <alignment wrapText="1"/>
    </xf>
    <xf numFmtId="0" fontId="4" fillId="0" borderId="0" xfId="9" applyFont="1" applyAlignment="1" applyProtection="1">
      <alignment horizontal="right" vertical="center" wrapText="1"/>
    </xf>
    <xf numFmtId="49" fontId="8" fillId="2" borderId="3" xfId="9" applyNumberFormat="1" applyFont="1" applyFill="1" applyBorder="1" applyAlignment="1" applyProtection="1">
      <alignment horizontal="left" vertical="center" wrapText="1"/>
    </xf>
    <xf numFmtId="0" fontId="8" fillId="2" borderId="3" xfId="9" applyFont="1" applyFill="1" applyBorder="1" applyAlignment="1" applyProtection="1">
      <alignment vertical="center" wrapText="1"/>
    </xf>
    <xf numFmtId="0" fontId="8" fillId="2" borderId="3" xfId="9" applyFont="1" applyFill="1" applyBorder="1" applyAlignment="1" applyProtection="1">
      <alignment horizontal="center" vertical="center" wrapText="1"/>
    </xf>
    <xf numFmtId="0" fontId="4" fillId="2" borderId="3" xfId="9" applyFont="1" applyFill="1" applyBorder="1" applyAlignment="1" applyProtection="1">
      <alignment horizontal="center" vertical="center" wrapText="1"/>
    </xf>
    <xf numFmtId="0" fontId="10" fillId="0" borderId="0" xfId="9" applyFont="1" applyProtection="1"/>
    <xf numFmtId="49" fontId="4" fillId="2" borderId="3" xfId="9" applyNumberFormat="1" applyFont="1" applyFill="1" applyBorder="1" applyAlignment="1" applyProtection="1">
      <alignment horizontal="center" vertical="center" wrapText="1"/>
    </xf>
    <xf numFmtId="0" fontId="4" fillId="2" borderId="4" xfId="9" applyFont="1" applyFill="1" applyBorder="1" applyAlignment="1" applyProtection="1">
      <alignment horizontal="center" vertical="center" wrapText="1"/>
    </xf>
    <xf numFmtId="43" fontId="8" fillId="0" borderId="3" xfId="9" applyNumberFormat="1" applyFont="1" applyFill="1" applyBorder="1" applyProtection="1">
      <protection locked="0"/>
    </xf>
    <xf numFmtId="43" fontId="8" fillId="2" borderId="3" xfId="9" applyNumberFormat="1" applyFont="1" applyFill="1" applyBorder="1" applyProtection="1"/>
    <xf numFmtId="43" fontId="4" fillId="2" borderId="4" xfId="10" applyNumberFormat="1" applyFont="1" applyFill="1" applyBorder="1" applyProtection="1"/>
    <xf numFmtId="9" fontId="4" fillId="2" borderId="3" xfId="11" applyFont="1" applyFill="1" applyBorder="1" applyProtection="1"/>
    <xf numFmtId="0" fontId="11" fillId="0" borderId="0" xfId="9" applyFont="1" applyProtection="1"/>
    <xf numFmtId="0" fontId="7" fillId="2" borderId="3" xfId="9" applyFont="1" applyFill="1" applyBorder="1" applyAlignment="1" applyProtection="1">
      <alignment vertical="center" wrapText="1"/>
    </xf>
    <xf numFmtId="43" fontId="8" fillId="2" borderId="3" xfId="10" applyNumberFormat="1" applyFont="1" applyFill="1" applyBorder="1" applyProtection="1"/>
    <xf numFmtId="49" fontId="4" fillId="0" borderId="3" xfId="9" applyNumberFormat="1" applyFont="1" applyBorder="1" applyAlignment="1" applyProtection="1">
      <alignment horizontal="left" vertical="center" wrapText="1"/>
    </xf>
    <xf numFmtId="0" fontId="9" fillId="7" borderId="1" xfId="9" applyFont="1" applyFill="1" applyBorder="1" applyAlignment="1" applyProtection="1">
      <alignment vertical="center" wrapText="1"/>
    </xf>
    <xf numFmtId="0" fontId="4" fillId="0" borderId="3" xfId="9" applyFont="1" applyBorder="1" applyAlignment="1" applyProtection="1">
      <alignment horizontal="center" vertical="center" wrapText="1"/>
    </xf>
    <xf numFmtId="43" fontId="4" fillId="0" borderId="3" xfId="10" applyNumberFormat="1" applyFont="1" applyFill="1" applyBorder="1" applyProtection="1">
      <protection locked="0"/>
    </xf>
    <xf numFmtId="43" fontId="8" fillId="3" borderId="3" xfId="10" applyNumberFormat="1" applyFont="1" applyFill="1" applyBorder="1" applyProtection="1"/>
    <xf numFmtId="43" fontId="4" fillId="3" borderId="4" xfId="10" applyNumberFormat="1" applyFont="1" applyFill="1" applyBorder="1" applyProtection="1"/>
    <xf numFmtId="43" fontId="4" fillId="3" borderId="3" xfId="10" applyNumberFormat="1" applyFont="1" applyFill="1" applyBorder="1" applyProtection="1"/>
    <xf numFmtId="0" fontId="4" fillId="0" borderId="4" xfId="9" applyFont="1" applyBorder="1" applyAlignment="1" applyProtection="1">
      <alignment horizontal="center" vertical="center" wrapText="1"/>
    </xf>
    <xf numFmtId="43" fontId="4" fillId="0" borderId="3" xfId="10" applyNumberFormat="1" applyFont="1" applyBorder="1" applyProtection="1">
      <protection locked="0"/>
    </xf>
    <xf numFmtId="0" fontId="7" fillId="2" borderId="3" xfId="9" applyFont="1" applyFill="1" applyBorder="1" applyAlignment="1" applyProtection="1">
      <alignment wrapText="1"/>
    </xf>
    <xf numFmtId="0" fontId="9" fillId="0" borderId="3" xfId="9" applyFont="1" applyBorder="1" applyAlignment="1" applyProtection="1">
      <alignment horizontal="left" vertical="center" wrapText="1"/>
    </xf>
    <xf numFmtId="0" fontId="11" fillId="0" borderId="0" xfId="9" applyFont="1" applyAlignment="1" applyProtection="1">
      <alignment wrapText="1"/>
    </xf>
    <xf numFmtId="43" fontId="8" fillId="2" borderId="4" xfId="10" applyNumberFormat="1" applyFont="1" applyFill="1" applyBorder="1" applyProtection="1"/>
    <xf numFmtId="2" fontId="4" fillId="5" borderId="3" xfId="9" applyNumberFormat="1" applyFont="1" applyFill="1" applyBorder="1" applyAlignment="1" applyProtection="1">
      <alignment horizontal="left" vertical="center" wrapText="1"/>
    </xf>
    <xf numFmtId="0" fontId="4" fillId="0" borderId="3" xfId="9" applyFont="1" applyFill="1" applyBorder="1" applyAlignment="1" applyProtection="1">
      <alignment horizontal="center" vertical="center" wrapText="1"/>
    </xf>
    <xf numFmtId="167" fontId="4" fillId="5" borderId="3" xfId="9" applyNumberFormat="1" applyFont="1" applyFill="1" applyBorder="1" applyAlignment="1" applyProtection="1">
      <alignment horizontal="left" vertical="center" wrapText="1"/>
    </xf>
    <xf numFmtId="9" fontId="4" fillId="2" borderId="3" xfId="11" applyFont="1" applyFill="1" applyBorder="1" applyAlignment="1" applyProtection="1">
      <alignment vertical="center"/>
    </xf>
    <xf numFmtId="43" fontId="8" fillId="2" borderId="3" xfId="10" applyNumberFormat="1" applyFont="1" applyFill="1" applyBorder="1" applyAlignment="1" applyProtection="1">
      <alignment vertical="center" wrapText="1"/>
    </xf>
    <xf numFmtId="43" fontId="8" fillId="2" borderId="4" xfId="10" applyNumberFormat="1" applyFont="1" applyFill="1" applyBorder="1" applyAlignment="1" applyProtection="1">
      <alignment vertical="center"/>
    </xf>
    <xf numFmtId="49" fontId="8" fillId="0" borderId="0" xfId="9" applyNumberFormat="1" applyFont="1" applyAlignment="1" applyProtection="1">
      <alignment horizontal="left" vertical="center"/>
    </xf>
    <xf numFmtId="0" fontId="4" fillId="0" borderId="0" xfId="9" applyFont="1" applyAlignment="1" applyProtection="1">
      <alignment wrapText="1"/>
    </xf>
    <xf numFmtId="0" fontId="4" fillId="0" borderId="0" xfId="9" applyFont="1" applyProtection="1"/>
    <xf numFmtId="43" fontId="13" fillId="0" borderId="0" xfId="3" applyNumberFormat="1" applyFont="1" applyBorder="1" applyAlignment="1" applyProtection="1">
      <alignment wrapText="1"/>
    </xf>
    <xf numFmtId="0" fontId="4" fillId="0" borderId="0" xfId="9" applyFont="1" applyAlignment="1" applyProtection="1"/>
    <xf numFmtId="2" fontId="10" fillId="0" borderId="0" xfId="9" applyNumberFormat="1" applyFont="1" applyAlignment="1" applyProtection="1">
      <alignment horizontal="center" wrapText="1"/>
    </xf>
    <xf numFmtId="0" fontId="14" fillId="0" borderId="0" xfId="9" applyFont="1" applyAlignment="1" applyProtection="1"/>
    <xf numFmtId="0" fontId="4" fillId="0" borderId="0" xfId="9" applyFont="1" applyAlignment="1" applyProtection="1">
      <alignment horizontal="right"/>
    </xf>
    <xf numFmtId="0" fontId="9" fillId="0" borderId="0" xfId="2" applyFont="1"/>
    <xf numFmtId="0" fontId="7" fillId="0" borderId="0" xfId="2" applyFont="1"/>
    <xf numFmtId="0" fontId="7" fillId="0" borderId="0" xfId="0" applyFont="1" applyAlignment="1"/>
    <xf numFmtId="0" fontId="9" fillId="0" borderId="0" xfId="0" applyFont="1" applyAlignment="1"/>
    <xf numFmtId="0" fontId="9" fillId="2" borderId="1" xfId="2" applyFont="1" applyFill="1" applyBorder="1"/>
    <xf numFmtId="0" fontId="7" fillId="2" borderId="1" xfId="0" applyFont="1" applyFill="1" applyBorder="1" applyAlignment="1">
      <alignment horizontal="center" wrapText="1"/>
    </xf>
    <xf numFmtId="0" fontId="7" fillId="2" borderId="1" xfId="2" applyFont="1" applyFill="1" applyBorder="1"/>
    <xf numFmtId="4" fontId="7" fillId="0" borderId="1" xfId="0" applyNumberFormat="1" applyFont="1" applyBorder="1" applyProtection="1">
      <protection locked="0"/>
    </xf>
    <xf numFmtId="43" fontId="9" fillId="0" borderId="1" xfId="0" applyNumberFormat="1" applyFont="1" applyBorder="1" applyProtection="1">
      <protection locked="0"/>
    </xf>
    <xf numFmtId="43" fontId="9" fillId="2" borderId="1" xfId="0" applyNumberFormat="1" applyFont="1" applyFill="1" applyBorder="1"/>
    <xf numFmtId="0" fontId="9" fillId="0" borderId="1" xfId="2" applyFont="1" applyBorder="1"/>
    <xf numFmtId="4" fontId="9" fillId="0" borderId="1" xfId="0" applyNumberFormat="1" applyFont="1" applyBorder="1" applyProtection="1">
      <protection locked="0"/>
    </xf>
    <xf numFmtId="0" fontId="9" fillId="0" borderId="1" xfId="0" applyFont="1" applyBorder="1"/>
    <xf numFmtId="43" fontId="9" fillId="3" borderId="1" xfId="0" applyNumberFormat="1" applyFont="1" applyFill="1" applyBorder="1"/>
    <xf numFmtId="0" fontId="7" fillId="0" borderId="1" xfId="0" applyFont="1" applyBorder="1"/>
    <xf numFmtId="43" fontId="9" fillId="3" borderId="1" xfId="0" applyNumberFormat="1" applyFont="1" applyFill="1" applyBorder="1" applyProtection="1">
      <protection locked="0"/>
    </xf>
    <xf numFmtId="43" fontId="11" fillId="0" borderId="0" xfId="0" applyNumberFormat="1" applyFont="1"/>
    <xf numFmtId="0" fontId="9" fillId="2" borderId="1" xfId="0" applyFont="1" applyFill="1" applyBorder="1"/>
    <xf numFmtId="1" fontId="9" fillId="2" borderId="1" xfId="0" applyNumberFormat="1" applyFont="1" applyFill="1" applyBorder="1" applyAlignment="1">
      <alignment horizontal="center"/>
    </xf>
    <xf numFmtId="1" fontId="9" fillId="0" borderId="1" xfId="0" applyNumberFormat="1" applyFont="1" applyBorder="1" applyAlignment="1" applyProtection="1">
      <alignment horizontal="center"/>
      <protection locked="0"/>
    </xf>
    <xf numFmtId="1" fontId="9" fillId="0" borderId="1" xfId="0" applyNumberFormat="1" applyFont="1" applyBorder="1" applyAlignment="1">
      <alignment horizontal="center"/>
    </xf>
    <xf numFmtId="1" fontId="9" fillId="2" borderId="1" xfId="0" applyNumberFormat="1" applyFont="1" applyFill="1" applyBorder="1" applyAlignment="1" applyProtection="1">
      <alignment horizontal="center"/>
      <protection locked="0"/>
    </xf>
    <xf numFmtId="4" fontId="9" fillId="2" borderId="1" xfId="0" applyNumberFormat="1" applyFont="1" applyFill="1" applyBorder="1" applyProtection="1">
      <protection locked="0"/>
    </xf>
    <xf numFmtId="43" fontId="9" fillId="2" borderId="1" xfId="0" applyNumberFormat="1" applyFont="1" applyFill="1" applyBorder="1" applyProtection="1">
      <protection locked="0"/>
    </xf>
    <xf numFmtId="3" fontId="9" fillId="2" borderId="1" xfId="0" applyNumberFormat="1" applyFont="1" applyFill="1" applyBorder="1" applyAlignment="1" applyProtection="1">
      <alignment horizontal="center"/>
      <protection locked="0"/>
    </xf>
    <xf numFmtId="9" fontId="9" fillId="2" borderId="1" xfId="0" applyNumberFormat="1" applyFont="1" applyFill="1" applyBorder="1"/>
    <xf numFmtId="3" fontId="9" fillId="2" borderId="1" xfId="0" applyNumberFormat="1" applyFont="1" applyFill="1" applyBorder="1" applyAlignment="1">
      <alignment horizontal="center"/>
    </xf>
    <xf numFmtId="3" fontId="9" fillId="0" borderId="1" xfId="0" applyNumberFormat="1" applyFont="1" applyBorder="1" applyAlignment="1" applyProtection="1">
      <alignment horizontal="center"/>
      <protection locked="0"/>
    </xf>
    <xf numFmtId="3" fontId="9" fillId="0" borderId="1" xfId="0" applyNumberFormat="1" applyFont="1" applyBorder="1" applyAlignment="1">
      <alignment horizontal="center"/>
    </xf>
    <xf numFmtId="2" fontId="9" fillId="0" borderId="1" xfId="2" applyNumberFormat="1" applyFont="1" applyBorder="1"/>
    <xf numFmtId="4" fontId="9" fillId="2" borderId="1" xfId="0" applyNumberFormat="1" applyFont="1" applyFill="1" applyBorder="1" applyAlignment="1" applyProtection="1">
      <alignment wrapText="1"/>
      <protection locked="0"/>
    </xf>
    <xf numFmtId="0" fontId="9" fillId="2" borderId="1" xfId="0" applyFont="1" applyFill="1" applyBorder="1" applyAlignment="1">
      <alignment wrapText="1"/>
    </xf>
    <xf numFmtId="43" fontId="9" fillId="4" borderId="1" xfId="0" applyNumberFormat="1" applyFont="1" applyFill="1" applyBorder="1"/>
    <xf numFmtId="4" fontId="9" fillId="0" borderId="1" xfId="0" applyNumberFormat="1" applyFont="1" applyBorder="1" applyAlignment="1" applyProtection="1">
      <alignment wrapText="1"/>
      <protection locked="0"/>
    </xf>
    <xf numFmtId="0" fontId="9" fillId="0" borderId="1" xfId="0" applyFont="1" applyBorder="1" applyAlignment="1" applyProtection="1">
      <protection locked="0"/>
    </xf>
    <xf numFmtId="43" fontId="9" fillId="0" borderId="1" xfId="0" applyNumberFormat="1" applyFont="1" applyBorder="1" applyAlignment="1" applyProtection="1">
      <protection locked="0"/>
    </xf>
    <xf numFmtId="0" fontId="9" fillId="0" borderId="0" xfId="0" applyFont="1" applyFill="1" applyAlignment="1" applyProtection="1">
      <alignment horizontal="left" vertical="center" wrapText="1"/>
    </xf>
    <xf numFmtId="0" fontId="9" fillId="0" borderId="0" xfId="0" applyFont="1" applyFill="1" applyAlignment="1" applyProtection="1">
      <alignment horizontal="right" vertical="center" wrapText="1"/>
    </xf>
    <xf numFmtId="0" fontId="7" fillId="2" borderId="1" xfId="3" applyFont="1" applyFill="1" applyBorder="1" applyAlignment="1" applyProtection="1">
      <alignment horizontal="center" vertical="center"/>
    </xf>
    <xf numFmtId="0" fontId="7" fillId="2" borderId="1" xfId="3" applyFont="1" applyFill="1" applyBorder="1" applyAlignment="1" applyProtection="1">
      <alignment horizontal="center" vertical="center" wrapText="1"/>
    </xf>
    <xf numFmtId="0" fontId="9" fillId="2" borderId="1" xfId="3" applyFont="1" applyFill="1" applyBorder="1" applyAlignment="1" applyProtection="1">
      <alignment horizontal="center" vertical="center"/>
    </xf>
    <xf numFmtId="0" fontId="9" fillId="2" borderId="1" xfId="3" applyFont="1" applyFill="1"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43" fontId="10" fillId="4" borderId="1" xfId="1" applyNumberFormat="1" applyFont="1" applyFill="1" applyBorder="1" applyProtection="1">
      <protection locked="0"/>
    </xf>
    <xf numFmtId="0" fontId="9" fillId="4" borderId="1" xfId="3" applyFont="1" applyFill="1" applyBorder="1" applyAlignment="1" applyProtection="1">
      <alignment horizontal="left" vertical="center"/>
    </xf>
    <xf numFmtId="0" fontId="9" fillId="0" borderId="1" xfId="3"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1" xfId="3" applyFont="1" applyFill="1" applyBorder="1" applyAlignment="1" applyProtection="1">
      <alignment horizontal="left" vertical="center" wrapText="1"/>
    </xf>
    <xf numFmtId="0" fontId="9" fillId="4" borderId="1" xfId="3" applyFont="1" applyFill="1" applyBorder="1" applyAlignment="1" applyProtection="1">
      <alignment horizontal="center" vertical="center" wrapText="1"/>
    </xf>
    <xf numFmtId="0" fontId="9" fillId="4" borderId="1" xfId="3" applyFont="1" applyFill="1" applyBorder="1" applyAlignment="1" applyProtection="1">
      <alignment horizontal="left"/>
    </xf>
    <xf numFmtId="43" fontId="9" fillId="4" borderId="1" xfId="1" applyNumberFormat="1" applyFont="1" applyFill="1" applyBorder="1" applyProtection="1">
      <protection locked="0"/>
    </xf>
    <xf numFmtId="43" fontId="9" fillId="4" borderId="1" xfId="1" applyNumberFormat="1" applyFont="1" applyFill="1" applyBorder="1" applyAlignment="1" applyProtection="1">
      <alignment horizontal="center"/>
      <protection locked="0"/>
    </xf>
    <xf numFmtId="43" fontId="9" fillId="0" borderId="1" xfId="1" applyNumberFormat="1" applyFont="1" applyFill="1" applyBorder="1" applyProtection="1">
      <protection locked="0"/>
    </xf>
    <xf numFmtId="43" fontId="9" fillId="0" borderId="1" xfId="1" applyNumberFormat="1" applyFont="1" applyFill="1" applyBorder="1" applyAlignment="1" applyProtection="1">
      <alignment horizontal="center"/>
      <protection locked="0"/>
    </xf>
    <xf numFmtId="43" fontId="7" fillId="2" borderId="1" xfId="1" quotePrefix="1" applyNumberFormat="1" applyFont="1" applyFill="1" applyBorder="1" applyProtection="1"/>
    <xf numFmtId="43" fontId="7" fillId="2" borderId="1" xfId="1" applyNumberFormat="1" applyFont="1" applyFill="1" applyBorder="1" applyProtection="1"/>
    <xf numFmtId="0" fontId="9" fillId="0" borderId="0" xfId="3" applyFont="1" applyFill="1" applyAlignment="1" applyProtection="1"/>
    <xf numFmtId="0" fontId="7" fillId="0" borderId="0" xfId="3" applyFont="1" applyFill="1" applyBorder="1" applyAlignment="1" applyProtection="1">
      <alignment horizontal="center" wrapText="1"/>
    </xf>
    <xf numFmtId="0" fontId="13" fillId="0" borderId="0" xfId="3" applyFont="1" applyFill="1" applyBorder="1" applyAlignment="1" applyProtection="1">
      <alignment horizontal="center" wrapText="1"/>
    </xf>
    <xf numFmtId="43" fontId="13" fillId="0" borderId="0" xfId="3" applyNumberFormat="1" applyFont="1" applyFill="1" applyBorder="1" applyProtection="1"/>
    <xf numFmtId="0" fontId="4" fillId="0" borderId="0" xfId="1" applyNumberFormat="1" applyFont="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 xfId="1" applyNumberFormat="1" applyFont="1" applyFill="1" applyBorder="1" applyAlignment="1" applyProtection="1">
      <alignment horizontal="center" wrapText="1"/>
    </xf>
    <xf numFmtId="0" fontId="10" fillId="0" borderId="1" xfId="0" applyFont="1" applyBorder="1" applyProtection="1"/>
    <xf numFmtId="0" fontId="10" fillId="0" borderId="1" xfId="1" applyNumberFormat="1" applyFont="1" applyBorder="1" applyAlignment="1" applyProtection="1">
      <alignment horizontal="center"/>
    </xf>
    <xf numFmtId="49" fontId="7" fillId="2" borderId="1" xfId="3" applyNumberFormat="1" applyFont="1" applyFill="1" applyBorder="1" applyAlignment="1" applyProtection="1">
      <alignment horizontal="center" vertical="center" wrapText="1"/>
    </xf>
    <xf numFmtId="49" fontId="9" fillId="2" borderId="1" xfId="3" applyNumberFormat="1" applyFont="1" applyFill="1" applyBorder="1" applyAlignment="1" applyProtection="1">
      <alignment horizontal="center" vertical="center" wrapText="1"/>
    </xf>
    <xf numFmtId="49" fontId="7" fillId="2" borderId="1" xfId="3" applyNumberFormat="1" applyFont="1" applyFill="1" applyBorder="1" applyProtection="1"/>
    <xf numFmtId="0" fontId="7" fillId="2" borderId="1" xfId="3" applyFont="1" applyFill="1" applyBorder="1" applyAlignment="1" applyProtection="1">
      <alignment horizontal="left" vertical="center" wrapText="1"/>
    </xf>
    <xf numFmtId="0" fontId="9" fillId="2" borderId="1" xfId="3" applyFont="1" applyFill="1" applyBorder="1" applyAlignment="1" applyProtection="1">
      <alignment horizontal="center"/>
    </xf>
    <xf numFmtId="43" fontId="9" fillId="2" borderId="1" xfId="3" applyNumberFormat="1" applyFont="1" applyFill="1" applyBorder="1" applyAlignment="1" applyProtection="1">
      <alignment horizontal="center"/>
    </xf>
    <xf numFmtId="49" fontId="9" fillId="0" borderId="1" xfId="3" applyNumberFormat="1" applyFont="1" applyFill="1" applyBorder="1" applyProtection="1"/>
    <xf numFmtId="0" fontId="9" fillId="0" borderId="1" xfId="3" applyFont="1" applyFill="1" applyBorder="1" applyAlignment="1" applyProtection="1">
      <alignment horizontal="left" vertical="center" wrapText="1" indent="3"/>
    </xf>
    <xf numFmtId="0" fontId="9" fillId="0" borderId="1" xfId="3" applyFont="1" applyFill="1" applyBorder="1" applyAlignment="1" applyProtection="1">
      <alignment horizontal="center"/>
    </xf>
    <xf numFmtId="43" fontId="9" fillId="3" borderId="1" xfId="3" applyNumberFormat="1" applyFont="1" applyFill="1" applyBorder="1" applyAlignment="1" applyProtection="1">
      <alignment horizontal="center"/>
    </xf>
    <xf numFmtId="0" fontId="7" fillId="2" borderId="1" xfId="3" applyFont="1" applyFill="1" applyBorder="1" applyAlignment="1" applyProtection="1">
      <alignment vertical="center" wrapText="1"/>
    </xf>
    <xf numFmtId="43" fontId="7" fillId="2" borderId="1" xfId="4" applyNumberFormat="1" applyFont="1" applyFill="1" applyBorder="1" applyAlignment="1" applyProtection="1">
      <alignment horizontal="center"/>
    </xf>
    <xf numFmtId="0" fontId="7" fillId="2" borderId="1" xfId="3" applyFont="1" applyFill="1" applyBorder="1" applyAlignment="1" applyProtection="1">
      <alignment horizontal="left" vertical="center"/>
    </xf>
    <xf numFmtId="43" fontId="7" fillId="2" borderId="1" xfId="3" applyNumberFormat="1" applyFont="1" applyFill="1" applyBorder="1" applyAlignment="1" applyProtection="1">
      <alignment vertical="center" wrapText="1"/>
    </xf>
    <xf numFmtId="43" fontId="7" fillId="2" borderId="1" xfId="3" applyNumberFormat="1" applyFont="1" applyFill="1" applyBorder="1" applyAlignment="1" applyProtection="1">
      <alignment horizontal="center"/>
    </xf>
    <xf numFmtId="0" fontId="4" fillId="0" borderId="0" xfId="0" applyFont="1" applyAlignment="1" applyProtection="1">
      <alignment vertical="center"/>
    </xf>
    <xf numFmtId="164" fontId="4" fillId="0" borderId="0" xfId="1" applyNumberFormat="1" applyFont="1" applyAlignment="1" applyProtection="1">
      <alignment vertical="center"/>
    </xf>
    <xf numFmtId="0" fontId="4" fillId="0" borderId="0" xfId="0" applyNumberFormat="1" applyFont="1" applyAlignment="1" applyProtection="1">
      <alignment horizontal="center" vertical="center"/>
    </xf>
    <xf numFmtId="0" fontId="8" fillId="0" borderId="0" xfId="0" applyNumberFormat="1" applyFont="1" applyAlignment="1" applyProtection="1">
      <alignment horizontal="center" vertical="center"/>
    </xf>
    <xf numFmtId="0" fontId="4" fillId="0" borderId="0" xfId="0" applyFont="1" applyAlignment="1" applyProtection="1"/>
    <xf numFmtId="164" fontId="4" fillId="0" borderId="0" xfId="1" applyNumberFormat="1" applyFont="1" applyAlignment="1" applyProtection="1"/>
    <xf numFmtId="164" fontId="4" fillId="5" borderId="0" xfId="1" applyNumberFormat="1" applyFont="1" applyFill="1" applyBorder="1" applyAlignment="1" applyProtection="1">
      <alignment vertical="center" wrapText="1"/>
    </xf>
    <xf numFmtId="164" fontId="4" fillId="5" borderId="28" xfId="1" applyNumberFormat="1" applyFont="1" applyFill="1" applyBorder="1" applyAlignment="1" applyProtection="1">
      <alignment vertical="center" wrapText="1"/>
    </xf>
    <xf numFmtId="0" fontId="9" fillId="0" borderId="1" xfId="3" applyFont="1" applyFill="1" applyBorder="1" applyAlignment="1" applyProtection="1">
      <alignment vertical="center" wrapText="1"/>
    </xf>
    <xf numFmtId="0" fontId="10" fillId="4" borderId="1" xfId="5" applyFont="1" applyFill="1" applyBorder="1" applyAlignment="1" applyProtection="1">
      <alignment horizontal="left" vertical="top" wrapText="1"/>
      <protection locked="0"/>
    </xf>
    <xf numFmtId="0" fontId="4" fillId="4" borderId="1" xfId="5" applyFont="1" applyFill="1" applyBorder="1" applyAlignment="1" applyProtection="1">
      <alignment horizontal="left" vertical="top" wrapText="1"/>
      <protection locked="0"/>
    </xf>
    <xf numFmtId="43" fontId="4" fillId="4" borderId="1" xfId="6" applyFont="1" applyFill="1" applyBorder="1" applyAlignment="1" applyProtection="1">
      <alignment horizontal="left" vertical="top" wrapText="1"/>
      <protection locked="0"/>
    </xf>
    <xf numFmtId="0" fontId="10" fillId="4" borderId="1" xfId="5" applyFont="1" applyFill="1" applyBorder="1" applyAlignment="1" applyProtection="1">
      <alignment vertical="top" wrapText="1"/>
      <protection locked="0"/>
    </xf>
    <xf numFmtId="43" fontId="10" fillId="4" borderId="1" xfId="6" applyFont="1" applyFill="1" applyBorder="1" applyAlignment="1" applyProtection="1">
      <alignment vertical="top" wrapText="1"/>
      <protection locked="0"/>
    </xf>
    <xf numFmtId="43" fontId="12" fillId="0" borderId="1" xfId="6" applyFont="1" applyFill="1" applyBorder="1" applyAlignment="1" applyProtection="1">
      <alignment horizontal="justify" vertical="top" wrapText="1"/>
      <protection locked="0"/>
    </xf>
    <xf numFmtId="0" fontId="10" fillId="4" borderId="1" xfId="5" applyFont="1" applyFill="1" applyBorder="1" applyAlignment="1" applyProtection="1">
      <alignment horizontal="justify" vertical="top" wrapText="1"/>
      <protection locked="0"/>
    </xf>
    <xf numFmtId="43" fontId="10" fillId="4" borderId="1" xfId="6" applyFont="1" applyFill="1" applyBorder="1" applyAlignment="1" applyProtection="1">
      <alignment horizontal="justify" vertical="top" wrapText="1"/>
      <protection locked="0"/>
    </xf>
    <xf numFmtId="43" fontId="10" fillId="4" borderId="1" xfId="6" applyFont="1" applyFill="1" applyBorder="1" applyAlignment="1" applyProtection="1">
      <alignment horizontal="center" vertical="top" wrapText="1"/>
      <protection locked="0"/>
    </xf>
    <xf numFmtId="0" fontId="9" fillId="0" borderId="0" xfId="3" applyFont="1" applyFill="1" applyProtection="1"/>
    <xf numFmtId="0" fontId="4" fillId="0" borderId="0" xfId="5" applyFont="1" applyProtection="1"/>
    <xf numFmtId="0" fontId="10" fillId="4" borderId="0" xfId="5" applyFont="1" applyFill="1" applyAlignment="1" applyProtection="1">
      <alignment wrapText="1"/>
    </xf>
    <xf numFmtId="43" fontId="10" fillId="4" borderId="0" xfId="6" applyFont="1" applyFill="1" applyProtection="1"/>
    <xf numFmtId="0" fontId="10" fillId="4" borderId="0" xfId="5" applyFont="1" applyFill="1" applyAlignment="1" applyProtection="1"/>
    <xf numFmtId="0" fontId="10" fillId="0" borderId="0" xfId="5" applyFont="1" applyBorder="1" applyProtection="1"/>
    <xf numFmtId="0" fontId="9" fillId="4" borderId="0" xfId="5" applyFont="1" applyFill="1" applyBorder="1" applyAlignment="1" applyProtection="1"/>
    <xf numFmtId="0" fontId="4" fillId="8" borderId="0" xfId="5" applyFont="1" applyFill="1" applyBorder="1" applyAlignment="1" applyProtection="1">
      <alignment horizontal="right" vertical="center" wrapText="1"/>
    </xf>
    <xf numFmtId="0" fontId="4" fillId="4" borderId="0" xfId="5" applyFont="1" applyFill="1" applyAlignment="1" applyProtection="1">
      <alignment vertical="center" wrapText="1"/>
    </xf>
    <xf numFmtId="0" fontId="10" fillId="2" borderId="1" xfId="5" applyFont="1" applyFill="1" applyBorder="1" applyAlignment="1" applyProtection="1">
      <alignment horizontal="left" vertical="center" wrapText="1"/>
    </xf>
    <xf numFmtId="0" fontId="10" fillId="2" borderId="1" xfId="5" applyFont="1" applyFill="1" applyBorder="1" applyAlignment="1" applyProtection="1">
      <alignment horizontal="center" vertical="center" wrapText="1"/>
    </xf>
    <xf numFmtId="0" fontId="10" fillId="2" borderId="1" xfId="5" applyFont="1" applyFill="1" applyBorder="1" applyAlignment="1" applyProtection="1">
      <alignment horizontal="center" vertical="center" textRotation="90" wrapText="1"/>
    </xf>
    <xf numFmtId="164" fontId="10" fillId="3" borderId="1" xfId="6" applyNumberFormat="1" applyFont="1" applyFill="1" applyBorder="1" applyAlignment="1" applyProtection="1">
      <alignment horizontal="center" vertical="center" wrapText="1"/>
    </xf>
    <xf numFmtId="164" fontId="10" fillId="3" borderId="1" xfId="6" applyNumberFormat="1" applyFont="1" applyFill="1" applyBorder="1" applyAlignment="1" applyProtection="1">
      <alignment horizontal="right" vertical="center" wrapText="1"/>
    </xf>
    <xf numFmtId="164" fontId="10" fillId="3" borderId="1" xfId="6" applyNumberFormat="1" applyFont="1" applyFill="1" applyBorder="1" applyAlignment="1" applyProtection="1">
      <alignment vertical="center"/>
    </xf>
    <xf numFmtId="9" fontId="4" fillId="3" borderId="1" xfId="7" applyFont="1" applyFill="1" applyBorder="1" applyAlignment="1" applyProtection="1">
      <alignment horizontal="center" vertical="center" wrapText="1"/>
    </xf>
    <xf numFmtId="166" fontId="4" fillId="3" borderId="1" xfId="8" applyNumberFormat="1" applyFont="1" applyFill="1" applyBorder="1" applyAlignment="1" applyProtection="1">
      <alignment horizontal="right" vertical="center" wrapText="1"/>
    </xf>
    <xf numFmtId="0" fontId="10" fillId="2" borderId="1" xfId="5" applyFont="1" applyFill="1" applyBorder="1" applyAlignment="1" applyProtection="1">
      <alignment vertical="center" wrapText="1"/>
    </xf>
    <xf numFmtId="9" fontId="10" fillId="2" borderId="1" xfId="7" applyFont="1" applyFill="1" applyBorder="1" applyAlignment="1" applyProtection="1">
      <alignment horizontal="center" vertical="center" wrapText="1"/>
    </xf>
    <xf numFmtId="164" fontId="10" fillId="2" borderId="1" xfId="6" applyNumberFormat="1" applyFont="1" applyFill="1" applyBorder="1" applyAlignment="1" applyProtection="1">
      <alignment horizontal="center" vertical="center" wrapText="1"/>
    </xf>
    <xf numFmtId="164" fontId="10" fillId="2" borderId="1" xfId="6" applyNumberFormat="1" applyFont="1" applyFill="1" applyBorder="1" applyAlignment="1" applyProtection="1">
      <alignment horizontal="right" vertical="center" wrapText="1"/>
    </xf>
    <xf numFmtId="166" fontId="10" fillId="2" borderId="1" xfId="8" applyNumberFormat="1" applyFont="1" applyFill="1" applyBorder="1" applyAlignment="1" applyProtection="1">
      <alignment vertical="center" wrapText="1"/>
    </xf>
    <xf numFmtId="166" fontId="10" fillId="2" borderId="1" xfId="8" applyNumberFormat="1" applyFont="1" applyFill="1" applyBorder="1" applyAlignment="1" applyProtection="1">
      <alignment horizontal="right" vertical="center" wrapText="1"/>
    </xf>
    <xf numFmtId="164" fontId="10" fillId="2" borderId="1" xfId="6" applyNumberFormat="1" applyFont="1" applyFill="1" applyBorder="1" applyAlignment="1" applyProtection="1">
      <alignment vertical="center"/>
    </xf>
    <xf numFmtId="0" fontId="10" fillId="4" borderId="0" xfId="5" applyFont="1" applyFill="1" applyBorder="1" applyAlignment="1" applyProtection="1"/>
    <xf numFmtId="0" fontId="10" fillId="7" borderId="0" xfId="5" applyFont="1" applyFill="1" applyProtection="1"/>
    <xf numFmtId="0" fontId="10" fillId="4" borderId="0" xfId="0" applyFont="1" applyFill="1" applyAlignment="1" applyProtection="1">
      <alignment horizontal="center"/>
    </xf>
    <xf numFmtId="0" fontId="10" fillId="7" borderId="0" xfId="0" applyFont="1" applyFill="1" applyAlignment="1" applyProtection="1">
      <alignment wrapText="1"/>
    </xf>
    <xf numFmtId="0" fontId="10" fillId="4" borderId="0" xfId="0" applyFont="1" applyFill="1" applyProtection="1"/>
    <xf numFmtId="0" fontId="10" fillId="2" borderId="1" xfId="0" applyFont="1" applyFill="1" applyBorder="1" applyAlignment="1" applyProtection="1">
      <alignment horizontal="center"/>
    </xf>
    <xf numFmtId="0" fontId="10" fillId="2" borderId="1" xfId="0" applyFont="1" applyFill="1" applyBorder="1" applyAlignment="1" applyProtection="1">
      <alignment vertical="top" wrapText="1"/>
    </xf>
    <xf numFmtId="0" fontId="10" fillId="2" borderId="1" xfId="0" applyFont="1" applyFill="1" applyBorder="1" applyAlignment="1" applyProtection="1">
      <alignment horizontal="center" vertical="top" wrapText="1"/>
    </xf>
    <xf numFmtId="0" fontId="16" fillId="2" borderId="1" xfId="0" applyFont="1" applyFill="1" applyBorder="1" applyAlignment="1" applyProtection="1">
      <alignment vertical="top" wrapText="1"/>
    </xf>
    <xf numFmtId="43" fontId="10" fillId="2" borderId="1" xfId="6" applyFont="1" applyFill="1" applyBorder="1" applyAlignment="1" applyProtection="1">
      <alignment vertical="top" wrapText="1"/>
    </xf>
    <xf numFmtId="0" fontId="10" fillId="4" borderId="1" xfId="0" applyFont="1" applyFill="1" applyBorder="1" applyAlignment="1" applyProtection="1">
      <alignment horizontal="center"/>
    </xf>
    <xf numFmtId="0" fontId="10" fillId="4" borderId="1" xfId="0" applyFont="1" applyFill="1" applyBorder="1" applyAlignment="1" applyProtection="1">
      <alignment vertical="top" wrapText="1"/>
    </xf>
    <xf numFmtId="43" fontId="10" fillId="3" borderId="1" xfId="6" applyFont="1" applyFill="1" applyBorder="1" applyAlignment="1" applyProtection="1">
      <alignment vertical="top" wrapText="1"/>
    </xf>
    <xf numFmtId="0" fontId="10" fillId="3" borderId="1" xfId="0" applyFont="1" applyFill="1" applyBorder="1" applyAlignment="1" applyProtection="1">
      <alignment vertical="top" wrapText="1"/>
    </xf>
    <xf numFmtId="43" fontId="10" fillId="0" borderId="1" xfId="6" applyFont="1" applyFill="1" applyBorder="1" applyAlignment="1" applyProtection="1">
      <alignment vertical="top" wrapText="1"/>
      <protection locked="0"/>
    </xf>
    <xf numFmtId="9" fontId="10" fillId="3" borderId="1" xfId="0" applyNumberFormat="1" applyFont="1" applyFill="1" applyBorder="1" applyAlignment="1" applyProtection="1">
      <alignment horizontal="right" vertical="top" wrapText="1"/>
    </xf>
    <xf numFmtId="43" fontId="10" fillId="3" borderId="1" xfId="6" applyFont="1" applyFill="1" applyBorder="1" applyAlignment="1" applyProtection="1">
      <alignment vertical="top"/>
    </xf>
    <xf numFmtId="0" fontId="10" fillId="3" borderId="1" xfId="0" applyFont="1" applyFill="1" applyBorder="1" applyAlignment="1" applyProtection="1">
      <alignment vertical="top"/>
    </xf>
    <xf numFmtId="43" fontId="11" fillId="2" borderId="1" xfId="6" applyFont="1" applyFill="1" applyBorder="1" applyAlignment="1" applyProtection="1">
      <alignment vertical="top" wrapText="1"/>
    </xf>
    <xf numFmtId="0" fontId="12" fillId="2" borderId="1" xfId="0" applyFont="1" applyFill="1" applyBorder="1" applyAlignment="1" applyProtection="1">
      <alignment vertical="top" wrapText="1"/>
    </xf>
    <xf numFmtId="0" fontId="4" fillId="4" borderId="0" xfId="0" applyFont="1" applyFill="1" applyAlignment="1" applyProtection="1"/>
    <xf numFmtId="43" fontId="4" fillId="4" borderId="3" xfId="10" applyNumberFormat="1" applyFont="1" applyFill="1" applyBorder="1" applyProtection="1">
      <protection locked="0"/>
    </xf>
    <xf numFmtId="0" fontId="4" fillId="2" borderId="1" xfId="0" applyNumberFormat="1" applyFont="1" applyFill="1" applyBorder="1" applyAlignment="1" applyProtection="1">
      <alignment horizontal="center" vertical="center" wrapText="1"/>
    </xf>
    <xf numFmtId="0" fontId="9" fillId="0" borderId="0" xfId="0" applyNumberFormat="1" applyFont="1" applyBorder="1" applyProtection="1"/>
    <xf numFmtId="0" fontId="9" fillId="0" borderId="0" xfId="0" applyFont="1" applyAlignment="1" applyProtection="1"/>
    <xf numFmtId="0" fontId="4" fillId="0" borderId="0" xfId="0" applyFont="1" applyAlignment="1" applyProtection="1">
      <alignment horizontal="center" vertical="center"/>
    </xf>
    <xf numFmtId="0" fontId="9" fillId="0" borderId="0" xfId="0" applyFont="1" applyBorder="1" applyProtection="1"/>
    <xf numFmtId="0" fontId="4" fillId="5" borderId="0" xfId="9" applyFont="1" applyFill="1" applyBorder="1" applyAlignment="1" applyProtection="1">
      <alignment horizontal="left" vertical="center" wrapText="1"/>
    </xf>
    <xf numFmtId="9" fontId="10" fillId="3" borderId="1" xfId="7" applyFont="1" applyFill="1" applyBorder="1" applyAlignment="1" applyProtection="1">
      <alignment horizontal="center" vertical="center" wrapText="1"/>
    </xf>
    <xf numFmtId="166" fontId="10" fillId="3" borderId="1" xfId="8" applyNumberFormat="1" applyFont="1" applyFill="1" applyBorder="1" applyAlignment="1" applyProtection="1">
      <alignment horizontal="right" vertical="center" wrapText="1"/>
    </xf>
    <xf numFmtId="0" fontId="12" fillId="4" borderId="0" xfId="5" applyFont="1" applyFill="1" applyAlignment="1" applyProtection="1">
      <alignment horizontal="center"/>
    </xf>
    <xf numFmtId="9" fontId="10" fillId="3" borderId="20" xfId="7" applyFont="1" applyFill="1" applyBorder="1" applyAlignment="1" applyProtection="1">
      <alignment horizontal="center" vertical="center" wrapText="1"/>
    </xf>
    <xf numFmtId="0" fontId="10" fillId="4" borderId="1" xfId="5" applyFont="1" applyFill="1" applyBorder="1" applyAlignment="1" applyProtection="1">
      <alignment horizontal="center" vertical="center" wrapText="1"/>
    </xf>
    <xf numFmtId="0" fontId="10" fillId="4" borderId="1" xfId="5" applyFont="1" applyFill="1" applyBorder="1" applyAlignment="1" applyProtection="1">
      <alignment horizontal="left" vertical="center" wrapText="1"/>
    </xf>
    <xf numFmtId="43" fontId="10" fillId="4" borderId="1" xfId="0" applyNumberFormat="1" applyFont="1" applyFill="1" applyBorder="1" applyProtection="1">
      <protection locked="0"/>
    </xf>
    <xf numFmtId="43" fontId="10" fillId="0" borderId="1" xfId="0" applyNumberFormat="1" applyFont="1" applyBorder="1" applyProtection="1">
      <protection locked="0"/>
    </xf>
    <xf numFmtId="43" fontId="9" fillId="0" borderId="1" xfId="2" applyNumberFormat="1" applyFont="1" applyBorder="1" applyProtection="1">
      <protection locked="0"/>
    </xf>
    <xf numFmtId="43" fontId="7" fillId="0" borderId="1" xfId="0" applyNumberFormat="1" applyFont="1" applyBorder="1" applyAlignment="1" applyProtection="1">
      <alignment horizontal="center" wrapText="1"/>
      <protection locked="0"/>
    </xf>
    <xf numFmtId="3" fontId="9" fillId="2" borderId="1" xfId="0" applyNumberFormat="1" applyFont="1" applyFill="1" applyBorder="1" applyAlignment="1" applyProtection="1">
      <alignment horizontal="center"/>
    </xf>
    <xf numFmtId="43" fontId="9" fillId="2" borderId="1" xfId="0" applyNumberFormat="1" applyFont="1" applyFill="1" applyBorder="1" applyProtection="1"/>
    <xf numFmtId="0" fontId="9" fillId="0" borderId="0" xfId="0" applyFont="1" applyProtection="1"/>
    <xf numFmtId="43" fontId="11" fillId="0" borderId="0" xfId="0" applyNumberFormat="1" applyFont="1" applyProtection="1"/>
    <xf numFmtId="0" fontId="11" fillId="0" borderId="0" xfId="0" applyFont="1" applyProtection="1"/>
    <xf numFmtId="0" fontId="9" fillId="0" borderId="1" xfId="2" applyFont="1" applyBorder="1" applyAlignment="1" applyProtection="1">
      <alignment horizontal="center"/>
    </xf>
    <xf numFmtId="0" fontId="5" fillId="0" borderId="0" xfId="0" applyFont="1" applyAlignment="1" applyProtection="1">
      <alignment horizontal="center"/>
    </xf>
    <xf numFmtId="0" fontId="4" fillId="0" borderId="5" xfId="0" applyFont="1" applyBorder="1" applyAlignment="1" applyProtection="1">
      <alignment horizontal="center"/>
    </xf>
    <xf numFmtId="0" fontId="4" fillId="0" borderId="3" xfId="0" applyFont="1" applyBorder="1" applyAlignment="1" applyProtection="1">
      <alignment horizontal="center"/>
    </xf>
    <xf numFmtId="0" fontId="9" fillId="0" borderId="0" xfId="2" applyFont="1" applyProtection="1"/>
    <xf numFmtId="0" fontId="7" fillId="0" borderId="0" xfId="0" applyFont="1" applyAlignment="1" applyProtection="1"/>
    <xf numFmtId="43" fontId="4" fillId="3" borderId="3" xfId="1" applyNumberFormat="1" applyFont="1" applyFill="1" applyBorder="1" applyProtection="1"/>
    <xf numFmtId="49" fontId="4" fillId="0" borderId="3" xfId="0" applyNumberFormat="1" applyFont="1" applyBorder="1" applyAlignment="1" applyProtection="1">
      <alignment horizontal="center"/>
    </xf>
    <xf numFmtId="0" fontId="4" fillId="0" borderId="3" xfId="0" applyFont="1" applyBorder="1" applyProtection="1"/>
    <xf numFmtId="49" fontId="4" fillId="0" borderId="3" xfId="0" applyNumberFormat="1" applyFont="1" applyBorder="1" applyAlignment="1" applyProtection="1">
      <alignment horizontal="left"/>
    </xf>
    <xf numFmtId="43" fontId="9" fillId="3" borderId="1" xfId="1" applyNumberFormat="1" applyFont="1" applyFill="1" applyBorder="1" applyAlignment="1" applyProtection="1">
      <alignment horizontal="center"/>
    </xf>
    <xf numFmtId="0" fontId="9" fillId="0" borderId="17" xfId="3" applyFont="1" applyFill="1" applyBorder="1" applyAlignment="1" applyProtection="1">
      <alignment horizontal="left" wrapText="1"/>
    </xf>
    <xf numFmtId="43" fontId="9" fillId="3" borderId="1" xfId="1" applyNumberFormat="1" applyFont="1" applyFill="1" applyBorder="1" applyProtection="1"/>
    <xf numFmtId="0" fontId="9" fillId="0" borderId="17" xfId="3" applyFont="1" applyFill="1" applyBorder="1" applyAlignment="1" applyProtection="1">
      <alignment horizontal="left" vertical="center" wrapText="1"/>
    </xf>
    <xf numFmtId="0" fontId="9" fillId="0" borderId="1" xfId="3" applyFont="1" applyFill="1" applyBorder="1" applyAlignment="1" applyProtection="1">
      <alignment horizontal="left" wrapText="1"/>
    </xf>
    <xf numFmtId="0" fontId="9" fillId="0" borderId="1" xfId="3" applyFont="1" applyFill="1" applyBorder="1" applyAlignment="1" applyProtection="1">
      <alignment horizontal="left" vertical="center" wrapText="1"/>
    </xf>
    <xf numFmtId="43" fontId="10" fillId="3" borderId="1" xfId="0" applyNumberFormat="1" applyFont="1" applyFill="1" applyBorder="1" applyProtection="1"/>
    <xf numFmtId="0" fontId="15" fillId="0" borderId="0" xfId="0" applyFont="1" applyAlignment="1" applyProtection="1">
      <alignment horizontal="center"/>
    </xf>
    <xf numFmtId="0" fontId="7" fillId="2" borderId="13" xfId="3" applyFont="1" applyFill="1" applyBorder="1" applyAlignment="1" applyProtection="1">
      <alignment horizontal="center" vertical="center" wrapText="1"/>
    </xf>
    <xf numFmtId="0" fontId="7" fillId="2" borderId="14" xfId="3" applyFont="1" applyFill="1" applyBorder="1" applyAlignment="1" applyProtection="1">
      <alignment horizontal="center" vertical="center" wrapText="1"/>
    </xf>
    <xf numFmtId="43" fontId="9" fillId="4" borderId="1" xfId="3" applyNumberFormat="1" applyFont="1" applyFill="1" applyBorder="1" applyAlignment="1" applyProtection="1">
      <alignment horizontal="center"/>
      <protection locked="0"/>
    </xf>
    <xf numFmtId="0" fontId="4" fillId="0" borderId="0" xfId="0" applyFont="1" applyAlignment="1" applyProtection="1">
      <alignment horizontal="left" vertical="center" wrapText="1"/>
    </xf>
    <xf numFmtId="43" fontId="4" fillId="4" borderId="3" xfId="1" applyNumberFormat="1" applyFont="1" applyFill="1" applyBorder="1" applyAlignment="1" applyProtection="1">
      <alignment vertical="center" wrapText="1"/>
      <protection locked="0"/>
    </xf>
    <xf numFmtId="43" fontId="8" fillId="2" borderId="3" xfId="1" applyNumberFormat="1" applyFont="1" applyFill="1" applyBorder="1" applyAlignment="1" applyProtection="1">
      <alignment vertical="center" wrapText="1"/>
    </xf>
    <xf numFmtId="0" fontId="4" fillId="0" borderId="1"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9" fillId="0" borderId="1" xfId="0" applyFont="1" applyBorder="1" applyAlignment="1" applyProtection="1">
      <alignment horizontal="center"/>
    </xf>
    <xf numFmtId="0" fontId="4" fillId="2" borderId="8"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43" fontId="4" fillId="6" borderId="1" xfId="0" applyNumberFormat="1" applyFont="1" applyFill="1" applyBorder="1" applyAlignment="1" applyProtection="1">
      <alignment vertical="center"/>
      <protection locked="0"/>
    </xf>
    <xf numFmtId="0" fontId="4" fillId="2" borderId="1" xfId="0" applyFont="1" applyFill="1" applyBorder="1" applyAlignment="1" applyProtection="1">
      <alignment horizontal="center" vertical="center" wrapText="1"/>
    </xf>
    <xf numFmtId="43" fontId="4" fillId="2" borderId="1" xfId="0" applyNumberFormat="1" applyFont="1" applyFill="1" applyBorder="1" applyAlignment="1" applyProtection="1">
      <alignment horizontal="center" vertical="center" wrapText="1"/>
    </xf>
    <xf numFmtId="0" fontId="4" fillId="6" borderId="1" xfId="0" applyFont="1" applyFill="1" applyBorder="1" applyAlignment="1" applyProtection="1">
      <alignment vertical="center" wrapText="1"/>
    </xf>
    <xf numFmtId="0" fontId="4" fillId="6" borderId="1" xfId="0" applyFont="1" applyFill="1" applyBorder="1" applyAlignment="1" applyProtection="1">
      <alignment horizontal="center" vertical="center" wrapText="1"/>
    </xf>
    <xf numFmtId="0" fontId="4" fillId="0" borderId="1" xfId="0" applyFont="1" applyBorder="1" applyAlignment="1" applyProtection="1">
      <alignment vertical="center" wrapText="1"/>
    </xf>
    <xf numFmtId="0" fontId="9" fillId="0" borderId="0" xfId="2" applyFont="1" applyBorder="1" applyProtection="1"/>
    <xf numFmtId="4" fontId="9" fillId="0" borderId="0" xfId="0" applyNumberFormat="1" applyFont="1" applyBorder="1" applyProtection="1"/>
    <xf numFmtId="4" fontId="7" fillId="0" borderId="0" xfId="0" applyNumberFormat="1" applyFont="1" applyBorder="1" applyProtection="1"/>
    <xf numFmtId="0" fontId="9" fillId="2" borderId="1" xfId="0" applyFont="1" applyFill="1" applyBorder="1" applyAlignment="1" applyProtection="1">
      <alignment vertical="center" wrapText="1"/>
    </xf>
    <xf numFmtId="0" fontId="9"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9" fillId="0" borderId="1" xfId="0" applyFont="1" applyBorder="1" applyAlignment="1" applyProtection="1">
      <alignment vertical="center" wrapText="1"/>
      <protection locked="0"/>
    </xf>
    <xf numFmtId="0" fontId="12" fillId="2" borderId="1" xfId="5" applyFont="1" applyFill="1" applyBorder="1" applyAlignment="1" applyProtection="1">
      <alignment horizontal="center" vertical="top" wrapText="1"/>
    </xf>
    <xf numFmtId="0" fontId="8" fillId="2" borderId="1" xfId="5" applyFont="1" applyFill="1" applyBorder="1" applyAlignment="1" applyProtection="1">
      <alignment horizontal="left" vertical="top" wrapText="1"/>
    </xf>
    <xf numFmtId="43" fontId="8" fillId="2" borderId="1" xfId="6" applyFont="1" applyFill="1" applyBorder="1" applyAlignment="1" applyProtection="1">
      <alignment horizontal="left" vertical="top" wrapText="1"/>
    </xf>
    <xf numFmtId="9" fontId="8" fillId="2" borderId="1" xfId="8" applyFont="1" applyFill="1" applyBorder="1" applyAlignment="1" applyProtection="1">
      <alignment vertical="top" wrapText="1"/>
    </xf>
    <xf numFmtId="9" fontId="4" fillId="3" borderId="1" xfId="8" applyFont="1" applyFill="1" applyBorder="1" applyAlignment="1" applyProtection="1">
      <alignment vertical="top" wrapText="1"/>
    </xf>
    <xf numFmtId="167" fontId="10" fillId="3" borderId="1" xfId="5" applyNumberFormat="1" applyFont="1" applyFill="1" applyBorder="1" applyAlignment="1" applyProtection="1">
      <alignment horizontal="center" vertical="top" wrapText="1"/>
    </xf>
    <xf numFmtId="0" fontId="9" fillId="3" borderId="1" xfId="0" applyFont="1" applyFill="1" applyBorder="1" applyAlignment="1" applyProtection="1">
      <alignment vertical="center" wrapText="1"/>
    </xf>
    <xf numFmtId="2" fontId="10" fillId="3" borderId="1" xfId="5" applyNumberFormat="1" applyFont="1" applyFill="1" applyBorder="1" applyAlignment="1" applyProtection="1">
      <alignment horizontal="center" vertical="top" wrapText="1"/>
    </xf>
    <xf numFmtId="0" fontId="9" fillId="3" borderId="1" xfId="0" applyFont="1" applyFill="1" applyBorder="1" applyAlignment="1" applyProtection="1">
      <alignment horizontal="justify" vertical="center" wrapText="1"/>
    </xf>
    <xf numFmtId="2" fontId="10" fillId="4" borderId="1" xfId="5" applyNumberFormat="1" applyFont="1" applyFill="1" applyBorder="1" applyAlignment="1" applyProtection="1">
      <alignment horizontal="center" vertical="top" wrapText="1"/>
    </xf>
    <xf numFmtId="0" fontId="9" fillId="4" borderId="1" xfId="5" applyFont="1" applyFill="1" applyBorder="1" applyAlignment="1" applyProtection="1">
      <alignment vertical="center" wrapText="1"/>
    </xf>
    <xf numFmtId="0" fontId="10" fillId="3" borderId="1" xfId="5" applyFont="1" applyFill="1" applyBorder="1" applyAlignment="1" applyProtection="1">
      <alignment horizontal="left" vertical="top" wrapText="1"/>
    </xf>
    <xf numFmtId="43" fontId="10" fillId="3" borderId="1" xfId="6" applyFont="1" applyFill="1" applyBorder="1" applyAlignment="1" applyProtection="1">
      <alignment horizontal="left" vertical="top" wrapText="1"/>
    </xf>
    <xf numFmtId="0" fontId="10" fillId="4" borderId="1" xfId="5" applyFont="1" applyFill="1" applyBorder="1" applyAlignment="1" applyProtection="1">
      <alignment horizontal="center" vertical="top" wrapText="1"/>
    </xf>
    <xf numFmtId="0" fontId="12" fillId="2" borderId="1" xfId="5" applyFont="1" applyFill="1" applyBorder="1" applyAlignment="1" applyProtection="1">
      <alignment horizontal="left" vertical="top" wrapText="1"/>
    </xf>
    <xf numFmtId="43" fontId="12" fillId="2" borderId="1" xfId="6" applyFont="1" applyFill="1" applyBorder="1" applyAlignment="1" applyProtection="1">
      <alignment horizontal="left" vertical="top" wrapText="1"/>
    </xf>
    <xf numFmtId="43" fontId="8" fillId="2" borderId="1" xfId="6" applyFont="1" applyFill="1" applyBorder="1" applyAlignment="1" applyProtection="1">
      <alignment vertical="top" wrapText="1"/>
    </xf>
    <xf numFmtId="0" fontId="10" fillId="3" borderId="1" xfId="5" applyFont="1" applyFill="1" applyBorder="1" applyAlignment="1" applyProtection="1">
      <alignment horizontal="center" vertical="top" wrapText="1"/>
    </xf>
    <xf numFmtId="9" fontId="10" fillId="3" borderId="1" xfId="8" applyFont="1" applyFill="1" applyBorder="1" applyAlignment="1" applyProtection="1">
      <alignment vertical="top" wrapText="1"/>
    </xf>
    <xf numFmtId="0" fontId="10" fillId="4" borderId="1" xfId="5" applyNumberFormat="1" applyFont="1" applyFill="1" applyBorder="1" applyAlignment="1" applyProtection="1">
      <alignment horizontal="center" vertical="top" wrapText="1"/>
    </xf>
    <xf numFmtId="0" fontId="12" fillId="4" borderId="0" xfId="5" applyFont="1" applyFill="1" applyAlignment="1" applyProtection="1">
      <alignment wrapText="1"/>
    </xf>
    <xf numFmtId="0" fontId="10" fillId="2" borderId="1" xfId="5" applyFont="1" applyFill="1" applyBorder="1" applyAlignment="1" applyProtection="1">
      <alignment horizontal="left" vertical="top" wrapText="1"/>
    </xf>
    <xf numFmtId="0" fontId="10" fillId="2" borderId="1" xfId="5" applyFont="1" applyFill="1" applyBorder="1" applyAlignment="1" applyProtection="1">
      <alignment horizontal="center" vertical="top" wrapText="1"/>
    </xf>
    <xf numFmtId="43" fontId="10" fillId="2" borderId="1" xfId="6" applyFont="1" applyFill="1" applyBorder="1" applyAlignment="1" applyProtection="1">
      <alignment horizontal="center" vertical="center" wrapText="1"/>
    </xf>
    <xf numFmtId="165" fontId="10" fillId="2" borderId="1" xfId="6" applyNumberFormat="1" applyFont="1" applyFill="1" applyBorder="1" applyAlignment="1" applyProtection="1">
      <alignment wrapText="1"/>
    </xf>
    <xf numFmtId="0" fontId="12" fillId="2" borderId="1" xfId="5" applyFont="1" applyFill="1" applyBorder="1" applyAlignment="1" applyProtection="1">
      <alignment horizontal="center" vertical="center" wrapText="1"/>
    </xf>
    <xf numFmtId="43" fontId="12" fillId="2" borderId="1" xfId="6" applyFont="1" applyFill="1" applyBorder="1" applyAlignment="1" applyProtection="1">
      <alignment vertical="center" wrapText="1"/>
    </xf>
    <xf numFmtId="9" fontId="12" fillId="2" borderId="1" xfId="8" applyFont="1" applyFill="1" applyBorder="1" applyAlignment="1" applyProtection="1">
      <alignment vertical="center" wrapText="1"/>
    </xf>
    <xf numFmtId="43" fontId="8" fillId="4" borderId="1" xfId="6" applyFont="1" applyFill="1" applyBorder="1" applyAlignment="1" applyProtection="1">
      <alignment horizontal="left" vertical="top" wrapText="1"/>
      <protection locked="0"/>
    </xf>
    <xf numFmtId="0" fontId="12" fillId="2" borderId="1" xfId="5" applyFont="1" applyFill="1" applyBorder="1" applyAlignment="1" applyProtection="1">
      <alignment vertical="top" wrapText="1"/>
    </xf>
    <xf numFmtId="43" fontId="12" fillId="2" borderId="1" xfId="6" applyFont="1" applyFill="1" applyBorder="1" applyAlignment="1" applyProtection="1">
      <alignment vertical="top" wrapText="1"/>
    </xf>
    <xf numFmtId="43" fontId="12" fillId="2" borderId="1" xfId="6" applyFont="1" applyFill="1" applyBorder="1" applyProtection="1"/>
    <xf numFmtId="0" fontId="12" fillId="0" borderId="0" xfId="5" applyFont="1" applyProtection="1"/>
    <xf numFmtId="0" fontId="10" fillId="7" borderId="0" xfId="5" applyFont="1" applyFill="1" applyAlignment="1" applyProtection="1">
      <alignment wrapText="1"/>
    </xf>
    <xf numFmtId="43" fontId="10" fillId="7" borderId="0" xfId="6" applyFont="1" applyFill="1" applyProtection="1"/>
    <xf numFmtId="0" fontId="10" fillId="7" borderId="0" xfId="5" applyFont="1" applyFill="1" applyAlignment="1" applyProtection="1"/>
    <xf numFmtId="0" fontId="12" fillId="2" borderId="1" xfId="5" applyFont="1" applyFill="1" applyBorder="1" applyAlignment="1" applyProtection="1">
      <alignment horizontal="justify" vertical="top" wrapText="1"/>
    </xf>
    <xf numFmtId="43" fontId="4" fillId="3" borderId="1" xfId="6" applyFont="1" applyFill="1" applyBorder="1" applyAlignment="1" applyProtection="1">
      <alignment vertical="top" wrapText="1"/>
    </xf>
    <xf numFmtId="43" fontId="10" fillId="3" borderId="1" xfId="6" applyFont="1" applyFill="1" applyBorder="1" applyProtection="1"/>
    <xf numFmtId="0" fontId="10" fillId="4" borderId="1" xfId="5" applyFont="1" applyFill="1" applyBorder="1" applyAlignment="1" applyProtection="1">
      <alignment horizontal="left" vertical="top" wrapText="1"/>
    </xf>
    <xf numFmtId="43" fontId="12" fillId="2" borderId="1" xfId="6" applyFont="1" applyFill="1" applyBorder="1" applyAlignment="1" applyProtection="1">
      <alignment horizontal="justify" vertical="top" wrapText="1"/>
    </xf>
    <xf numFmtId="0" fontId="10" fillId="4" borderId="1" xfId="5" applyFont="1" applyFill="1" applyBorder="1" applyAlignment="1" applyProtection="1">
      <alignment vertical="top" wrapText="1"/>
    </xf>
    <xf numFmtId="43" fontId="12" fillId="2" borderId="1" xfId="6" applyFont="1" applyFill="1" applyBorder="1" applyAlignment="1" applyProtection="1">
      <alignment horizontal="center" vertical="top" wrapText="1"/>
    </xf>
    <xf numFmtId="2" fontId="10" fillId="4" borderId="1" xfId="5" applyNumberFormat="1" applyFont="1" applyFill="1" applyBorder="1" applyAlignment="1" applyProtection="1">
      <alignment vertical="top" wrapText="1"/>
    </xf>
    <xf numFmtId="0" fontId="10" fillId="4" borderId="1" xfId="5" applyFont="1" applyFill="1" applyBorder="1" applyAlignment="1" applyProtection="1">
      <alignment horizontal="justify" vertical="top" wrapText="1"/>
    </xf>
    <xf numFmtId="0" fontId="4" fillId="4" borderId="1" xfId="5" applyFont="1" applyFill="1" applyBorder="1" applyAlignment="1" applyProtection="1">
      <alignment horizontal="left" vertical="top" wrapText="1"/>
    </xf>
    <xf numFmtId="0" fontId="10" fillId="0" borderId="0" xfId="5" applyFont="1" applyAlignment="1" applyProtection="1"/>
    <xf numFmtId="0" fontId="12" fillId="0" borderId="0" xfId="5" applyFont="1" applyAlignment="1" applyProtection="1">
      <alignment vertical="center"/>
    </xf>
    <xf numFmtId="0" fontId="10" fillId="4" borderId="20" xfId="5" applyFont="1" applyFill="1" applyBorder="1" applyAlignment="1" applyProtection="1">
      <alignment horizontal="center" vertical="center" wrapText="1"/>
    </xf>
    <xf numFmtId="166" fontId="10" fillId="3" borderId="1" xfId="8" applyNumberFormat="1" applyFont="1" applyFill="1" applyBorder="1" applyAlignment="1" applyProtection="1">
      <alignment vertical="center" wrapText="1"/>
    </xf>
    <xf numFmtId="0" fontId="10" fillId="4" borderId="29" xfId="5" applyFont="1" applyFill="1" applyBorder="1" applyAlignment="1" applyProtection="1">
      <alignment vertical="center" wrapText="1"/>
    </xf>
    <xf numFmtId="0" fontId="10" fillId="4" borderId="0" xfId="5" applyFont="1" applyFill="1" applyBorder="1" applyAlignment="1" applyProtection="1">
      <alignment vertical="center" wrapText="1"/>
    </xf>
    <xf numFmtId="9" fontId="10" fillId="3" borderId="29" xfId="7" applyFont="1" applyFill="1" applyBorder="1" applyAlignment="1" applyProtection="1">
      <alignment vertical="center" wrapText="1"/>
    </xf>
    <xf numFmtId="0" fontId="10" fillId="4" borderId="20" xfId="5" applyFont="1" applyFill="1" applyBorder="1" applyAlignment="1" applyProtection="1">
      <alignment vertical="center" wrapText="1"/>
    </xf>
    <xf numFmtId="0" fontId="10" fillId="4" borderId="2" xfId="5" applyFont="1" applyFill="1" applyBorder="1" applyAlignment="1" applyProtection="1">
      <alignment vertical="center" wrapText="1"/>
    </xf>
    <xf numFmtId="9" fontId="10" fillId="3" borderId="20" xfId="7" applyFont="1" applyFill="1" applyBorder="1" applyAlignment="1" applyProtection="1">
      <alignment vertical="center" wrapText="1"/>
    </xf>
    <xf numFmtId="0" fontId="10" fillId="4" borderId="21" xfId="5" applyFont="1" applyFill="1" applyBorder="1" applyAlignment="1" applyProtection="1">
      <alignment vertical="center" wrapText="1"/>
    </xf>
    <xf numFmtId="0" fontId="10" fillId="4" borderId="34" xfId="5" applyFont="1" applyFill="1" applyBorder="1" applyAlignment="1" applyProtection="1">
      <alignment vertical="center" wrapText="1"/>
    </xf>
    <xf numFmtId="9" fontId="10" fillId="3" borderId="21" xfId="7" applyFont="1" applyFill="1" applyBorder="1" applyAlignment="1" applyProtection="1">
      <alignment vertical="center" wrapText="1"/>
    </xf>
    <xf numFmtId="0" fontId="10" fillId="4" borderId="32" xfId="5" applyFont="1" applyFill="1" applyBorder="1" applyAlignment="1" applyProtection="1">
      <alignment vertical="center" wrapText="1"/>
    </xf>
    <xf numFmtId="0" fontId="10" fillId="4" borderId="33" xfId="5" applyFont="1" applyFill="1" applyBorder="1" applyAlignment="1" applyProtection="1">
      <alignment vertical="center" wrapText="1"/>
    </xf>
    <xf numFmtId="0" fontId="10" fillId="4" borderId="21" xfId="5" applyFont="1" applyFill="1" applyBorder="1" applyAlignment="1" applyProtection="1">
      <alignment horizontal="justify" vertical="center" wrapText="1"/>
    </xf>
    <xf numFmtId="0" fontId="10" fillId="4" borderId="30" xfId="5" applyFont="1" applyFill="1" applyBorder="1" applyAlignment="1" applyProtection="1">
      <alignment vertical="center" wrapText="1"/>
    </xf>
    <xf numFmtId="0" fontId="4" fillId="0" borderId="0" xfId="0" applyFont="1" applyAlignment="1" applyProtection="1">
      <alignment horizontal="center" vertical="center"/>
    </xf>
    <xf numFmtId="0" fontId="4" fillId="0" borderId="0" xfId="0" applyFont="1" applyAlignment="1" applyProtection="1">
      <alignment horizontal="center" vertical="center" wrapText="1"/>
    </xf>
    <xf numFmtId="0" fontId="9" fillId="0" borderId="0" xfId="0" applyFont="1" applyAlignment="1" applyProtection="1"/>
    <xf numFmtId="0" fontId="7" fillId="0" borderId="0" xfId="3" applyFont="1" applyFill="1" applyAlignment="1" applyProtection="1">
      <alignment horizontal="center" vertical="center"/>
    </xf>
    <xf numFmtId="0" fontId="7" fillId="0" borderId="0" xfId="3" applyFont="1" applyFill="1" applyAlignment="1" applyProtection="1">
      <alignment horizontal="center" vertical="center" wrapText="1"/>
    </xf>
    <xf numFmtId="164" fontId="4" fillId="5" borderId="0" xfId="1" applyNumberFormat="1" applyFont="1" applyFill="1" applyBorder="1" applyAlignment="1" applyProtection="1">
      <alignment horizontal="center" vertical="center" wrapText="1"/>
    </xf>
    <xf numFmtId="0" fontId="9" fillId="4" borderId="0" xfId="0" applyFont="1" applyFill="1" applyProtection="1"/>
    <xf numFmtId="49" fontId="9" fillId="0" borderId="0" xfId="3" applyNumberFormat="1" applyFont="1" applyFill="1" applyAlignment="1" applyProtection="1">
      <alignment horizontal="left" vertical="center"/>
    </xf>
    <xf numFmtId="0" fontId="9" fillId="0" borderId="0" xfId="3" applyFont="1" applyFill="1" applyAlignment="1" applyProtection="1">
      <alignment horizontal="center" vertical="center"/>
    </xf>
    <xf numFmtId="49" fontId="7" fillId="2" borderId="1" xfId="3" applyNumberFormat="1" applyFont="1" applyFill="1" applyBorder="1" applyAlignment="1" applyProtection="1">
      <alignment horizontal="center" vertical="center"/>
    </xf>
    <xf numFmtId="49" fontId="9" fillId="2" borderId="1" xfId="3" applyNumberFormat="1" applyFont="1" applyFill="1" applyBorder="1" applyAlignment="1" applyProtection="1">
      <alignment horizontal="left" vertical="center"/>
    </xf>
    <xf numFmtId="49" fontId="7" fillId="2" borderId="0" xfId="3" applyNumberFormat="1" applyFont="1" applyFill="1" applyAlignment="1" applyProtection="1">
      <alignment horizontal="left" vertical="center"/>
    </xf>
    <xf numFmtId="0" fontId="7" fillId="2" borderId="15" xfId="3" applyFont="1" applyFill="1" applyBorder="1" applyAlignment="1" applyProtection="1">
      <alignment horizontal="center" wrapText="1"/>
    </xf>
    <xf numFmtId="43" fontId="7" fillId="2" borderId="1" xfId="4" applyFont="1" applyFill="1" applyBorder="1" applyProtection="1"/>
    <xf numFmtId="49" fontId="7" fillId="2" borderId="1" xfId="3" applyNumberFormat="1" applyFont="1" applyFill="1" applyBorder="1" applyAlignment="1" applyProtection="1">
      <alignment horizontal="left" vertical="center"/>
    </xf>
    <xf numFmtId="49" fontId="9" fillId="0" borderId="1" xfId="3" applyNumberFormat="1" applyFont="1" applyFill="1" applyBorder="1" applyAlignment="1" applyProtection="1">
      <alignment horizontal="left" vertical="center"/>
    </xf>
    <xf numFmtId="0" fontId="9" fillId="0" borderId="1" xfId="3" applyFont="1" applyFill="1" applyBorder="1" applyAlignment="1" applyProtection="1">
      <alignment horizontal="center" vertical="center"/>
    </xf>
    <xf numFmtId="43" fontId="9" fillId="3" borderId="1" xfId="4" applyFont="1" applyFill="1" applyBorder="1" applyProtection="1"/>
    <xf numFmtId="0" fontId="7" fillId="2" borderId="15" xfId="3" applyFont="1" applyFill="1" applyBorder="1" applyAlignment="1" applyProtection="1">
      <alignment horizontal="left" vertical="center" wrapText="1"/>
    </xf>
    <xf numFmtId="43" fontId="9" fillId="2" borderId="1" xfId="4" applyFont="1" applyFill="1" applyBorder="1" applyProtection="1"/>
    <xf numFmtId="0" fontId="9" fillId="0" borderId="16" xfId="3" applyFont="1" applyFill="1" applyBorder="1" applyAlignment="1" applyProtection="1">
      <alignment horizontal="left" vertical="center" wrapText="1"/>
    </xf>
    <xf numFmtId="0" fontId="7" fillId="2" borderId="16" xfId="3" applyFont="1" applyFill="1" applyBorder="1" applyAlignment="1" applyProtection="1">
      <alignment horizontal="left" vertical="center" wrapText="1"/>
    </xf>
    <xf numFmtId="0" fontId="7" fillId="2" borderId="1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xf>
    <xf numFmtId="43" fontId="7" fillId="2" borderId="19" xfId="4" applyNumberFormat="1" applyFont="1" applyFill="1" applyBorder="1" applyProtection="1"/>
    <xf numFmtId="0" fontId="7" fillId="2" borderId="2" xfId="3" applyFont="1" applyFill="1" applyBorder="1" applyAlignment="1" applyProtection="1">
      <alignment horizontal="center" vertical="center" wrapText="1"/>
    </xf>
    <xf numFmtId="0" fontId="9" fillId="2" borderId="20" xfId="3" applyFont="1" applyFill="1" applyBorder="1" applyAlignment="1" applyProtection="1">
      <alignment horizontal="center" vertical="center"/>
    </xf>
    <xf numFmtId="43" fontId="9" fillId="2" borderId="20" xfId="4" applyFont="1" applyFill="1" applyBorder="1" applyProtection="1"/>
    <xf numFmtId="0" fontId="7" fillId="2" borderId="16" xfId="3" applyFont="1" applyFill="1" applyBorder="1" applyAlignment="1" applyProtection="1">
      <alignment horizontal="left" wrapText="1"/>
    </xf>
    <xf numFmtId="43" fontId="9" fillId="3" borderId="1" xfId="4" applyNumberFormat="1" applyFont="1" applyFill="1" applyBorder="1" applyProtection="1"/>
    <xf numFmtId="43" fontId="9" fillId="2" borderId="21" xfId="4" applyFont="1" applyFill="1" applyBorder="1" applyProtection="1"/>
    <xf numFmtId="49" fontId="9" fillId="2" borderId="19" xfId="3" applyNumberFormat="1" applyFont="1" applyFill="1" applyBorder="1" applyAlignment="1" applyProtection="1">
      <alignment horizontal="left" vertical="center"/>
    </xf>
    <xf numFmtId="43" fontId="7" fillId="2" borderId="19" xfId="4" applyFont="1" applyFill="1" applyBorder="1" applyProtection="1"/>
    <xf numFmtId="49" fontId="9" fillId="2" borderId="20" xfId="3" applyNumberFormat="1" applyFont="1" applyFill="1" applyBorder="1" applyAlignment="1" applyProtection="1">
      <alignment horizontal="left" vertical="center"/>
    </xf>
    <xf numFmtId="0" fontId="7" fillId="2" borderId="22" xfId="3" applyFont="1" applyFill="1" applyBorder="1" applyAlignment="1" applyProtection="1">
      <alignment horizontal="center" wrapText="1"/>
    </xf>
    <xf numFmtId="0" fontId="7" fillId="2" borderId="23" xfId="3" applyFont="1" applyFill="1" applyBorder="1" applyAlignment="1" applyProtection="1">
      <alignment horizontal="center" vertical="center" wrapText="1"/>
    </xf>
    <xf numFmtId="0" fontId="9" fillId="2" borderId="21" xfId="3" applyFont="1" applyFill="1" applyBorder="1" applyAlignment="1" applyProtection="1">
      <alignment horizontal="center" vertical="center"/>
    </xf>
    <xf numFmtId="43" fontId="7" fillId="2" borderId="21" xfId="4" applyFont="1" applyFill="1" applyBorder="1" applyProtection="1"/>
    <xf numFmtId="49" fontId="7" fillId="2" borderId="24" xfId="3" applyNumberFormat="1" applyFont="1" applyFill="1" applyBorder="1" applyAlignment="1" applyProtection="1">
      <alignment horizontal="left" vertical="center"/>
    </xf>
    <xf numFmtId="0" fontId="7" fillId="2" borderId="25"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xf>
    <xf numFmtId="43" fontId="7" fillId="2" borderId="26" xfId="4" applyFont="1" applyFill="1" applyBorder="1" applyProtection="1"/>
    <xf numFmtId="49" fontId="9" fillId="0" borderId="0" xfId="3" applyNumberFormat="1" applyFont="1" applyFill="1" applyAlignment="1" applyProtection="1">
      <alignment horizontal="left"/>
    </xf>
    <xf numFmtId="0" fontId="9" fillId="0" borderId="0" xfId="3" applyFont="1" applyFill="1" applyAlignment="1" applyProtection="1">
      <alignment wrapText="1"/>
    </xf>
    <xf numFmtId="0" fontId="9" fillId="0" borderId="0" xfId="3" applyFont="1" applyFill="1" applyAlignment="1" applyProtection="1">
      <alignment horizontal="center"/>
    </xf>
    <xf numFmtId="43" fontId="9" fillId="0" borderId="0" xfId="3" applyNumberFormat="1" applyFont="1" applyFill="1" applyProtection="1"/>
    <xf numFmtId="43" fontId="11" fillId="0" borderId="0" xfId="3" applyNumberFormat="1" applyFont="1" applyFill="1" applyProtection="1"/>
    <xf numFmtId="0" fontId="5" fillId="0" borderId="0" xfId="0" applyFont="1" applyAlignment="1" applyProtection="1">
      <alignment horizontal="left" indent="21"/>
    </xf>
    <xf numFmtId="49" fontId="9" fillId="0" borderId="0" xfId="3" applyNumberFormat="1" applyFont="1" applyFill="1" applyAlignment="1" applyProtection="1">
      <alignment horizontal="center"/>
    </xf>
    <xf numFmtId="0" fontId="4" fillId="0" borderId="0" xfId="0" applyFont="1" applyAlignment="1" applyProtection="1">
      <alignment horizontal="center" vertical="center"/>
    </xf>
    <xf numFmtId="0" fontId="9" fillId="0" borderId="0" xfId="0" applyFont="1" applyBorder="1" applyProtection="1"/>
    <xf numFmtId="0" fontId="4" fillId="0" borderId="0" xfId="0" applyFont="1" applyAlignment="1" applyProtection="1">
      <alignment horizontal="left"/>
    </xf>
    <xf numFmtId="0" fontId="8" fillId="2" borderId="1" xfId="0" applyFont="1" applyFill="1" applyBorder="1" applyAlignment="1" applyProtection="1">
      <alignment horizontal="center" vertical="center" wrapText="1"/>
    </xf>
    <xf numFmtId="0" fontId="4" fillId="0" borderId="0" xfId="0" applyFont="1" applyAlignment="1" applyProtection="1">
      <alignment horizontal="center" vertical="center"/>
    </xf>
    <xf numFmtId="0" fontId="10" fillId="4" borderId="1" xfId="5" applyFont="1" applyFill="1" applyBorder="1" applyAlignment="1" applyProtection="1">
      <alignment vertical="center" wrapText="1"/>
    </xf>
    <xf numFmtId="0" fontId="8" fillId="4" borderId="0" xfId="5" applyFont="1" applyFill="1" applyAlignment="1" applyProtection="1">
      <alignment horizontal="center" wrapText="1"/>
    </xf>
    <xf numFmtId="0" fontId="12" fillId="4" borderId="0" xfId="5" applyFont="1" applyFill="1" applyAlignment="1" applyProtection="1">
      <alignment horizontal="center"/>
    </xf>
    <xf numFmtId="0" fontId="10" fillId="4" borderId="1" xfId="5" applyFont="1" applyFill="1" applyBorder="1" applyAlignment="1" applyProtection="1">
      <alignment horizontal="justify" vertical="center" wrapText="1"/>
    </xf>
    <xf numFmtId="0" fontId="12" fillId="4" borderId="0" xfId="0" applyFont="1" applyFill="1" applyAlignment="1" applyProtection="1">
      <alignment horizontal="center"/>
    </xf>
    <xf numFmtId="43" fontId="9" fillId="2" borderId="1" xfId="0" applyNumberFormat="1" applyFont="1" applyFill="1" applyBorder="1" applyAlignment="1" applyProtection="1">
      <alignment vertical="center" wrapText="1"/>
    </xf>
    <xf numFmtId="0" fontId="9" fillId="0" borderId="0" xfId="0" applyFont="1" applyBorder="1" applyAlignment="1" applyProtection="1">
      <alignment vertical="center" wrapText="1"/>
    </xf>
    <xf numFmtId="0" fontId="9" fillId="0" borderId="0" xfId="0" applyFont="1" applyBorder="1" applyAlignment="1" applyProtection="1">
      <alignment vertical="center"/>
    </xf>
    <xf numFmtId="0" fontId="4" fillId="6" borderId="0" xfId="0" applyFont="1" applyFill="1" applyAlignment="1" applyProtection="1">
      <alignment vertical="center" wrapText="1"/>
    </xf>
    <xf numFmtId="0" fontId="8" fillId="6" borderId="36" xfId="0" applyFont="1" applyFill="1" applyBorder="1" applyAlignment="1" applyProtection="1">
      <alignment vertical="center"/>
    </xf>
    <xf numFmtId="0" fontId="4" fillId="6" borderId="0" xfId="0" applyFont="1" applyFill="1" applyAlignment="1" applyProtection="1">
      <alignment vertical="center"/>
    </xf>
    <xf numFmtId="0" fontId="9" fillId="0" borderId="0" xfId="0" applyFont="1" applyAlignment="1" applyProtection="1">
      <alignment vertical="center" wrapText="1"/>
    </xf>
    <xf numFmtId="0" fontId="9" fillId="2" borderId="1"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0" borderId="0" xfId="0" applyFont="1" applyAlignment="1" applyProtection="1">
      <alignment horizontal="right" vertical="center"/>
    </xf>
    <xf numFmtId="0" fontId="7" fillId="0" borderId="0" xfId="0" applyFont="1" applyAlignment="1" applyProtection="1">
      <alignment horizontal="center" vertical="center"/>
    </xf>
    <xf numFmtId="0" fontId="9" fillId="0" borderId="0" xfId="0" applyFont="1" applyBorder="1" applyAlignment="1" applyProtection="1">
      <alignment horizontal="center" vertical="center" wrapText="1"/>
    </xf>
    <xf numFmtId="0" fontId="4" fillId="0" borderId="0" xfId="0" applyFont="1" applyBorder="1" applyAlignment="1" applyProtection="1">
      <alignment horizontal="right" vertical="center" wrapText="1"/>
    </xf>
    <xf numFmtId="0" fontId="4" fillId="2" borderId="1" xfId="0" applyFont="1" applyFill="1" applyBorder="1" applyAlignment="1" applyProtection="1">
      <alignment horizontal="center" vertical="center" textRotation="90"/>
    </xf>
    <xf numFmtId="0" fontId="8" fillId="2" borderId="15" xfId="0" applyFont="1" applyFill="1" applyBorder="1" applyAlignment="1" applyProtection="1">
      <alignment horizontal="center" vertical="center"/>
    </xf>
    <xf numFmtId="0" fontId="8" fillId="2" borderId="39"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43" fontId="4" fillId="2" borderId="1" xfId="0" applyNumberFormat="1" applyFont="1" applyFill="1" applyBorder="1" applyAlignment="1" applyProtection="1">
      <alignment vertical="center"/>
    </xf>
    <xf numFmtId="0" fontId="17" fillId="0" borderId="0" xfId="0" applyFont="1" applyBorder="1" applyAlignment="1" applyProtection="1">
      <alignment vertical="center"/>
    </xf>
    <xf numFmtId="0" fontId="4" fillId="0" borderId="0" xfId="0" applyFont="1" applyBorder="1" applyAlignment="1" applyProtection="1">
      <alignment vertical="center"/>
    </xf>
    <xf numFmtId="0" fontId="18" fillId="0" borderId="0" xfId="0" applyFont="1" applyBorder="1" applyAlignment="1" applyProtection="1">
      <alignment vertical="center"/>
    </xf>
    <xf numFmtId="0" fontId="9" fillId="0" borderId="35" xfId="0" applyFont="1" applyBorder="1" applyProtection="1"/>
    <xf numFmtId="0" fontId="4" fillId="2" borderId="15" xfId="0" applyFont="1" applyFill="1" applyBorder="1" applyAlignment="1" applyProtection="1">
      <alignment horizontal="center" vertical="center"/>
    </xf>
    <xf numFmtId="0" fontId="4" fillId="0" borderId="0" xfId="0" applyFont="1" applyAlignment="1" applyProtection="1">
      <alignment horizontal="left" vertical="center" indent="1"/>
    </xf>
    <xf numFmtId="0" fontId="4" fillId="0" borderId="0" xfId="0" applyFont="1" applyAlignment="1" applyProtection="1">
      <alignment horizontal="right" vertical="center"/>
    </xf>
    <xf numFmtId="0" fontId="9" fillId="0" borderId="0" xfId="0" applyFont="1" applyAlignment="1" applyProtection="1">
      <alignment horizontal="center" vertical="center" wrapText="1"/>
    </xf>
    <xf numFmtId="0" fontId="9" fillId="0" borderId="0" xfId="0" applyFont="1" applyAlignment="1" applyProtection="1">
      <alignment horizontal="center"/>
    </xf>
    <xf numFmtId="0" fontId="4" fillId="2" borderId="1" xfId="0" applyFont="1" applyFill="1" applyBorder="1" applyAlignment="1" applyProtection="1">
      <alignment horizontal="center" vertical="center" textRotation="90" wrapText="1"/>
    </xf>
    <xf numFmtId="0" fontId="4" fillId="2" borderId="15" xfId="0" applyFont="1" applyFill="1" applyBorder="1" applyAlignment="1" applyProtection="1">
      <alignment horizontal="center" vertical="center" wrapText="1"/>
    </xf>
    <xf numFmtId="43" fontId="9" fillId="0" borderId="1" xfId="0" applyNumberFormat="1" applyFont="1" applyBorder="1" applyAlignment="1" applyProtection="1">
      <alignment vertical="center" wrapText="1"/>
      <protection locked="0"/>
    </xf>
    <xf numFmtId="43" fontId="9" fillId="0" borderId="1" xfId="0" applyNumberFormat="1" applyFont="1" applyBorder="1" applyAlignment="1" applyProtection="1">
      <alignment vertical="center"/>
      <protection locked="0"/>
    </xf>
    <xf numFmtId="0" fontId="9" fillId="0" borderId="15" xfId="0" applyFont="1" applyBorder="1" applyAlignment="1" applyProtection="1">
      <alignment horizontal="center" vertical="center" wrapText="1"/>
      <protection locked="0"/>
    </xf>
    <xf numFmtId="43" fontId="9" fillId="0" borderId="15" xfId="0" applyNumberFormat="1"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43" fontId="4" fillId="0" borderId="1" xfId="0" applyNumberFormat="1" applyFont="1" applyBorder="1" applyAlignment="1" applyProtection="1">
      <alignment horizontal="center" vertical="center" wrapText="1"/>
      <protection locked="0"/>
    </xf>
    <xf numFmtId="43" fontId="4" fillId="0" borderId="15"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43" fontId="4" fillId="0" borderId="1" xfId="0" applyNumberFormat="1" applyFont="1" applyBorder="1" applyAlignment="1" applyProtection="1">
      <alignment vertical="center"/>
      <protection locked="0"/>
    </xf>
    <xf numFmtId="43" fontId="17" fillId="0" borderId="1" xfId="0" applyNumberFormat="1" applyFont="1" applyBorder="1" applyAlignment="1" applyProtection="1">
      <alignment vertical="center"/>
      <protection locked="0"/>
    </xf>
    <xf numFmtId="43" fontId="8" fillId="6" borderId="1" xfId="0" applyNumberFormat="1" applyFont="1" applyFill="1" applyBorder="1" applyAlignment="1" applyProtection="1">
      <alignment horizontal="center" vertical="center" wrapText="1"/>
      <protection locked="0"/>
    </xf>
    <xf numFmtId="43" fontId="4" fillId="0" borderId="15" xfId="0" applyNumberFormat="1" applyFont="1" applyBorder="1" applyAlignment="1" applyProtection="1">
      <alignment vertical="center"/>
      <protection locked="0"/>
    </xf>
    <xf numFmtId="0" fontId="9" fillId="2" borderId="1" xfId="2" applyFont="1" applyFill="1" applyBorder="1" applyProtection="1"/>
    <xf numFmtId="0" fontId="9" fillId="2" borderId="1" xfId="0" applyFont="1" applyFill="1" applyBorder="1" applyProtection="1"/>
    <xf numFmtId="1" fontId="7" fillId="2" borderId="1" xfId="0" applyNumberFormat="1" applyFont="1" applyFill="1" applyBorder="1" applyAlignment="1" applyProtection="1">
      <alignment horizontal="center"/>
    </xf>
    <xf numFmtId="43" fontId="9" fillId="3" borderId="1" xfId="0" applyNumberFormat="1" applyFont="1" applyFill="1" applyBorder="1" applyProtection="1"/>
    <xf numFmtId="1" fontId="7" fillId="0" borderId="1" xfId="0" applyNumberFormat="1" applyFont="1" applyBorder="1" applyAlignment="1" applyProtection="1">
      <alignment horizontal="center"/>
    </xf>
    <xf numFmtId="0" fontId="9" fillId="0" borderId="1" xfId="2" applyFont="1" applyBorder="1" applyProtection="1"/>
    <xf numFmtId="0" fontId="9" fillId="0" borderId="1" xfId="0" applyFont="1" applyBorder="1" applyProtection="1"/>
    <xf numFmtId="0" fontId="7" fillId="2" borderId="1" xfId="2" applyFont="1" applyFill="1" applyBorder="1" applyProtection="1"/>
    <xf numFmtId="0" fontId="7" fillId="2" borderId="1" xfId="0" applyFont="1" applyFill="1" applyBorder="1" applyProtection="1"/>
    <xf numFmtId="1" fontId="7" fillId="2" borderId="1" xfId="0" applyNumberFormat="1" applyFont="1" applyFill="1" applyBorder="1" applyAlignment="1" applyProtection="1">
      <alignment horizontal="center" vertical="center"/>
    </xf>
    <xf numFmtId="43" fontId="7" fillId="2" borderId="1" xfId="0" applyNumberFormat="1" applyFont="1" applyFill="1" applyBorder="1" applyProtection="1"/>
    <xf numFmtId="0" fontId="7" fillId="2" borderId="1" xfId="0" applyFont="1" applyFill="1" applyBorder="1" applyAlignment="1" applyProtection="1">
      <alignment horizontal="center" vertical="center"/>
    </xf>
    <xf numFmtId="0" fontId="7" fillId="0" borderId="0" xfId="2" applyFont="1" applyProtection="1"/>
    <xf numFmtId="0" fontId="7" fillId="2" borderId="1" xfId="0" applyFont="1" applyFill="1" applyBorder="1" applyAlignment="1" applyProtection="1">
      <alignment horizontal="center" wrapText="1"/>
    </xf>
    <xf numFmtId="1" fontId="7" fillId="0" borderId="1" xfId="0" applyNumberFormat="1" applyFont="1" applyBorder="1" applyAlignment="1" applyProtection="1">
      <alignment horizontal="center" vertical="center"/>
    </xf>
    <xf numFmtId="2" fontId="9" fillId="0" borderId="1" xfId="2" applyNumberFormat="1" applyFont="1" applyBorder="1" applyProtection="1"/>
    <xf numFmtId="0" fontId="7" fillId="2" borderId="1" xfId="2" applyFont="1" applyFill="1" applyBorder="1" applyAlignment="1" applyProtection="1">
      <alignment horizontal="center" vertical="center"/>
    </xf>
    <xf numFmtId="0" fontId="7" fillId="2" borderId="1" xfId="0" applyFont="1" applyFill="1" applyBorder="1" applyAlignment="1" applyProtection="1">
      <alignment wrapText="1"/>
    </xf>
    <xf numFmtId="0" fontId="9" fillId="0" borderId="1" xfId="2" applyFont="1" applyBorder="1" applyAlignment="1" applyProtection="1">
      <alignment horizontal="center" vertical="center"/>
    </xf>
    <xf numFmtId="0" fontId="9" fillId="4" borderId="1" xfId="0" applyFont="1" applyFill="1" applyBorder="1" applyAlignment="1">
      <alignment vertical="center" wrapText="1"/>
    </xf>
    <xf numFmtId="164" fontId="10" fillId="4" borderId="1" xfId="6" applyNumberFormat="1" applyFont="1" applyFill="1" applyBorder="1" applyAlignment="1" applyProtection="1">
      <alignment vertical="center"/>
      <protection locked="0"/>
    </xf>
    <xf numFmtId="0" fontId="4" fillId="5" borderId="0" xfId="0" applyFont="1" applyFill="1" applyBorder="1" applyAlignment="1" applyProtection="1">
      <alignment horizontal="left" vertical="center" wrapText="1"/>
    </xf>
    <xf numFmtId="0" fontId="10" fillId="0" borderId="0" xfId="0" applyFont="1" applyAlignment="1" applyProtection="1">
      <alignment horizontal="center"/>
    </xf>
    <xf numFmtId="0" fontId="10" fillId="0" borderId="0" xfId="0" applyFont="1" applyAlignment="1" applyProtection="1">
      <alignment vertical="center"/>
    </xf>
    <xf numFmtId="0" fontId="10" fillId="0" borderId="0" xfId="0" applyFont="1" applyAlignment="1" applyProtection="1"/>
    <xf numFmtId="0" fontId="4" fillId="0" borderId="0" xfId="0" applyFont="1" applyAlignment="1" applyProtection="1">
      <alignment horizontal="center"/>
    </xf>
    <xf numFmtId="0" fontId="8" fillId="5" borderId="0" xfId="0" applyFont="1" applyFill="1" applyBorder="1" applyAlignment="1" applyProtection="1">
      <alignment horizontal="center" wrapText="1"/>
    </xf>
    <xf numFmtId="0" fontId="5" fillId="0" borderId="0" xfId="0" applyFont="1" applyAlignment="1" applyProtection="1">
      <alignment horizontal="right"/>
    </xf>
    <xf numFmtId="49" fontId="8" fillId="2" borderId="3" xfId="0" applyNumberFormat="1" applyFont="1" applyFill="1" applyBorder="1" applyAlignment="1" applyProtection="1">
      <alignment horizontal="center" vertical="center" wrapText="1"/>
    </xf>
    <xf numFmtId="0" fontId="8" fillId="2" borderId="3" xfId="0" applyFont="1" applyFill="1" applyBorder="1" applyAlignment="1" applyProtection="1">
      <alignment vertical="center" wrapText="1"/>
    </xf>
    <xf numFmtId="0" fontId="10" fillId="0" borderId="0" xfId="0" applyFont="1" applyProtection="1"/>
    <xf numFmtId="49" fontId="4" fillId="2" borderId="3" xfId="0" applyNumberFormat="1" applyFont="1" applyFill="1" applyBorder="1" applyAlignment="1" applyProtection="1">
      <alignment horizontal="center" vertical="center" wrapText="1"/>
    </xf>
    <xf numFmtId="43" fontId="4" fillId="0" borderId="3" xfId="0" applyNumberFormat="1" applyFont="1" applyFill="1" applyBorder="1" applyProtection="1">
      <protection locked="0"/>
    </xf>
    <xf numFmtId="43" fontId="8" fillId="2" borderId="3" xfId="0" applyNumberFormat="1" applyFont="1" applyFill="1" applyBorder="1" applyProtection="1"/>
    <xf numFmtId="43" fontId="8" fillId="2" borderId="4" xfId="1" applyNumberFormat="1" applyFont="1" applyFill="1" applyBorder="1" applyProtection="1"/>
    <xf numFmtId="9" fontId="4" fillId="2" borderId="3" xfId="8" applyFont="1" applyFill="1" applyBorder="1" applyProtection="1"/>
    <xf numFmtId="0" fontId="7" fillId="2" borderId="3" xfId="0" applyFont="1" applyFill="1" applyBorder="1" applyAlignment="1" applyProtection="1">
      <alignment vertical="center" wrapText="1"/>
    </xf>
    <xf numFmtId="43" fontId="8" fillId="2" borderId="3" xfId="1" applyNumberFormat="1" applyFont="1" applyFill="1" applyBorder="1" applyProtection="1"/>
    <xf numFmtId="49" fontId="4" fillId="0" borderId="3" xfId="0" applyNumberFormat="1" applyFont="1" applyBorder="1" applyAlignment="1" applyProtection="1">
      <alignment horizontal="center" vertical="center" wrapText="1"/>
    </xf>
    <xf numFmtId="0" fontId="9" fillId="7" borderId="1" xfId="0" applyFont="1" applyFill="1" applyBorder="1" applyAlignment="1" applyProtection="1">
      <alignment vertical="center" wrapText="1"/>
    </xf>
    <xf numFmtId="43" fontId="4" fillId="0" borderId="3" xfId="1" applyNumberFormat="1" applyFont="1" applyFill="1" applyBorder="1" applyProtection="1">
      <protection locked="0"/>
    </xf>
    <xf numFmtId="43" fontId="4" fillId="3" borderId="4" xfId="1" applyNumberFormat="1" applyFont="1" applyFill="1" applyBorder="1" applyProtection="1"/>
    <xf numFmtId="43" fontId="8" fillId="3" borderId="3" xfId="1" applyNumberFormat="1" applyFont="1" applyFill="1" applyBorder="1" applyProtection="1"/>
    <xf numFmtId="43" fontId="4" fillId="3" borderId="5" xfId="1" applyNumberFormat="1" applyFont="1" applyFill="1" applyBorder="1" applyProtection="1"/>
    <xf numFmtId="0" fontId="4" fillId="0" borderId="4" xfId="0" applyFont="1" applyBorder="1" applyAlignment="1" applyProtection="1">
      <alignment horizontal="center" vertical="center" wrapText="1"/>
    </xf>
    <xf numFmtId="0" fontId="4" fillId="3" borderId="1" xfId="0" applyFont="1" applyFill="1" applyBorder="1" applyAlignment="1" applyProtection="1"/>
    <xf numFmtId="43" fontId="4" fillId="3" borderId="1" xfId="1" applyNumberFormat="1" applyFont="1" applyFill="1" applyBorder="1" applyProtection="1"/>
    <xf numFmtId="43" fontId="4" fillId="3" borderId="10" xfId="1" applyNumberFormat="1" applyFont="1" applyFill="1" applyBorder="1" applyProtection="1"/>
    <xf numFmtId="43" fontId="4" fillId="3" borderId="40" xfId="1" applyNumberFormat="1" applyFont="1" applyFill="1" applyBorder="1" applyProtection="1"/>
    <xf numFmtId="0" fontId="12" fillId="2" borderId="1" xfId="0" applyFont="1" applyFill="1" applyBorder="1" applyAlignment="1" applyProtection="1">
      <alignment horizontal="center"/>
    </xf>
    <xf numFmtId="0" fontId="8" fillId="2" borderId="1" xfId="0" applyFont="1" applyFill="1" applyBorder="1" applyAlignment="1" applyProtection="1">
      <alignment vertical="center" wrapText="1"/>
    </xf>
    <xf numFmtId="0" fontId="10" fillId="2" borderId="1" xfId="0" applyFont="1" applyFill="1" applyBorder="1" applyProtection="1"/>
    <xf numFmtId="0" fontId="12" fillId="2" borderId="1" xfId="0" applyFont="1" applyFill="1" applyBorder="1" applyProtection="1"/>
    <xf numFmtId="43" fontId="12" fillId="2" borderId="1" xfId="0" applyNumberFormat="1" applyFont="1" applyFill="1" applyBorder="1" applyProtection="1"/>
    <xf numFmtId="43" fontId="8" fillId="2" borderId="1" xfId="1" applyNumberFormat="1" applyFont="1" applyFill="1" applyBorder="1" applyProtection="1"/>
    <xf numFmtId="0" fontId="13" fillId="0" borderId="0" xfId="0" applyFont="1" applyProtection="1"/>
    <xf numFmtId="0" fontId="16" fillId="0" borderId="0" xfId="0" applyFont="1" applyProtection="1"/>
    <xf numFmtId="43" fontId="13" fillId="0" borderId="0" xfId="0" applyNumberFormat="1" applyFont="1" applyProtection="1"/>
    <xf numFmtId="0" fontId="4" fillId="0" borderId="0" xfId="0" applyFont="1" applyAlignment="1" applyProtection="1">
      <alignment horizontal="center" wrapText="1"/>
    </xf>
    <xf numFmtId="0" fontId="8" fillId="0" borderId="0" xfId="0" applyFont="1" applyAlignment="1" applyProtection="1">
      <alignment horizontal="center" wrapText="1"/>
    </xf>
    <xf numFmtId="0" fontId="0" fillId="0" borderId="0" xfId="0" applyFont="1" applyAlignment="1" applyProtection="1"/>
    <xf numFmtId="49" fontId="8" fillId="0" borderId="0" xfId="0" applyNumberFormat="1" applyFont="1" applyAlignment="1" applyProtection="1">
      <alignment horizontal="left" wrapText="1"/>
    </xf>
    <xf numFmtId="0" fontId="19" fillId="0" borderId="0" xfId="0" applyFont="1" applyBorder="1" applyAlignment="1" applyProtection="1"/>
    <xf numFmtId="0" fontId="8" fillId="5" borderId="0" xfId="0" applyFont="1" applyFill="1" applyBorder="1" applyAlignment="1" applyProtection="1">
      <alignment horizontal="center" vertical="center" wrapText="1"/>
    </xf>
    <xf numFmtId="0" fontId="8" fillId="0" borderId="0" xfId="0" applyFont="1" applyAlignment="1" applyProtection="1">
      <alignment wrapText="1"/>
    </xf>
    <xf numFmtId="43" fontId="4" fillId="2" borderId="3" xfId="1" applyFont="1" applyFill="1" applyBorder="1" applyProtection="1"/>
    <xf numFmtId="0" fontId="21" fillId="0" borderId="1" xfId="0" applyFont="1" applyBorder="1" applyAlignment="1" applyProtection="1">
      <alignment vertical="center"/>
    </xf>
    <xf numFmtId="2" fontId="10" fillId="0" borderId="1" xfId="1" applyNumberFormat="1" applyFont="1" applyBorder="1" applyProtection="1">
      <protection locked="0"/>
    </xf>
    <xf numFmtId="43" fontId="4" fillId="0" borderId="7" xfId="1" applyFont="1" applyBorder="1" applyProtection="1">
      <protection locked="0"/>
    </xf>
    <xf numFmtId="43" fontId="4" fillId="0" borderId="3" xfId="1" applyFont="1" applyBorder="1" applyProtection="1">
      <protection locked="0"/>
    </xf>
    <xf numFmtId="43" fontId="4" fillId="3" borderId="3" xfId="1" applyFont="1" applyFill="1" applyBorder="1" applyProtection="1"/>
    <xf numFmtId="4" fontId="21" fillId="0" borderId="1" xfId="0" applyNumberFormat="1" applyFont="1" applyBorder="1" applyAlignment="1" applyProtection="1">
      <alignment vertical="center"/>
    </xf>
    <xf numFmtId="0" fontId="22" fillId="0" borderId="0" xfId="0" applyFont="1" applyAlignment="1" applyProtection="1"/>
    <xf numFmtId="0" fontId="5" fillId="0" borderId="0" xfId="0" applyFont="1" applyAlignment="1" applyProtection="1"/>
    <xf numFmtId="0" fontId="0" fillId="0" borderId="0" xfId="0" applyAlignment="1" applyProtection="1"/>
    <xf numFmtId="0" fontId="23" fillId="0" borderId="0" xfId="0" applyFont="1" applyProtection="1"/>
    <xf numFmtId="49" fontId="0" fillId="0" borderId="0" xfId="0" applyNumberFormat="1" applyFont="1" applyAlignment="1" applyProtection="1">
      <alignment horizontal="left"/>
    </xf>
    <xf numFmtId="0" fontId="14" fillId="0" borderId="0" xfId="0" applyFont="1" applyAlignment="1" applyProtection="1"/>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wrapText="1"/>
    </xf>
    <xf numFmtId="0" fontId="7" fillId="0" borderId="0" xfId="2" applyFont="1" applyAlignment="1">
      <alignment horizontal="center"/>
    </xf>
    <xf numFmtId="0" fontId="9" fillId="0" borderId="0" xfId="2" applyFont="1" applyAlignment="1">
      <alignment horizontal="right" wrapText="1"/>
    </xf>
    <xf numFmtId="0" fontId="4" fillId="0" borderId="0" xfId="0" applyFont="1" applyAlignment="1" applyProtection="1">
      <alignment horizontal="center" vertical="center"/>
    </xf>
    <xf numFmtId="0" fontId="9" fillId="0" borderId="0" xfId="2" applyFont="1" applyAlignment="1" applyProtection="1">
      <alignment horizontal="right" wrapText="1"/>
    </xf>
    <xf numFmtId="0" fontId="7" fillId="0" borderId="0" xfId="0" applyFont="1" applyAlignment="1" applyProtection="1">
      <alignment horizontal="center"/>
    </xf>
    <xf numFmtId="0" fontId="4" fillId="2" borderId="1" xfId="0" applyNumberFormat="1" applyFont="1" applyFill="1" applyBorder="1" applyAlignment="1" applyProtection="1">
      <alignment horizontal="center" vertical="center" wrapText="1"/>
    </xf>
    <xf numFmtId="0" fontId="4" fillId="0" borderId="0" xfId="0" applyNumberFormat="1" applyFont="1" applyAlignment="1" applyProtection="1">
      <alignment horizontal="right" vertical="center" wrapText="1"/>
    </xf>
    <xf numFmtId="0" fontId="8" fillId="0" borderId="0" xfId="0" applyNumberFormat="1" applyFont="1" applyAlignment="1" applyProtection="1">
      <alignment horizontal="center"/>
    </xf>
    <xf numFmtId="0" fontId="10" fillId="0" borderId="0" xfId="0" applyNumberFormat="1" applyFont="1" applyAlignment="1" applyProtection="1"/>
    <xf numFmtId="0" fontId="4" fillId="5" borderId="0" xfId="0" applyNumberFormat="1" applyFont="1" applyFill="1" applyBorder="1" applyAlignment="1" applyProtection="1">
      <alignment horizontal="left" vertical="center" wrapText="1"/>
    </xf>
    <xf numFmtId="0" fontId="9" fillId="0" borderId="0" xfId="0" applyNumberFormat="1" applyFont="1" applyBorder="1" applyProtection="1"/>
    <xf numFmtId="0" fontId="4" fillId="5" borderId="0" xfId="0" applyNumberFormat="1" applyFont="1" applyFill="1" applyBorder="1" applyAlignment="1" applyProtection="1">
      <alignment horizontal="center" vertical="center" wrapText="1"/>
    </xf>
    <xf numFmtId="0" fontId="9" fillId="2" borderId="1" xfId="0" applyNumberFormat="1" applyFont="1" applyFill="1" applyBorder="1" applyAlignment="1" applyProtection="1">
      <alignment horizontal="center"/>
    </xf>
    <xf numFmtId="0" fontId="4" fillId="0" borderId="0" xfId="0" applyFont="1" applyAlignment="1" applyProtection="1">
      <alignment horizontal="center" vertical="center" wrapText="1"/>
    </xf>
    <xf numFmtId="0" fontId="8" fillId="0" borderId="0" xfId="0" applyFont="1" applyAlignment="1" applyProtection="1">
      <alignment horizontal="center" vertical="top" wrapText="1"/>
    </xf>
    <xf numFmtId="0" fontId="4" fillId="0" borderId="0" xfId="0" applyFont="1" applyAlignment="1" applyProtection="1">
      <alignment horizontal="right"/>
    </xf>
    <xf numFmtId="0" fontId="0" fillId="0" borderId="0" xfId="0" applyFont="1" applyAlignment="1" applyProtection="1"/>
    <xf numFmtId="0" fontId="5" fillId="0" borderId="0" xfId="0" applyFont="1" applyAlignment="1" applyProtection="1">
      <alignment horizontal="right"/>
    </xf>
    <xf numFmtId="0" fontId="4" fillId="0" borderId="0" xfId="0" applyFont="1" applyAlignment="1" applyProtection="1">
      <alignment horizontal="right" wrapText="1"/>
    </xf>
    <xf numFmtId="0" fontId="8" fillId="0" borderId="0" xfId="0" applyFont="1" applyAlignment="1" applyProtection="1">
      <alignment horizontal="center"/>
    </xf>
    <xf numFmtId="0" fontId="4" fillId="5" borderId="0" xfId="0" applyFont="1" applyFill="1" applyBorder="1" applyAlignment="1" applyProtection="1">
      <alignment horizontal="left" vertical="center" wrapText="1"/>
    </xf>
    <xf numFmtId="0" fontId="19" fillId="0" borderId="0" xfId="0" applyFont="1" applyBorder="1" applyProtection="1"/>
    <xf numFmtId="49" fontId="8" fillId="2" borderId="5" xfId="0" applyNumberFormat="1" applyFont="1" applyFill="1" applyBorder="1" applyAlignment="1" applyProtection="1">
      <alignment horizontal="left" vertical="center" wrapText="1"/>
    </xf>
    <xf numFmtId="49" fontId="19" fillId="2" borderId="8" xfId="0" applyNumberFormat="1" applyFont="1" applyFill="1" applyBorder="1" applyAlignment="1" applyProtection="1">
      <alignment horizontal="left"/>
    </xf>
    <xf numFmtId="49" fontId="19" fillId="2" borderId="10" xfId="0" applyNumberFormat="1" applyFont="1" applyFill="1" applyBorder="1" applyAlignment="1" applyProtection="1">
      <alignment horizontal="left"/>
    </xf>
    <xf numFmtId="0" fontId="8" fillId="2" borderId="5" xfId="0" applyFont="1" applyFill="1" applyBorder="1" applyAlignment="1" applyProtection="1">
      <alignment horizontal="center" vertical="center" wrapText="1"/>
    </xf>
    <xf numFmtId="0" fontId="20" fillId="2" borderId="8" xfId="0" applyFont="1" applyFill="1" applyBorder="1" applyProtection="1"/>
    <xf numFmtId="0" fontId="20" fillId="2" borderId="10" xfId="0" applyFont="1" applyFill="1" applyBorder="1" applyProtection="1"/>
    <xf numFmtId="0" fontId="19" fillId="2" borderId="8" xfId="0" applyFont="1" applyFill="1" applyBorder="1" applyProtection="1"/>
    <xf numFmtId="0" fontId="19" fillId="2" borderId="10" xfId="0" applyFont="1" applyFill="1" applyBorder="1" applyProtection="1"/>
    <xf numFmtId="0" fontId="8" fillId="2" borderId="4" xfId="0" applyFont="1" applyFill="1" applyBorder="1" applyAlignment="1" applyProtection="1">
      <alignment horizontal="center" vertical="center" wrapText="1"/>
    </xf>
    <xf numFmtId="0" fontId="19" fillId="2" borderId="6" xfId="0" applyFont="1" applyFill="1" applyBorder="1" applyProtection="1"/>
    <xf numFmtId="0" fontId="19" fillId="2" borderId="7" xfId="0" applyFont="1" applyFill="1" applyBorder="1" applyProtection="1"/>
    <xf numFmtId="0" fontId="4" fillId="2" borderId="5" xfId="0" applyFont="1" applyFill="1" applyBorder="1" applyAlignment="1" applyProtection="1">
      <alignment horizontal="center" vertical="center" wrapText="1"/>
    </xf>
    <xf numFmtId="0" fontId="4" fillId="5" borderId="0" xfId="0" applyFont="1" applyFill="1" applyBorder="1" applyAlignment="1" applyProtection="1">
      <alignment horizontal="right" vertical="center" wrapText="1"/>
    </xf>
    <xf numFmtId="0" fontId="4" fillId="2" borderId="4" xfId="0" applyFont="1" applyFill="1" applyBorder="1" applyAlignment="1" applyProtection="1">
      <alignment horizontal="center" wrapText="1"/>
    </xf>
    <xf numFmtId="0" fontId="19" fillId="2" borderId="9" xfId="0" applyFont="1" applyFill="1" applyBorder="1" applyProtection="1"/>
    <xf numFmtId="0" fontId="9" fillId="0" borderId="0" xfId="0" applyFont="1" applyAlignment="1" applyProtection="1"/>
    <xf numFmtId="49" fontId="9" fillId="2" borderId="8" xfId="0" applyNumberFormat="1" applyFont="1" applyFill="1" applyBorder="1" applyAlignment="1" applyProtection="1">
      <alignment horizontal="left"/>
    </xf>
    <xf numFmtId="49" fontId="9" fillId="2" borderId="10" xfId="0" applyNumberFormat="1" applyFont="1" applyFill="1" applyBorder="1" applyAlignment="1" applyProtection="1">
      <alignment horizontal="left"/>
    </xf>
    <xf numFmtId="0" fontId="9" fillId="2" borderId="8" xfId="0" applyFont="1" applyFill="1" applyBorder="1" applyProtection="1"/>
    <xf numFmtId="0" fontId="9" fillId="2" borderId="10" xfId="0" applyFont="1" applyFill="1" applyBorder="1" applyProtection="1"/>
    <xf numFmtId="0" fontId="9" fillId="2" borderId="6" xfId="0" applyFont="1" applyFill="1" applyBorder="1" applyProtection="1"/>
    <xf numFmtId="0" fontId="9" fillId="2" borderId="7" xfId="0" applyFont="1" applyFill="1" applyBorder="1" applyProtection="1"/>
    <xf numFmtId="0" fontId="9" fillId="2" borderId="9" xfId="0" applyFont="1" applyFill="1" applyBorder="1" applyProtection="1"/>
    <xf numFmtId="0" fontId="7" fillId="0" borderId="0" xfId="3" applyFont="1" applyFill="1" applyAlignment="1" applyProtection="1">
      <alignment horizontal="center" vertical="center"/>
    </xf>
    <xf numFmtId="0" fontId="9" fillId="0" borderId="0" xfId="0" applyFont="1" applyAlignment="1" applyProtection="1">
      <alignment horizontal="left" vertical="center" wrapText="1"/>
    </xf>
    <xf numFmtId="0" fontId="9" fillId="0" borderId="0" xfId="0" applyFont="1" applyAlignment="1" applyProtection="1">
      <alignment horizontal="right" wrapText="1"/>
    </xf>
    <xf numFmtId="0" fontId="9" fillId="0" borderId="0" xfId="0" applyFont="1" applyAlignment="1" applyProtection="1">
      <alignment horizontal="right"/>
    </xf>
    <xf numFmtId="0" fontId="7" fillId="0" borderId="0" xfId="3" applyFont="1" applyFill="1" applyAlignment="1" applyProtection="1">
      <alignment horizontal="center" vertical="center" wrapText="1"/>
    </xf>
    <xf numFmtId="164" fontId="4" fillId="5" borderId="28" xfId="1" applyNumberFormat="1" applyFont="1" applyFill="1" applyBorder="1" applyAlignment="1" applyProtection="1">
      <alignment horizontal="center" vertical="center" wrapText="1"/>
    </xf>
    <xf numFmtId="0" fontId="8" fillId="5" borderId="27" xfId="0" applyFont="1" applyFill="1" applyBorder="1" applyAlignment="1" applyProtection="1">
      <alignment horizontal="center" vertical="center" wrapText="1"/>
    </xf>
    <xf numFmtId="0" fontId="9" fillId="0" borderId="0" xfId="0" applyFont="1" applyBorder="1" applyProtection="1"/>
    <xf numFmtId="0" fontId="4" fillId="0" borderId="0" xfId="0" applyFont="1" applyAlignment="1" applyProtection="1">
      <alignment horizontal="center" wrapText="1"/>
    </xf>
    <xf numFmtId="0" fontId="8" fillId="0" borderId="0" xfId="0" applyFont="1" applyAlignment="1" applyProtection="1">
      <alignment horizontal="left" vertical="center"/>
    </xf>
    <xf numFmtId="0" fontId="4" fillId="0" borderId="0" xfId="0" applyFont="1" applyAlignment="1" applyProtection="1">
      <alignment horizontal="left"/>
    </xf>
    <xf numFmtId="164" fontId="4" fillId="5" borderId="0" xfId="1"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xf>
    <xf numFmtId="0" fontId="4" fillId="6"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4" fontId="9" fillId="0" borderId="0" xfId="0" applyNumberFormat="1" applyFont="1" applyBorder="1" applyAlignment="1" applyProtection="1">
      <alignment horizontal="right" wrapText="1"/>
    </xf>
    <xf numFmtId="0" fontId="9" fillId="0" borderId="0" xfId="0" applyFont="1" applyAlignment="1" applyProtection="1">
      <alignment horizontal="center" wrapText="1"/>
    </xf>
    <xf numFmtId="0" fontId="12" fillId="4" borderId="0" xfId="5" applyFont="1" applyFill="1" applyAlignment="1" applyProtection="1">
      <alignment horizontal="center" wrapText="1"/>
    </xf>
    <xf numFmtId="0" fontId="10" fillId="0" borderId="0" xfId="9" applyFont="1" applyAlignment="1" applyProtection="1">
      <alignment horizontal="right" vertical="top" wrapText="1"/>
    </xf>
    <xf numFmtId="0" fontId="7" fillId="0" borderId="0" xfId="9" applyFont="1" applyAlignment="1" applyProtection="1">
      <alignment horizontal="center" vertical="center" wrapText="1"/>
    </xf>
    <xf numFmtId="0" fontId="4" fillId="5" borderId="0" xfId="9" applyFont="1" applyFill="1" applyBorder="1" applyAlignment="1" applyProtection="1">
      <alignment horizontal="left" vertical="center" wrapText="1"/>
    </xf>
    <xf numFmtId="0" fontId="4" fillId="2" borderId="15"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21" xfId="0" applyFont="1" applyFill="1" applyBorder="1" applyAlignment="1" applyProtection="1">
      <alignment horizontal="center" vertical="center" textRotation="90" wrapText="1"/>
    </xf>
    <xf numFmtId="0" fontId="4" fillId="2" borderId="29" xfId="0" applyFont="1" applyFill="1" applyBorder="1" applyAlignment="1" applyProtection="1">
      <alignment horizontal="center" vertical="center" textRotation="90" wrapText="1"/>
    </xf>
    <xf numFmtId="0" fontId="4" fillId="2" borderId="20" xfId="0" applyFont="1" applyFill="1" applyBorder="1" applyAlignment="1" applyProtection="1">
      <alignment horizontal="center" vertical="center" textRotation="90" wrapText="1"/>
    </xf>
    <xf numFmtId="0" fontId="4" fillId="2" borderId="23" xfId="0" applyFont="1" applyFill="1" applyBorder="1" applyAlignment="1" applyProtection="1">
      <alignment horizontal="center" vertical="center" textRotation="90" wrapText="1"/>
    </xf>
    <xf numFmtId="0" fontId="4" fillId="2" borderId="31" xfId="0" applyFont="1" applyFill="1" applyBorder="1" applyAlignment="1" applyProtection="1">
      <alignment horizontal="center" vertical="center" textRotation="90" wrapText="1"/>
    </xf>
    <xf numFmtId="0" fontId="4" fillId="2" borderId="22" xfId="0" applyFont="1" applyFill="1" applyBorder="1" applyAlignment="1" applyProtection="1">
      <alignment horizontal="center" vertical="center" textRotation="90" wrapText="1"/>
    </xf>
    <xf numFmtId="0" fontId="4" fillId="2" borderId="23"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4" fillId="2" borderId="2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4" fillId="0" borderId="0" xfId="0" applyFont="1" applyBorder="1" applyAlignment="1" applyProtection="1">
      <alignment horizontal="right" vertical="center" wrapText="1"/>
    </xf>
    <xf numFmtId="0" fontId="4" fillId="2" borderId="23" xfId="0" applyFont="1" applyFill="1" applyBorder="1" applyAlignment="1" applyProtection="1">
      <alignment horizontal="center" vertical="center" textRotation="90"/>
    </xf>
    <xf numFmtId="0" fontId="4" fillId="2" borderId="31" xfId="0" applyFont="1" applyFill="1" applyBorder="1" applyAlignment="1" applyProtection="1">
      <alignment horizontal="center" vertical="center" textRotation="90"/>
    </xf>
    <xf numFmtId="0" fontId="4" fillId="2" borderId="22" xfId="0" applyFont="1" applyFill="1" applyBorder="1" applyAlignment="1" applyProtection="1">
      <alignment horizontal="center" vertical="center" textRotation="90"/>
    </xf>
    <xf numFmtId="0" fontId="4" fillId="2" borderId="37" xfId="0" applyFont="1" applyFill="1" applyBorder="1" applyAlignment="1" applyProtection="1">
      <alignment horizontal="center" vertical="center" textRotation="90" wrapText="1"/>
    </xf>
    <xf numFmtId="0" fontId="4" fillId="2" borderId="27" xfId="0" applyFont="1" applyFill="1" applyBorder="1" applyAlignment="1" applyProtection="1">
      <alignment horizontal="center" vertical="center" textRotation="90" wrapText="1"/>
    </xf>
    <xf numFmtId="0" fontId="4" fillId="2" borderId="38" xfId="0" applyFont="1" applyFill="1" applyBorder="1" applyAlignment="1" applyProtection="1">
      <alignment horizontal="center" vertical="center" textRotation="90" wrapText="1"/>
    </xf>
    <xf numFmtId="0" fontId="4" fillId="2" borderId="1" xfId="0" applyFont="1" applyFill="1" applyBorder="1" applyAlignment="1" applyProtection="1">
      <alignment horizontal="center" vertical="center" textRotation="90" wrapText="1"/>
    </xf>
    <xf numFmtId="0" fontId="4" fillId="2" borderId="1" xfId="0" applyFont="1" applyFill="1" applyBorder="1" applyAlignment="1" applyProtection="1">
      <alignment horizontal="center" vertical="center" wrapText="1"/>
    </xf>
    <xf numFmtId="0" fontId="17" fillId="2" borderId="15"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4" fillId="2" borderId="1" xfId="0" applyFont="1" applyFill="1" applyBorder="1" applyAlignment="1" applyProtection="1">
      <alignment horizontal="center" vertical="center" textRotation="90"/>
    </xf>
    <xf numFmtId="0" fontId="4" fillId="6" borderId="0" xfId="0" applyFont="1" applyFill="1" applyAlignment="1" applyProtection="1">
      <alignment vertical="center"/>
    </xf>
    <xf numFmtId="0" fontId="9" fillId="0" borderId="35" xfId="0" applyFont="1" applyBorder="1" applyProtection="1"/>
    <xf numFmtId="0" fontId="4" fillId="6" borderId="36" xfId="0" applyFont="1" applyFill="1" applyBorder="1" applyAlignment="1" applyProtection="1">
      <alignment vertical="center" wrapText="1"/>
    </xf>
    <xf numFmtId="0" fontId="7" fillId="0" borderId="0" xfId="0" applyFont="1" applyBorder="1" applyAlignment="1" applyProtection="1">
      <alignment vertical="center"/>
    </xf>
    <xf numFmtId="0" fontId="4" fillId="8" borderId="0" xfId="5" applyFont="1" applyFill="1" applyBorder="1" applyAlignment="1" applyProtection="1">
      <alignment horizontal="left" vertical="center" wrapText="1"/>
    </xf>
    <xf numFmtId="0" fontId="10" fillId="4" borderId="1" xfId="5" applyFont="1" applyFill="1" applyBorder="1" applyAlignment="1" applyProtection="1">
      <alignment vertical="center" wrapText="1"/>
    </xf>
    <xf numFmtId="0" fontId="10" fillId="4" borderId="0" xfId="5" applyFont="1" applyFill="1" applyAlignment="1" applyProtection="1">
      <alignment horizontal="center" wrapText="1"/>
    </xf>
    <xf numFmtId="0" fontId="8" fillId="4" borderId="0" xfId="5" applyFont="1" applyFill="1" applyAlignment="1" applyProtection="1">
      <alignment horizontal="center" wrapText="1"/>
    </xf>
    <xf numFmtId="0" fontId="12" fillId="4" borderId="0" xfId="5" applyFont="1" applyFill="1" applyAlignment="1" applyProtection="1">
      <alignment horizontal="center"/>
    </xf>
    <xf numFmtId="0" fontId="10" fillId="4" borderId="1" xfId="5" applyFont="1" applyFill="1" applyBorder="1" applyAlignment="1" applyProtection="1">
      <alignment horizontal="justify" vertical="center" wrapText="1"/>
    </xf>
    <xf numFmtId="0" fontId="10" fillId="7" borderId="0" xfId="0" applyFont="1" applyFill="1" applyAlignment="1" applyProtection="1">
      <alignment horizontal="center" wrapText="1"/>
    </xf>
    <xf numFmtId="43" fontId="10" fillId="2" borderId="23" xfId="6" applyFont="1" applyFill="1" applyBorder="1" applyAlignment="1" applyProtection="1">
      <alignment horizontal="center" vertical="top"/>
    </xf>
    <xf numFmtId="43" fontId="10" fillId="2" borderId="30" xfId="6" applyFont="1" applyFill="1" applyBorder="1" applyAlignment="1" applyProtection="1">
      <alignment horizontal="center" vertical="top"/>
    </xf>
    <xf numFmtId="43" fontId="10" fillId="2" borderId="31" xfId="6" applyFont="1" applyFill="1" applyBorder="1" applyAlignment="1" applyProtection="1">
      <alignment horizontal="center" vertical="top"/>
    </xf>
    <xf numFmtId="43" fontId="10" fillId="2" borderId="32" xfId="6" applyFont="1" applyFill="1" applyBorder="1" applyAlignment="1" applyProtection="1">
      <alignment horizontal="center" vertical="top"/>
    </xf>
    <xf numFmtId="43" fontId="10" fillId="2" borderId="22" xfId="6" applyFont="1" applyFill="1" applyBorder="1" applyAlignment="1" applyProtection="1">
      <alignment horizontal="center" vertical="top"/>
    </xf>
    <xf numFmtId="43" fontId="10" fillId="2" borderId="33" xfId="6" applyFont="1" applyFill="1" applyBorder="1" applyAlignment="1" applyProtection="1">
      <alignment horizontal="center" vertical="top"/>
    </xf>
    <xf numFmtId="0" fontId="12" fillId="4" borderId="0" xfId="0" applyFont="1" applyFill="1" applyAlignment="1" applyProtection="1">
      <alignment horizontal="center"/>
    </xf>
    <xf numFmtId="0" fontId="4" fillId="8" borderId="0" xfId="0" applyFont="1" applyFill="1" applyBorder="1" applyAlignment="1" applyProtection="1">
      <alignment horizontal="left" vertical="center" wrapText="1"/>
    </xf>
    <xf numFmtId="0" fontId="4" fillId="4" borderId="0" xfId="0" applyFont="1" applyFill="1" applyAlignment="1" applyProtection="1">
      <alignment horizontal="right" vertical="center" wrapText="1"/>
    </xf>
    <xf numFmtId="0" fontId="8" fillId="0" borderId="0" xfId="0" applyFont="1" applyAlignment="1" applyProtection="1">
      <alignment horizontal="center" wrapText="1"/>
    </xf>
    <xf numFmtId="0" fontId="10" fillId="0" borderId="0" xfId="0" applyFont="1" applyAlignment="1" applyProtection="1">
      <alignment horizontal="center" wrapText="1"/>
    </xf>
  </cellXfs>
  <cellStyles count="12">
    <cellStyle name="Comma" xfId="1" builtinId="3"/>
    <cellStyle name="Comma 2" xfId="4" xr:uid="{D322BA85-A264-4F2B-B93C-95496D29F739}"/>
    <cellStyle name="Comma 3" xfId="6" xr:uid="{DA254A17-B170-4805-9B09-B44EF63D9449}"/>
    <cellStyle name="Comma 4" xfId="10" xr:uid="{573BCB9C-5330-49E0-876B-7FECD39D533F}"/>
    <cellStyle name="Explanatory Text" xfId="2" builtinId="53" customBuiltin="1"/>
    <cellStyle name="Normal" xfId="0" builtinId="0"/>
    <cellStyle name="Normal 2" xfId="3" xr:uid="{7BB39964-8E0E-4CB6-9DD8-28EC0DAB0B8B}"/>
    <cellStyle name="Normal 3" xfId="5" xr:uid="{2A1E61DB-2D40-487D-A5A4-E93CAC881D89}"/>
    <cellStyle name="Normal 4" xfId="9" xr:uid="{B031ADB5-8A9B-456D-8087-38C38E144E7F}"/>
    <cellStyle name="Percent" xfId="8" builtinId="5"/>
    <cellStyle name="Percent 2" xfId="7" xr:uid="{5B337552-D2A9-4C8B-8D13-96C3859817C9}"/>
    <cellStyle name="Percent 3" xfId="11" xr:uid="{3F0EF58E-F4AC-4BFF-8C5D-0606888B62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3139440</xdr:colOff>
      <xdr:row>23</xdr:row>
      <xdr:rowOff>0</xdr:rowOff>
    </xdr:from>
    <xdr:ext cx="192763" cy="264560"/>
    <xdr:sp macro="" textlink="">
      <xdr:nvSpPr>
        <xdr:cNvPr id="2" name="TextBox 1">
          <a:extLst>
            <a:ext uri="{FF2B5EF4-FFF2-40B4-BE49-F238E27FC236}">
              <a16:creationId xmlns:a16="http://schemas.microsoft.com/office/drawing/2014/main" id="{A9B0BF03-7777-48C5-B9FA-654CF1D7ECBA}"/>
            </a:ext>
          </a:extLst>
        </xdr:cNvPr>
        <xdr:cNvSpPr txBox="1"/>
      </xdr:nvSpPr>
      <xdr:spPr>
        <a:xfrm>
          <a:off x="3339465"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3" name="TextBox 2">
          <a:extLst>
            <a:ext uri="{FF2B5EF4-FFF2-40B4-BE49-F238E27FC236}">
              <a16:creationId xmlns:a16="http://schemas.microsoft.com/office/drawing/2014/main" id="{39AB98D7-893C-4A76-B8F7-66E77DF8173D}"/>
            </a:ext>
          </a:extLst>
        </xdr:cNvPr>
        <xdr:cNvSpPr txBox="1"/>
      </xdr:nvSpPr>
      <xdr:spPr>
        <a:xfrm>
          <a:off x="3339465" y="4210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303466"/>
    <xdr:sp macro="" textlink="">
      <xdr:nvSpPr>
        <xdr:cNvPr id="4" name="TextBox 3">
          <a:extLst>
            <a:ext uri="{FF2B5EF4-FFF2-40B4-BE49-F238E27FC236}">
              <a16:creationId xmlns:a16="http://schemas.microsoft.com/office/drawing/2014/main" id="{5FF2DF9F-664B-4DB9-B37D-946DFB80E318}"/>
            </a:ext>
          </a:extLst>
        </xdr:cNvPr>
        <xdr:cNvSpPr txBox="1"/>
      </xdr:nvSpPr>
      <xdr:spPr>
        <a:xfrm>
          <a:off x="3339465" y="43719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 name="TextBox 4">
          <a:extLst>
            <a:ext uri="{FF2B5EF4-FFF2-40B4-BE49-F238E27FC236}">
              <a16:creationId xmlns:a16="http://schemas.microsoft.com/office/drawing/2014/main" id="{50D67061-0D17-45B5-BB4C-3D0AEF4975E3}"/>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1BBC1314-7999-4D84-8E57-A2C1291FEA6F}"/>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7F38EBAB-5DA6-4E18-8579-87572BB9EC4D}"/>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2E0A469C-27F1-412C-B6DE-875C78233201}"/>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69F5AAA3-3968-475C-A945-023AEF1CBB12}"/>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F7535605-95EB-4283-8A8C-3AA30F45BE25}"/>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EAAAA5B-1C2F-4BDF-8B04-BE07260D6AAE}"/>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CF2342F9-945F-4092-B340-A35E02443D3F}"/>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FD8CF5D2-D6A1-42FB-9C6C-CC6DC7280E23}"/>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84505DBC-8AB2-47BC-8BF0-ACA7A5B5CC42}"/>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5" name="TextBox 14">
          <a:extLst>
            <a:ext uri="{FF2B5EF4-FFF2-40B4-BE49-F238E27FC236}">
              <a16:creationId xmlns:a16="http://schemas.microsoft.com/office/drawing/2014/main" id="{F0A09348-CA95-4F25-BE00-26C6C61C0C45}"/>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6" name="TextBox 15">
          <a:extLst>
            <a:ext uri="{FF2B5EF4-FFF2-40B4-BE49-F238E27FC236}">
              <a16:creationId xmlns:a16="http://schemas.microsoft.com/office/drawing/2014/main" id="{F6DBA697-B4C8-4727-8E50-D352722593A9}"/>
            </a:ext>
          </a:extLst>
        </xdr:cNvPr>
        <xdr:cNvSpPr txBox="1"/>
      </xdr:nvSpPr>
      <xdr:spPr>
        <a:xfrm>
          <a:off x="5810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303466"/>
    <xdr:sp macro="" textlink="">
      <xdr:nvSpPr>
        <xdr:cNvPr id="17" name="TextBox 16">
          <a:extLst>
            <a:ext uri="{FF2B5EF4-FFF2-40B4-BE49-F238E27FC236}">
              <a16:creationId xmlns:a16="http://schemas.microsoft.com/office/drawing/2014/main" id="{723AC6C3-5C2A-49DB-9AF4-B9A9AA549392}"/>
            </a:ext>
          </a:extLst>
        </xdr:cNvPr>
        <xdr:cNvSpPr txBox="1"/>
      </xdr:nvSpPr>
      <xdr:spPr>
        <a:xfrm>
          <a:off x="5810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8" name="TextBox 17">
          <a:extLst>
            <a:ext uri="{FF2B5EF4-FFF2-40B4-BE49-F238E27FC236}">
              <a16:creationId xmlns:a16="http://schemas.microsoft.com/office/drawing/2014/main" id="{11639C6B-086D-4B42-8B17-28A586715267}"/>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9" name="TextBox 18">
          <a:extLst>
            <a:ext uri="{FF2B5EF4-FFF2-40B4-BE49-F238E27FC236}">
              <a16:creationId xmlns:a16="http://schemas.microsoft.com/office/drawing/2014/main" id="{4921D828-CFCE-445D-A299-9E4C07BBEB5D}"/>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B9EF8E93-29E4-47FC-9E3E-D05028255E55}"/>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6710F343-873F-4096-891E-41DC0D806EA3}"/>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A2608AFC-8A41-4B0A-9E3E-0D3AC4E88352}"/>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AAD247E6-AE51-412E-8932-300719614BD8}"/>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C98349B5-439C-438F-891D-0FFBC2244F1D}"/>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108C1655-CC49-4B96-B525-AE103C93A875}"/>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42EAB88E-2A3F-4EFB-B45A-741DF7F1C94D}"/>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B1EB331D-C3B0-4328-8297-F5B63E975045}"/>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8" name="TextBox 27">
          <a:extLst>
            <a:ext uri="{FF2B5EF4-FFF2-40B4-BE49-F238E27FC236}">
              <a16:creationId xmlns:a16="http://schemas.microsoft.com/office/drawing/2014/main" id="{5FE05B95-781A-4F08-B2FF-19AD3EB3741E}"/>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9" name="TextBox 28">
          <a:extLst>
            <a:ext uri="{FF2B5EF4-FFF2-40B4-BE49-F238E27FC236}">
              <a16:creationId xmlns:a16="http://schemas.microsoft.com/office/drawing/2014/main" id="{D48394B6-760A-4E91-94E8-1BE3D5A21C33}"/>
            </a:ext>
          </a:extLst>
        </xdr:cNvPr>
        <xdr:cNvSpPr txBox="1"/>
      </xdr:nvSpPr>
      <xdr:spPr>
        <a:xfrm>
          <a:off x="6953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303466"/>
    <xdr:sp macro="" textlink="">
      <xdr:nvSpPr>
        <xdr:cNvPr id="30" name="TextBox 29">
          <a:extLst>
            <a:ext uri="{FF2B5EF4-FFF2-40B4-BE49-F238E27FC236}">
              <a16:creationId xmlns:a16="http://schemas.microsoft.com/office/drawing/2014/main" id="{80C49F92-6707-44ED-BA9F-FB1F0EC1E7B5}"/>
            </a:ext>
          </a:extLst>
        </xdr:cNvPr>
        <xdr:cNvSpPr txBox="1"/>
      </xdr:nvSpPr>
      <xdr:spPr>
        <a:xfrm>
          <a:off x="6953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7CBC0604-FBD3-4AA6-A02B-1F6AB6D76C5A}"/>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E44A0347-5063-4671-82E9-B3FCFF4ABA60}"/>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CAEFD94C-138C-4998-A67B-1E0D562246C8}"/>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7D39C464-0BCA-4092-8FB7-4F17EAD85170}"/>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DA0D63E3-C93E-4048-903B-C74B431887C2}"/>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28999CDC-0D1D-455A-8CAA-30F222F46E4D}"/>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FE6EFC05-4DE0-47E4-A76F-155B310F524A}"/>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14E9F480-7931-4418-9212-69F4DD564C4B}"/>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770494E3-E508-48CE-9A90-F2AAFA0038D4}"/>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979DF914-574E-4520-8E68-9977FF600684}"/>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41" name="TextBox 40">
          <a:extLst>
            <a:ext uri="{FF2B5EF4-FFF2-40B4-BE49-F238E27FC236}">
              <a16:creationId xmlns:a16="http://schemas.microsoft.com/office/drawing/2014/main" id="{DA2D85EF-14B6-40A2-AC5F-F6B044ADD643}"/>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23</xdr:row>
      <xdr:rowOff>0</xdr:rowOff>
    </xdr:from>
    <xdr:ext cx="192763" cy="264560"/>
    <xdr:sp macro="" textlink="">
      <xdr:nvSpPr>
        <xdr:cNvPr id="42" name="TextBox 41">
          <a:extLst>
            <a:ext uri="{FF2B5EF4-FFF2-40B4-BE49-F238E27FC236}">
              <a16:creationId xmlns:a16="http://schemas.microsoft.com/office/drawing/2014/main" id="{1535829B-81D8-4D3F-B7BC-827C8317113A}"/>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23</xdr:row>
      <xdr:rowOff>0</xdr:rowOff>
    </xdr:from>
    <xdr:ext cx="192763" cy="264560"/>
    <xdr:sp macro="" textlink="">
      <xdr:nvSpPr>
        <xdr:cNvPr id="43" name="TextBox 42">
          <a:extLst>
            <a:ext uri="{FF2B5EF4-FFF2-40B4-BE49-F238E27FC236}">
              <a16:creationId xmlns:a16="http://schemas.microsoft.com/office/drawing/2014/main" id="{641F3F6D-CA62-4DCF-9AAF-BBA188B63D2C}"/>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44" name="TextBox 43">
          <a:extLst>
            <a:ext uri="{FF2B5EF4-FFF2-40B4-BE49-F238E27FC236}">
              <a16:creationId xmlns:a16="http://schemas.microsoft.com/office/drawing/2014/main" id="{52C17CBD-CE0A-48C1-9F76-22F91B1EF34E}"/>
            </a:ext>
          </a:extLst>
        </xdr:cNvPr>
        <xdr:cNvSpPr txBox="1"/>
      </xdr:nvSpPr>
      <xdr:spPr>
        <a:xfrm>
          <a:off x="3348990" y="42100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45" name="TextBox 44">
          <a:extLst>
            <a:ext uri="{FF2B5EF4-FFF2-40B4-BE49-F238E27FC236}">
              <a16:creationId xmlns:a16="http://schemas.microsoft.com/office/drawing/2014/main" id="{1906300C-C76C-4480-BD3A-76054CE5C708}"/>
            </a:ext>
          </a:extLst>
        </xdr:cNvPr>
        <xdr:cNvSpPr txBox="1"/>
      </xdr:nvSpPr>
      <xdr:spPr>
        <a:xfrm>
          <a:off x="531495" y="42100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6" name="TextBox 45">
          <a:extLst>
            <a:ext uri="{FF2B5EF4-FFF2-40B4-BE49-F238E27FC236}">
              <a16:creationId xmlns:a16="http://schemas.microsoft.com/office/drawing/2014/main" id="{D7D03737-53C4-46B2-B670-30D6C08C1E84}"/>
            </a:ext>
          </a:extLst>
        </xdr:cNvPr>
        <xdr:cNvSpPr txBox="1"/>
      </xdr:nvSpPr>
      <xdr:spPr>
        <a:xfrm>
          <a:off x="3339465"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47" name="TextBox 46">
          <a:extLst>
            <a:ext uri="{FF2B5EF4-FFF2-40B4-BE49-F238E27FC236}">
              <a16:creationId xmlns:a16="http://schemas.microsoft.com/office/drawing/2014/main" id="{492E22FE-5DE7-435A-BF5F-58ADF9092EF4}"/>
            </a:ext>
          </a:extLst>
        </xdr:cNvPr>
        <xdr:cNvSpPr txBox="1"/>
      </xdr:nvSpPr>
      <xdr:spPr>
        <a:xfrm>
          <a:off x="3339465" y="4210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303466"/>
    <xdr:sp macro="" textlink="">
      <xdr:nvSpPr>
        <xdr:cNvPr id="48" name="TextBox 47">
          <a:extLst>
            <a:ext uri="{FF2B5EF4-FFF2-40B4-BE49-F238E27FC236}">
              <a16:creationId xmlns:a16="http://schemas.microsoft.com/office/drawing/2014/main" id="{E1B6A038-BFAB-4542-BEA9-2F6DDCE6232A}"/>
            </a:ext>
          </a:extLst>
        </xdr:cNvPr>
        <xdr:cNvSpPr txBox="1"/>
      </xdr:nvSpPr>
      <xdr:spPr>
        <a:xfrm>
          <a:off x="3339465" y="43719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9" name="TextBox 48">
          <a:extLst>
            <a:ext uri="{FF2B5EF4-FFF2-40B4-BE49-F238E27FC236}">
              <a16:creationId xmlns:a16="http://schemas.microsoft.com/office/drawing/2014/main" id="{FDBAACF3-3E88-45D4-960F-9A7704E31A30}"/>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0" name="TextBox 49">
          <a:extLst>
            <a:ext uri="{FF2B5EF4-FFF2-40B4-BE49-F238E27FC236}">
              <a16:creationId xmlns:a16="http://schemas.microsoft.com/office/drawing/2014/main" id="{15918F0C-D7E1-477C-BB41-07B0DE99AF2D}"/>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1" name="TextBox 50">
          <a:extLst>
            <a:ext uri="{FF2B5EF4-FFF2-40B4-BE49-F238E27FC236}">
              <a16:creationId xmlns:a16="http://schemas.microsoft.com/office/drawing/2014/main" id="{493AC4E1-3D28-42D9-B321-7A0C25DF3F2B}"/>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2" name="TextBox 51">
          <a:extLst>
            <a:ext uri="{FF2B5EF4-FFF2-40B4-BE49-F238E27FC236}">
              <a16:creationId xmlns:a16="http://schemas.microsoft.com/office/drawing/2014/main" id="{966D00F6-C0D3-497D-B1D0-4866147612FE}"/>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3" name="TextBox 52">
          <a:extLst>
            <a:ext uri="{FF2B5EF4-FFF2-40B4-BE49-F238E27FC236}">
              <a16:creationId xmlns:a16="http://schemas.microsoft.com/office/drawing/2014/main" id="{6CD38EE1-C9F8-475B-8C3B-11DC990714EA}"/>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4" name="TextBox 53">
          <a:extLst>
            <a:ext uri="{FF2B5EF4-FFF2-40B4-BE49-F238E27FC236}">
              <a16:creationId xmlns:a16="http://schemas.microsoft.com/office/drawing/2014/main" id="{8ABBC54D-7AC5-4ECF-B306-E785358231F5}"/>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5" name="TextBox 54">
          <a:extLst>
            <a:ext uri="{FF2B5EF4-FFF2-40B4-BE49-F238E27FC236}">
              <a16:creationId xmlns:a16="http://schemas.microsoft.com/office/drawing/2014/main" id="{80087E87-9F89-4AE3-8CF5-A647C405712B}"/>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6" name="TextBox 55">
          <a:extLst>
            <a:ext uri="{FF2B5EF4-FFF2-40B4-BE49-F238E27FC236}">
              <a16:creationId xmlns:a16="http://schemas.microsoft.com/office/drawing/2014/main" id="{36E055CB-A2EE-49F9-85B5-FB9A5247410E}"/>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7" name="TextBox 56">
          <a:extLst>
            <a:ext uri="{FF2B5EF4-FFF2-40B4-BE49-F238E27FC236}">
              <a16:creationId xmlns:a16="http://schemas.microsoft.com/office/drawing/2014/main" id="{F892E87B-4C20-469A-826B-46D006BE58E1}"/>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8" name="TextBox 57">
          <a:extLst>
            <a:ext uri="{FF2B5EF4-FFF2-40B4-BE49-F238E27FC236}">
              <a16:creationId xmlns:a16="http://schemas.microsoft.com/office/drawing/2014/main" id="{75393556-3698-447C-A606-8340FE1D505F}"/>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59" name="TextBox 58">
          <a:extLst>
            <a:ext uri="{FF2B5EF4-FFF2-40B4-BE49-F238E27FC236}">
              <a16:creationId xmlns:a16="http://schemas.microsoft.com/office/drawing/2014/main" id="{C89F7A76-732E-4183-A8EC-73EFDC6F3574}"/>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0" name="TextBox 59">
          <a:extLst>
            <a:ext uri="{FF2B5EF4-FFF2-40B4-BE49-F238E27FC236}">
              <a16:creationId xmlns:a16="http://schemas.microsoft.com/office/drawing/2014/main" id="{F45930AB-DA4D-4E66-8D18-031058B8A84A}"/>
            </a:ext>
          </a:extLst>
        </xdr:cNvPr>
        <xdr:cNvSpPr txBox="1"/>
      </xdr:nvSpPr>
      <xdr:spPr>
        <a:xfrm>
          <a:off x="5810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303466"/>
    <xdr:sp macro="" textlink="">
      <xdr:nvSpPr>
        <xdr:cNvPr id="61" name="TextBox 60">
          <a:extLst>
            <a:ext uri="{FF2B5EF4-FFF2-40B4-BE49-F238E27FC236}">
              <a16:creationId xmlns:a16="http://schemas.microsoft.com/office/drawing/2014/main" id="{E9D5725D-6E55-4CD7-9EB2-C2F96CF7BC72}"/>
            </a:ext>
          </a:extLst>
        </xdr:cNvPr>
        <xdr:cNvSpPr txBox="1"/>
      </xdr:nvSpPr>
      <xdr:spPr>
        <a:xfrm>
          <a:off x="5810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62" name="TextBox 61">
          <a:extLst>
            <a:ext uri="{FF2B5EF4-FFF2-40B4-BE49-F238E27FC236}">
              <a16:creationId xmlns:a16="http://schemas.microsoft.com/office/drawing/2014/main" id="{FB20143C-D22D-42F6-9F54-2CE547E13565}"/>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63" name="TextBox 62">
          <a:extLst>
            <a:ext uri="{FF2B5EF4-FFF2-40B4-BE49-F238E27FC236}">
              <a16:creationId xmlns:a16="http://schemas.microsoft.com/office/drawing/2014/main" id="{524D65D7-E053-44F1-BA3C-A510C2F19D94}"/>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4" name="TextBox 63">
          <a:extLst>
            <a:ext uri="{FF2B5EF4-FFF2-40B4-BE49-F238E27FC236}">
              <a16:creationId xmlns:a16="http://schemas.microsoft.com/office/drawing/2014/main" id="{4E1AB721-DD8E-4E75-A806-9FE97B018CDC}"/>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5" name="TextBox 64">
          <a:extLst>
            <a:ext uri="{FF2B5EF4-FFF2-40B4-BE49-F238E27FC236}">
              <a16:creationId xmlns:a16="http://schemas.microsoft.com/office/drawing/2014/main" id="{40BF90D1-997B-4E78-9081-C76E3CEF6723}"/>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6" name="TextBox 65">
          <a:extLst>
            <a:ext uri="{FF2B5EF4-FFF2-40B4-BE49-F238E27FC236}">
              <a16:creationId xmlns:a16="http://schemas.microsoft.com/office/drawing/2014/main" id="{0FDD557F-6A1A-4CD1-A059-42E1C7DECB9F}"/>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7" name="TextBox 66">
          <a:extLst>
            <a:ext uri="{FF2B5EF4-FFF2-40B4-BE49-F238E27FC236}">
              <a16:creationId xmlns:a16="http://schemas.microsoft.com/office/drawing/2014/main" id="{60F447B3-8722-4367-AA84-AE13C8E4F099}"/>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8" name="TextBox 67">
          <a:extLst>
            <a:ext uri="{FF2B5EF4-FFF2-40B4-BE49-F238E27FC236}">
              <a16:creationId xmlns:a16="http://schemas.microsoft.com/office/drawing/2014/main" id="{4C1048F6-D398-44E0-8E05-002F546A3B33}"/>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9" name="TextBox 68">
          <a:extLst>
            <a:ext uri="{FF2B5EF4-FFF2-40B4-BE49-F238E27FC236}">
              <a16:creationId xmlns:a16="http://schemas.microsoft.com/office/drawing/2014/main" id="{09493DB2-37FB-4D25-8E71-79C1260A59FE}"/>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70" name="TextBox 69">
          <a:extLst>
            <a:ext uri="{FF2B5EF4-FFF2-40B4-BE49-F238E27FC236}">
              <a16:creationId xmlns:a16="http://schemas.microsoft.com/office/drawing/2014/main" id="{73095C41-F571-4599-8705-5B8D3B53BC19}"/>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71" name="TextBox 70">
          <a:extLst>
            <a:ext uri="{FF2B5EF4-FFF2-40B4-BE49-F238E27FC236}">
              <a16:creationId xmlns:a16="http://schemas.microsoft.com/office/drawing/2014/main" id="{29CA2DDD-5E5B-42A6-ACF2-30CB09E41A95}"/>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2" name="TextBox 71">
          <a:extLst>
            <a:ext uri="{FF2B5EF4-FFF2-40B4-BE49-F238E27FC236}">
              <a16:creationId xmlns:a16="http://schemas.microsoft.com/office/drawing/2014/main" id="{0C330E39-6B27-495F-A108-96807C48E93D}"/>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3" name="TextBox 72">
          <a:extLst>
            <a:ext uri="{FF2B5EF4-FFF2-40B4-BE49-F238E27FC236}">
              <a16:creationId xmlns:a16="http://schemas.microsoft.com/office/drawing/2014/main" id="{C01A2656-6884-4EF1-AF5F-0E99B1D14232}"/>
            </a:ext>
          </a:extLst>
        </xdr:cNvPr>
        <xdr:cNvSpPr txBox="1"/>
      </xdr:nvSpPr>
      <xdr:spPr>
        <a:xfrm>
          <a:off x="6953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303466"/>
    <xdr:sp macro="" textlink="">
      <xdr:nvSpPr>
        <xdr:cNvPr id="74" name="TextBox 73">
          <a:extLst>
            <a:ext uri="{FF2B5EF4-FFF2-40B4-BE49-F238E27FC236}">
              <a16:creationId xmlns:a16="http://schemas.microsoft.com/office/drawing/2014/main" id="{5A2899C7-F653-45E9-92C3-06F7700A2304}"/>
            </a:ext>
          </a:extLst>
        </xdr:cNvPr>
        <xdr:cNvSpPr txBox="1"/>
      </xdr:nvSpPr>
      <xdr:spPr>
        <a:xfrm>
          <a:off x="6953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75" name="TextBox 74">
          <a:extLst>
            <a:ext uri="{FF2B5EF4-FFF2-40B4-BE49-F238E27FC236}">
              <a16:creationId xmlns:a16="http://schemas.microsoft.com/office/drawing/2014/main" id="{3D74E0FA-A19F-4275-8367-6461D4CA08E5}"/>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76" name="TextBox 75">
          <a:extLst>
            <a:ext uri="{FF2B5EF4-FFF2-40B4-BE49-F238E27FC236}">
              <a16:creationId xmlns:a16="http://schemas.microsoft.com/office/drawing/2014/main" id="{6F4B8B2E-18DD-4802-9539-093799176B2B}"/>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7" name="TextBox 76">
          <a:extLst>
            <a:ext uri="{FF2B5EF4-FFF2-40B4-BE49-F238E27FC236}">
              <a16:creationId xmlns:a16="http://schemas.microsoft.com/office/drawing/2014/main" id="{9AD53752-6C1E-439C-B507-81CEDD84F80B}"/>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8" name="TextBox 77">
          <a:extLst>
            <a:ext uri="{FF2B5EF4-FFF2-40B4-BE49-F238E27FC236}">
              <a16:creationId xmlns:a16="http://schemas.microsoft.com/office/drawing/2014/main" id="{B1713FBE-D6C5-4A24-AFE3-ECC507160831}"/>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9" name="TextBox 78">
          <a:extLst>
            <a:ext uri="{FF2B5EF4-FFF2-40B4-BE49-F238E27FC236}">
              <a16:creationId xmlns:a16="http://schemas.microsoft.com/office/drawing/2014/main" id="{E7125AA5-B80B-489E-8DAC-BBFEC04143BD}"/>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80" name="TextBox 79">
          <a:extLst>
            <a:ext uri="{FF2B5EF4-FFF2-40B4-BE49-F238E27FC236}">
              <a16:creationId xmlns:a16="http://schemas.microsoft.com/office/drawing/2014/main" id="{105290F7-F297-4E52-BD48-DAF7991BEA3F}"/>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1" name="TextBox 80">
          <a:extLst>
            <a:ext uri="{FF2B5EF4-FFF2-40B4-BE49-F238E27FC236}">
              <a16:creationId xmlns:a16="http://schemas.microsoft.com/office/drawing/2014/main" id="{8E000070-04A5-4E1C-8C21-0DC9BEE76E13}"/>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2" name="TextBox 81">
          <a:extLst>
            <a:ext uri="{FF2B5EF4-FFF2-40B4-BE49-F238E27FC236}">
              <a16:creationId xmlns:a16="http://schemas.microsoft.com/office/drawing/2014/main" id="{0CA4B291-9ACA-413C-AA0D-126F4D1C1F97}"/>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83" name="TextBox 82">
          <a:extLst>
            <a:ext uri="{FF2B5EF4-FFF2-40B4-BE49-F238E27FC236}">
              <a16:creationId xmlns:a16="http://schemas.microsoft.com/office/drawing/2014/main" id="{068FE2A0-1985-43D4-9B2F-62238B948C77}"/>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84" name="TextBox 83">
          <a:extLst>
            <a:ext uri="{FF2B5EF4-FFF2-40B4-BE49-F238E27FC236}">
              <a16:creationId xmlns:a16="http://schemas.microsoft.com/office/drawing/2014/main" id="{41E92121-281F-48BD-B5FE-E22F6F7DE88F}"/>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85" name="TextBox 84">
          <a:extLst>
            <a:ext uri="{FF2B5EF4-FFF2-40B4-BE49-F238E27FC236}">
              <a16:creationId xmlns:a16="http://schemas.microsoft.com/office/drawing/2014/main" id="{39B803E0-76C5-4C32-B6F5-E1646C644CEF}"/>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23</xdr:row>
      <xdr:rowOff>0</xdr:rowOff>
    </xdr:from>
    <xdr:ext cx="192763" cy="264560"/>
    <xdr:sp macro="" textlink="">
      <xdr:nvSpPr>
        <xdr:cNvPr id="86" name="TextBox 85">
          <a:extLst>
            <a:ext uri="{FF2B5EF4-FFF2-40B4-BE49-F238E27FC236}">
              <a16:creationId xmlns:a16="http://schemas.microsoft.com/office/drawing/2014/main" id="{6BF9C1DC-3016-4C9E-89E1-552A0D18616C}"/>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23</xdr:row>
      <xdr:rowOff>0</xdr:rowOff>
    </xdr:from>
    <xdr:ext cx="192763" cy="264560"/>
    <xdr:sp macro="" textlink="">
      <xdr:nvSpPr>
        <xdr:cNvPr id="87" name="TextBox 86">
          <a:extLst>
            <a:ext uri="{FF2B5EF4-FFF2-40B4-BE49-F238E27FC236}">
              <a16:creationId xmlns:a16="http://schemas.microsoft.com/office/drawing/2014/main" id="{8977067F-B499-4DF8-A04B-8BF982593BD6}"/>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24</xdr:row>
      <xdr:rowOff>0</xdr:rowOff>
    </xdr:from>
    <xdr:ext cx="183125" cy="264560"/>
    <xdr:sp macro="" textlink="">
      <xdr:nvSpPr>
        <xdr:cNvPr id="88" name="TextBox 87">
          <a:extLst>
            <a:ext uri="{FF2B5EF4-FFF2-40B4-BE49-F238E27FC236}">
              <a16:creationId xmlns:a16="http://schemas.microsoft.com/office/drawing/2014/main" id="{66ACA1D4-FFD9-4E70-AF15-AF82038D1EA3}"/>
            </a:ext>
          </a:extLst>
        </xdr:cNvPr>
        <xdr:cNvSpPr txBox="1"/>
      </xdr:nvSpPr>
      <xdr:spPr>
        <a:xfrm>
          <a:off x="3348990" y="42100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24</xdr:row>
      <xdr:rowOff>0</xdr:rowOff>
    </xdr:from>
    <xdr:ext cx="184731" cy="271710"/>
    <xdr:sp macro="" textlink="">
      <xdr:nvSpPr>
        <xdr:cNvPr id="89" name="TextBox 88">
          <a:extLst>
            <a:ext uri="{FF2B5EF4-FFF2-40B4-BE49-F238E27FC236}">
              <a16:creationId xmlns:a16="http://schemas.microsoft.com/office/drawing/2014/main" id="{3E98C84B-C994-4CAD-8BC2-1D7AF0CFBD52}"/>
            </a:ext>
          </a:extLst>
        </xdr:cNvPr>
        <xdr:cNvSpPr txBox="1"/>
      </xdr:nvSpPr>
      <xdr:spPr>
        <a:xfrm>
          <a:off x="531495" y="42100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90" name="TextBox 89">
          <a:extLst>
            <a:ext uri="{FF2B5EF4-FFF2-40B4-BE49-F238E27FC236}">
              <a16:creationId xmlns:a16="http://schemas.microsoft.com/office/drawing/2014/main" id="{FEF89240-DF63-49F2-B247-EED7CD26DCFB}"/>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91" name="TextBox 90">
          <a:extLst>
            <a:ext uri="{FF2B5EF4-FFF2-40B4-BE49-F238E27FC236}">
              <a16:creationId xmlns:a16="http://schemas.microsoft.com/office/drawing/2014/main" id="{531E0EFF-F39E-4AD2-93FE-E0A1E32202DC}"/>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92" name="TextBox 91">
          <a:extLst>
            <a:ext uri="{FF2B5EF4-FFF2-40B4-BE49-F238E27FC236}">
              <a16:creationId xmlns:a16="http://schemas.microsoft.com/office/drawing/2014/main" id="{4DE2A2F3-FC47-482B-97F7-D192A1CF08EC}"/>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93" name="TextBox 92">
          <a:extLst>
            <a:ext uri="{FF2B5EF4-FFF2-40B4-BE49-F238E27FC236}">
              <a16:creationId xmlns:a16="http://schemas.microsoft.com/office/drawing/2014/main" id="{F03C1E12-E4BC-43E7-843F-96878D482A4D}"/>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94" name="TextBox 93">
          <a:extLst>
            <a:ext uri="{FF2B5EF4-FFF2-40B4-BE49-F238E27FC236}">
              <a16:creationId xmlns:a16="http://schemas.microsoft.com/office/drawing/2014/main" id="{47D663EE-0780-45ED-9D21-7B8815ED2C88}"/>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3139440</xdr:colOff>
      <xdr:row>96</xdr:row>
      <xdr:rowOff>0</xdr:rowOff>
    </xdr:from>
    <xdr:ext cx="192763" cy="264560"/>
    <xdr:sp macro="" textlink="">
      <xdr:nvSpPr>
        <xdr:cNvPr id="2" name="TextBox 1">
          <a:extLst>
            <a:ext uri="{FF2B5EF4-FFF2-40B4-BE49-F238E27FC236}">
              <a16:creationId xmlns:a16="http://schemas.microsoft.com/office/drawing/2014/main" id="{CA34950F-2D1B-4A58-B893-5B7A5C8C4DAA}"/>
            </a:ext>
          </a:extLst>
        </xdr:cNvPr>
        <xdr:cNvSpPr txBox="1"/>
      </xdr:nvSpPr>
      <xdr:spPr>
        <a:xfrm>
          <a:off x="357759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3" name="TextBox 2">
          <a:extLst>
            <a:ext uri="{FF2B5EF4-FFF2-40B4-BE49-F238E27FC236}">
              <a16:creationId xmlns:a16="http://schemas.microsoft.com/office/drawing/2014/main" id="{556CF059-E1A4-4E74-979A-63AD121528D7}"/>
            </a:ext>
          </a:extLst>
        </xdr:cNvPr>
        <xdr:cNvSpPr txBox="1"/>
      </xdr:nvSpPr>
      <xdr:spPr>
        <a:xfrm>
          <a:off x="3577590" y="1331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303466"/>
    <xdr:sp macro="" textlink="">
      <xdr:nvSpPr>
        <xdr:cNvPr id="4" name="TextBox 3">
          <a:extLst>
            <a:ext uri="{FF2B5EF4-FFF2-40B4-BE49-F238E27FC236}">
              <a16:creationId xmlns:a16="http://schemas.microsoft.com/office/drawing/2014/main" id="{F04EBCA0-460B-439A-B2ED-3EBB8F969169}"/>
            </a:ext>
          </a:extLst>
        </xdr:cNvPr>
        <xdr:cNvSpPr txBox="1"/>
      </xdr:nvSpPr>
      <xdr:spPr>
        <a:xfrm>
          <a:off x="3577590" y="134588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5" name="TextBox 4">
          <a:extLst>
            <a:ext uri="{FF2B5EF4-FFF2-40B4-BE49-F238E27FC236}">
              <a16:creationId xmlns:a16="http://schemas.microsoft.com/office/drawing/2014/main" id="{C786D0CC-3B9B-40CC-ABC7-27273ED4CE66}"/>
            </a:ext>
          </a:extLst>
        </xdr:cNvPr>
        <xdr:cNvSpPr txBox="1"/>
      </xdr:nvSpPr>
      <xdr:spPr>
        <a:xfrm>
          <a:off x="3577590" y="13601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6" name="TextBox 5">
          <a:extLst>
            <a:ext uri="{FF2B5EF4-FFF2-40B4-BE49-F238E27FC236}">
              <a16:creationId xmlns:a16="http://schemas.microsoft.com/office/drawing/2014/main" id="{4BCB9239-C780-4AFD-8232-C14E2FA8AE25}"/>
            </a:ext>
          </a:extLst>
        </xdr:cNvPr>
        <xdr:cNvSpPr txBox="1"/>
      </xdr:nvSpPr>
      <xdr:spPr>
        <a:xfrm>
          <a:off x="3577590" y="13601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7" name="TextBox 6">
          <a:extLst>
            <a:ext uri="{FF2B5EF4-FFF2-40B4-BE49-F238E27FC236}">
              <a16:creationId xmlns:a16="http://schemas.microsoft.com/office/drawing/2014/main" id="{A54C886B-219A-4C18-8835-E74C6A9207B5}"/>
            </a:ext>
          </a:extLst>
        </xdr:cNvPr>
        <xdr:cNvSpPr txBox="1"/>
      </xdr:nvSpPr>
      <xdr:spPr>
        <a:xfrm>
          <a:off x="3577590" y="13744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8" name="TextBox 7">
          <a:extLst>
            <a:ext uri="{FF2B5EF4-FFF2-40B4-BE49-F238E27FC236}">
              <a16:creationId xmlns:a16="http://schemas.microsoft.com/office/drawing/2014/main" id="{29A7A906-84C5-4189-B993-E98AF8DB6D02}"/>
            </a:ext>
          </a:extLst>
        </xdr:cNvPr>
        <xdr:cNvSpPr txBox="1"/>
      </xdr:nvSpPr>
      <xdr:spPr>
        <a:xfrm>
          <a:off x="3577590" y="13744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9" name="TextBox 8">
          <a:extLst>
            <a:ext uri="{FF2B5EF4-FFF2-40B4-BE49-F238E27FC236}">
              <a16:creationId xmlns:a16="http://schemas.microsoft.com/office/drawing/2014/main" id="{2F59E499-6FAC-435A-962C-26106BF0A5F5}"/>
            </a:ext>
          </a:extLst>
        </xdr:cNvPr>
        <xdr:cNvSpPr txBox="1"/>
      </xdr:nvSpPr>
      <xdr:spPr>
        <a:xfrm>
          <a:off x="3577590" y="13887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10" name="TextBox 9">
          <a:extLst>
            <a:ext uri="{FF2B5EF4-FFF2-40B4-BE49-F238E27FC236}">
              <a16:creationId xmlns:a16="http://schemas.microsoft.com/office/drawing/2014/main" id="{A89D7F42-C0E1-46F1-8162-DD28BD003BEA}"/>
            </a:ext>
          </a:extLst>
        </xdr:cNvPr>
        <xdr:cNvSpPr txBox="1"/>
      </xdr:nvSpPr>
      <xdr:spPr>
        <a:xfrm>
          <a:off x="3577590" y="13887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1" name="TextBox 10">
          <a:extLst>
            <a:ext uri="{FF2B5EF4-FFF2-40B4-BE49-F238E27FC236}">
              <a16:creationId xmlns:a16="http://schemas.microsoft.com/office/drawing/2014/main" id="{E47F4C76-2E41-4007-B537-3FD0F2AD4FD5}"/>
            </a:ext>
          </a:extLst>
        </xdr:cNvPr>
        <xdr:cNvSpPr txBox="1"/>
      </xdr:nvSpPr>
      <xdr:spPr>
        <a:xfrm>
          <a:off x="3577590" y="1403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2" name="TextBox 11">
          <a:extLst>
            <a:ext uri="{FF2B5EF4-FFF2-40B4-BE49-F238E27FC236}">
              <a16:creationId xmlns:a16="http://schemas.microsoft.com/office/drawing/2014/main" id="{8B7C97FB-4E10-4E03-A9A6-7574BB1E2BA5}"/>
            </a:ext>
          </a:extLst>
        </xdr:cNvPr>
        <xdr:cNvSpPr txBox="1"/>
      </xdr:nvSpPr>
      <xdr:spPr>
        <a:xfrm>
          <a:off x="3577590" y="1403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3" name="TextBox 12">
          <a:extLst>
            <a:ext uri="{FF2B5EF4-FFF2-40B4-BE49-F238E27FC236}">
              <a16:creationId xmlns:a16="http://schemas.microsoft.com/office/drawing/2014/main" id="{030BCDCC-1BB9-4447-B732-DC6DAD12ACE1}"/>
            </a:ext>
          </a:extLst>
        </xdr:cNvPr>
        <xdr:cNvSpPr txBox="1"/>
      </xdr:nvSpPr>
      <xdr:spPr>
        <a:xfrm>
          <a:off x="357759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4" name="TextBox 13">
          <a:extLst>
            <a:ext uri="{FF2B5EF4-FFF2-40B4-BE49-F238E27FC236}">
              <a16:creationId xmlns:a16="http://schemas.microsoft.com/office/drawing/2014/main" id="{230A0708-C658-48DF-A5DF-D7377A68724A}"/>
            </a:ext>
          </a:extLst>
        </xdr:cNvPr>
        <xdr:cNvSpPr txBox="1"/>
      </xdr:nvSpPr>
      <xdr:spPr>
        <a:xfrm>
          <a:off x="357759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15" name="TextBox 14">
          <a:extLst>
            <a:ext uri="{FF2B5EF4-FFF2-40B4-BE49-F238E27FC236}">
              <a16:creationId xmlns:a16="http://schemas.microsoft.com/office/drawing/2014/main" id="{F6F114DB-3AE1-4DAD-A3BD-F15A810A4E55}"/>
            </a:ext>
          </a:extLst>
        </xdr:cNvPr>
        <xdr:cNvSpPr txBox="1"/>
      </xdr:nvSpPr>
      <xdr:spPr>
        <a:xfrm>
          <a:off x="56959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16" name="TextBox 15">
          <a:extLst>
            <a:ext uri="{FF2B5EF4-FFF2-40B4-BE49-F238E27FC236}">
              <a16:creationId xmlns:a16="http://schemas.microsoft.com/office/drawing/2014/main" id="{AEE71ABA-C664-46F1-A7EB-C10DFE51CB9F}"/>
            </a:ext>
          </a:extLst>
        </xdr:cNvPr>
        <xdr:cNvSpPr txBox="1"/>
      </xdr:nvSpPr>
      <xdr:spPr>
        <a:xfrm>
          <a:off x="56959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98</xdr:row>
      <xdr:rowOff>0</xdr:rowOff>
    </xdr:from>
    <xdr:ext cx="184731" cy="303466"/>
    <xdr:sp macro="" textlink="">
      <xdr:nvSpPr>
        <xdr:cNvPr id="17" name="TextBox 16">
          <a:extLst>
            <a:ext uri="{FF2B5EF4-FFF2-40B4-BE49-F238E27FC236}">
              <a16:creationId xmlns:a16="http://schemas.microsoft.com/office/drawing/2014/main" id="{792FB8AD-D174-4AC9-98B2-8492FD8218B1}"/>
            </a:ext>
          </a:extLst>
        </xdr:cNvPr>
        <xdr:cNvSpPr txBox="1"/>
      </xdr:nvSpPr>
      <xdr:spPr>
        <a:xfrm>
          <a:off x="5695950" y="134588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8" name="TextBox 17">
          <a:extLst>
            <a:ext uri="{FF2B5EF4-FFF2-40B4-BE49-F238E27FC236}">
              <a16:creationId xmlns:a16="http://schemas.microsoft.com/office/drawing/2014/main" id="{FFD468C3-F0D0-4DA6-B948-0CD196932C5F}"/>
            </a:ext>
          </a:extLst>
        </xdr:cNvPr>
        <xdr:cNvSpPr txBox="1"/>
      </xdr:nvSpPr>
      <xdr:spPr>
        <a:xfrm>
          <a:off x="56959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9" name="TextBox 18">
          <a:extLst>
            <a:ext uri="{FF2B5EF4-FFF2-40B4-BE49-F238E27FC236}">
              <a16:creationId xmlns:a16="http://schemas.microsoft.com/office/drawing/2014/main" id="{EF573A72-04A0-47C7-B513-D3EDD29D4A5C}"/>
            </a:ext>
          </a:extLst>
        </xdr:cNvPr>
        <xdr:cNvSpPr txBox="1"/>
      </xdr:nvSpPr>
      <xdr:spPr>
        <a:xfrm>
          <a:off x="56959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0" name="TextBox 19">
          <a:extLst>
            <a:ext uri="{FF2B5EF4-FFF2-40B4-BE49-F238E27FC236}">
              <a16:creationId xmlns:a16="http://schemas.microsoft.com/office/drawing/2014/main" id="{84827A43-7ACD-4FEB-A161-BDD3AD2D4A9D}"/>
            </a:ext>
          </a:extLst>
        </xdr:cNvPr>
        <xdr:cNvSpPr txBox="1"/>
      </xdr:nvSpPr>
      <xdr:spPr>
        <a:xfrm>
          <a:off x="56959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1" name="TextBox 20">
          <a:extLst>
            <a:ext uri="{FF2B5EF4-FFF2-40B4-BE49-F238E27FC236}">
              <a16:creationId xmlns:a16="http://schemas.microsoft.com/office/drawing/2014/main" id="{4A7747F9-4C9A-4B03-A54E-40AFE60D660C}"/>
            </a:ext>
          </a:extLst>
        </xdr:cNvPr>
        <xdr:cNvSpPr txBox="1"/>
      </xdr:nvSpPr>
      <xdr:spPr>
        <a:xfrm>
          <a:off x="56959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2" name="TextBox 21">
          <a:extLst>
            <a:ext uri="{FF2B5EF4-FFF2-40B4-BE49-F238E27FC236}">
              <a16:creationId xmlns:a16="http://schemas.microsoft.com/office/drawing/2014/main" id="{F9DCCF97-DCF9-4D9D-ADC8-D3A2DE9C711F}"/>
            </a:ext>
          </a:extLst>
        </xdr:cNvPr>
        <xdr:cNvSpPr txBox="1"/>
      </xdr:nvSpPr>
      <xdr:spPr>
        <a:xfrm>
          <a:off x="56959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3" name="TextBox 22">
          <a:extLst>
            <a:ext uri="{FF2B5EF4-FFF2-40B4-BE49-F238E27FC236}">
              <a16:creationId xmlns:a16="http://schemas.microsoft.com/office/drawing/2014/main" id="{E7EE0413-BBCB-4176-8A68-668BBF2A5443}"/>
            </a:ext>
          </a:extLst>
        </xdr:cNvPr>
        <xdr:cNvSpPr txBox="1"/>
      </xdr:nvSpPr>
      <xdr:spPr>
        <a:xfrm>
          <a:off x="56959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4" name="TextBox 23">
          <a:extLst>
            <a:ext uri="{FF2B5EF4-FFF2-40B4-BE49-F238E27FC236}">
              <a16:creationId xmlns:a16="http://schemas.microsoft.com/office/drawing/2014/main" id="{81609D6E-7DAB-42C3-BE52-16213F11D8FD}"/>
            </a:ext>
          </a:extLst>
        </xdr:cNvPr>
        <xdr:cNvSpPr txBox="1"/>
      </xdr:nvSpPr>
      <xdr:spPr>
        <a:xfrm>
          <a:off x="56959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5" name="TextBox 24">
          <a:extLst>
            <a:ext uri="{FF2B5EF4-FFF2-40B4-BE49-F238E27FC236}">
              <a16:creationId xmlns:a16="http://schemas.microsoft.com/office/drawing/2014/main" id="{03CA7069-4096-44C5-95B0-3EDA60469D13}"/>
            </a:ext>
          </a:extLst>
        </xdr:cNvPr>
        <xdr:cNvSpPr txBox="1"/>
      </xdr:nvSpPr>
      <xdr:spPr>
        <a:xfrm>
          <a:off x="56959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6" name="TextBox 25">
          <a:extLst>
            <a:ext uri="{FF2B5EF4-FFF2-40B4-BE49-F238E27FC236}">
              <a16:creationId xmlns:a16="http://schemas.microsoft.com/office/drawing/2014/main" id="{EACA4D95-1D03-4013-9CF6-ADB2C8C79886}"/>
            </a:ext>
          </a:extLst>
        </xdr:cNvPr>
        <xdr:cNvSpPr txBox="1"/>
      </xdr:nvSpPr>
      <xdr:spPr>
        <a:xfrm>
          <a:off x="56959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7" name="TextBox 26">
          <a:extLst>
            <a:ext uri="{FF2B5EF4-FFF2-40B4-BE49-F238E27FC236}">
              <a16:creationId xmlns:a16="http://schemas.microsoft.com/office/drawing/2014/main" id="{B901FDC4-FC55-4ED9-A953-D3D3B7AB3D23}"/>
            </a:ext>
          </a:extLst>
        </xdr:cNvPr>
        <xdr:cNvSpPr txBox="1"/>
      </xdr:nvSpPr>
      <xdr:spPr>
        <a:xfrm>
          <a:off x="56959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28" name="TextBox 27">
          <a:extLst>
            <a:ext uri="{FF2B5EF4-FFF2-40B4-BE49-F238E27FC236}">
              <a16:creationId xmlns:a16="http://schemas.microsoft.com/office/drawing/2014/main" id="{95F93D88-B714-479F-88F7-2FAB55A6785D}"/>
            </a:ext>
          </a:extLst>
        </xdr:cNvPr>
        <xdr:cNvSpPr txBox="1"/>
      </xdr:nvSpPr>
      <xdr:spPr>
        <a:xfrm>
          <a:off x="73342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29" name="TextBox 28">
          <a:extLst>
            <a:ext uri="{FF2B5EF4-FFF2-40B4-BE49-F238E27FC236}">
              <a16:creationId xmlns:a16="http://schemas.microsoft.com/office/drawing/2014/main" id="{B07DDDDB-B8BC-418D-9458-2E8BB10F0967}"/>
            </a:ext>
          </a:extLst>
        </xdr:cNvPr>
        <xdr:cNvSpPr txBox="1"/>
      </xdr:nvSpPr>
      <xdr:spPr>
        <a:xfrm>
          <a:off x="73342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98</xdr:row>
      <xdr:rowOff>0</xdr:rowOff>
    </xdr:from>
    <xdr:ext cx="184731" cy="303466"/>
    <xdr:sp macro="" textlink="">
      <xdr:nvSpPr>
        <xdr:cNvPr id="30" name="TextBox 29">
          <a:extLst>
            <a:ext uri="{FF2B5EF4-FFF2-40B4-BE49-F238E27FC236}">
              <a16:creationId xmlns:a16="http://schemas.microsoft.com/office/drawing/2014/main" id="{32853973-703F-4612-BF5F-3EB0D4E352CE}"/>
            </a:ext>
          </a:extLst>
        </xdr:cNvPr>
        <xdr:cNvSpPr txBox="1"/>
      </xdr:nvSpPr>
      <xdr:spPr>
        <a:xfrm>
          <a:off x="7334250" y="134588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1" name="TextBox 30">
          <a:extLst>
            <a:ext uri="{FF2B5EF4-FFF2-40B4-BE49-F238E27FC236}">
              <a16:creationId xmlns:a16="http://schemas.microsoft.com/office/drawing/2014/main" id="{776A8C55-C201-4FB9-AAA6-38493C1F53A0}"/>
            </a:ext>
          </a:extLst>
        </xdr:cNvPr>
        <xdr:cNvSpPr txBox="1"/>
      </xdr:nvSpPr>
      <xdr:spPr>
        <a:xfrm>
          <a:off x="73342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2" name="TextBox 31">
          <a:extLst>
            <a:ext uri="{FF2B5EF4-FFF2-40B4-BE49-F238E27FC236}">
              <a16:creationId xmlns:a16="http://schemas.microsoft.com/office/drawing/2014/main" id="{434C78F1-1F9A-4277-B379-01F1CED57EA4}"/>
            </a:ext>
          </a:extLst>
        </xdr:cNvPr>
        <xdr:cNvSpPr txBox="1"/>
      </xdr:nvSpPr>
      <xdr:spPr>
        <a:xfrm>
          <a:off x="73342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3" name="TextBox 32">
          <a:extLst>
            <a:ext uri="{FF2B5EF4-FFF2-40B4-BE49-F238E27FC236}">
              <a16:creationId xmlns:a16="http://schemas.microsoft.com/office/drawing/2014/main" id="{1382EE3C-4A56-494A-9872-20C243C49FDE}"/>
            </a:ext>
          </a:extLst>
        </xdr:cNvPr>
        <xdr:cNvSpPr txBox="1"/>
      </xdr:nvSpPr>
      <xdr:spPr>
        <a:xfrm>
          <a:off x="73342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4" name="TextBox 33">
          <a:extLst>
            <a:ext uri="{FF2B5EF4-FFF2-40B4-BE49-F238E27FC236}">
              <a16:creationId xmlns:a16="http://schemas.microsoft.com/office/drawing/2014/main" id="{103659FB-E95A-4EFE-BF69-31BB08EBEAC4}"/>
            </a:ext>
          </a:extLst>
        </xdr:cNvPr>
        <xdr:cNvSpPr txBox="1"/>
      </xdr:nvSpPr>
      <xdr:spPr>
        <a:xfrm>
          <a:off x="73342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5" name="TextBox 34">
          <a:extLst>
            <a:ext uri="{FF2B5EF4-FFF2-40B4-BE49-F238E27FC236}">
              <a16:creationId xmlns:a16="http://schemas.microsoft.com/office/drawing/2014/main" id="{FC916AA6-6E48-429F-B542-CD0F73B0B916}"/>
            </a:ext>
          </a:extLst>
        </xdr:cNvPr>
        <xdr:cNvSpPr txBox="1"/>
      </xdr:nvSpPr>
      <xdr:spPr>
        <a:xfrm>
          <a:off x="73342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6" name="TextBox 35">
          <a:extLst>
            <a:ext uri="{FF2B5EF4-FFF2-40B4-BE49-F238E27FC236}">
              <a16:creationId xmlns:a16="http://schemas.microsoft.com/office/drawing/2014/main" id="{FFB6D2BC-0218-448E-A59D-592810783351}"/>
            </a:ext>
          </a:extLst>
        </xdr:cNvPr>
        <xdr:cNvSpPr txBox="1"/>
      </xdr:nvSpPr>
      <xdr:spPr>
        <a:xfrm>
          <a:off x="73342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7" name="TextBox 36">
          <a:extLst>
            <a:ext uri="{FF2B5EF4-FFF2-40B4-BE49-F238E27FC236}">
              <a16:creationId xmlns:a16="http://schemas.microsoft.com/office/drawing/2014/main" id="{91168178-A1EE-45D0-8E73-D7FB34581968}"/>
            </a:ext>
          </a:extLst>
        </xdr:cNvPr>
        <xdr:cNvSpPr txBox="1"/>
      </xdr:nvSpPr>
      <xdr:spPr>
        <a:xfrm>
          <a:off x="73342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8" name="TextBox 37">
          <a:extLst>
            <a:ext uri="{FF2B5EF4-FFF2-40B4-BE49-F238E27FC236}">
              <a16:creationId xmlns:a16="http://schemas.microsoft.com/office/drawing/2014/main" id="{55F8CEBA-1437-401E-8DEA-F2E7082D43E1}"/>
            </a:ext>
          </a:extLst>
        </xdr:cNvPr>
        <xdr:cNvSpPr txBox="1"/>
      </xdr:nvSpPr>
      <xdr:spPr>
        <a:xfrm>
          <a:off x="73342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39" name="TextBox 38">
          <a:extLst>
            <a:ext uri="{FF2B5EF4-FFF2-40B4-BE49-F238E27FC236}">
              <a16:creationId xmlns:a16="http://schemas.microsoft.com/office/drawing/2014/main" id="{5DF9C674-DA75-4F27-B9D4-77D035AD3D5B}"/>
            </a:ext>
          </a:extLst>
        </xdr:cNvPr>
        <xdr:cNvSpPr txBox="1"/>
      </xdr:nvSpPr>
      <xdr:spPr>
        <a:xfrm>
          <a:off x="73342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40" name="TextBox 39">
          <a:extLst>
            <a:ext uri="{FF2B5EF4-FFF2-40B4-BE49-F238E27FC236}">
              <a16:creationId xmlns:a16="http://schemas.microsoft.com/office/drawing/2014/main" id="{EC963DCE-929A-41CD-A1E4-9E2D92562856}"/>
            </a:ext>
          </a:extLst>
        </xdr:cNvPr>
        <xdr:cNvSpPr txBox="1"/>
      </xdr:nvSpPr>
      <xdr:spPr>
        <a:xfrm>
          <a:off x="73342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96</xdr:row>
      <xdr:rowOff>0</xdr:rowOff>
    </xdr:from>
    <xdr:ext cx="192763" cy="264560"/>
    <xdr:sp macro="" textlink="">
      <xdr:nvSpPr>
        <xdr:cNvPr id="41" name="TextBox 40">
          <a:extLst>
            <a:ext uri="{FF2B5EF4-FFF2-40B4-BE49-F238E27FC236}">
              <a16:creationId xmlns:a16="http://schemas.microsoft.com/office/drawing/2014/main" id="{D893DE3B-45B2-4D9D-BA3B-5E7B9D57C7FA}"/>
            </a:ext>
          </a:extLst>
        </xdr:cNvPr>
        <xdr:cNvSpPr txBox="1"/>
      </xdr:nvSpPr>
      <xdr:spPr>
        <a:xfrm>
          <a:off x="569214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96</xdr:row>
      <xdr:rowOff>0</xdr:rowOff>
    </xdr:from>
    <xdr:ext cx="192763" cy="264560"/>
    <xdr:sp macro="" textlink="">
      <xdr:nvSpPr>
        <xdr:cNvPr id="42" name="TextBox 41">
          <a:extLst>
            <a:ext uri="{FF2B5EF4-FFF2-40B4-BE49-F238E27FC236}">
              <a16:creationId xmlns:a16="http://schemas.microsoft.com/office/drawing/2014/main" id="{41B35EC6-1761-4ED1-9CA8-E52DA320BC68}"/>
            </a:ext>
          </a:extLst>
        </xdr:cNvPr>
        <xdr:cNvSpPr txBox="1"/>
      </xdr:nvSpPr>
      <xdr:spPr>
        <a:xfrm>
          <a:off x="733044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96</xdr:row>
      <xdr:rowOff>0</xdr:rowOff>
    </xdr:from>
    <xdr:ext cx="192763" cy="264560"/>
    <xdr:sp macro="" textlink="">
      <xdr:nvSpPr>
        <xdr:cNvPr id="43" name="TextBox 42">
          <a:extLst>
            <a:ext uri="{FF2B5EF4-FFF2-40B4-BE49-F238E27FC236}">
              <a16:creationId xmlns:a16="http://schemas.microsoft.com/office/drawing/2014/main" id="{CD935BF5-41FE-42B3-BC0E-40A023EB2534}"/>
            </a:ext>
          </a:extLst>
        </xdr:cNvPr>
        <xdr:cNvSpPr txBox="1"/>
      </xdr:nvSpPr>
      <xdr:spPr>
        <a:xfrm>
          <a:off x="8863965"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97</xdr:row>
      <xdr:rowOff>0</xdr:rowOff>
    </xdr:from>
    <xdr:ext cx="183125" cy="264560"/>
    <xdr:sp macro="" textlink="">
      <xdr:nvSpPr>
        <xdr:cNvPr id="44" name="TextBox 43">
          <a:extLst>
            <a:ext uri="{FF2B5EF4-FFF2-40B4-BE49-F238E27FC236}">
              <a16:creationId xmlns:a16="http://schemas.microsoft.com/office/drawing/2014/main" id="{F7DAC0E5-1FAF-4788-A706-49156F375720}"/>
            </a:ext>
          </a:extLst>
        </xdr:cNvPr>
        <xdr:cNvSpPr txBox="1"/>
      </xdr:nvSpPr>
      <xdr:spPr>
        <a:xfrm>
          <a:off x="3587115" y="1331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97</xdr:row>
      <xdr:rowOff>0</xdr:rowOff>
    </xdr:from>
    <xdr:ext cx="184731" cy="271710"/>
    <xdr:sp macro="" textlink="">
      <xdr:nvSpPr>
        <xdr:cNvPr id="45" name="TextBox 44">
          <a:extLst>
            <a:ext uri="{FF2B5EF4-FFF2-40B4-BE49-F238E27FC236}">
              <a16:creationId xmlns:a16="http://schemas.microsoft.com/office/drawing/2014/main" id="{84BF3D05-53EE-4905-8BFF-09C7CC9B368E}"/>
            </a:ext>
          </a:extLst>
        </xdr:cNvPr>
        <xdr:cNvSpPr txBox="1"/>
      </xdr:nvSpPr>
      <xdr:spPr>
        <a:xfrm>
          <a:off x="769620" y="1331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3139440</xdr:colOff>
      <xdr:row>100</xdr:row>
      <xdr:rowOff>0</xdr:rowOff>
    </xdr:from>
    <xdr:ext cx="192763" cy="264560"/>
    <xdr:sp macro="" textlink="">
      <xdr:nvSpPr>
        <xdr:cNvPr id="2" name="TextBox 1">
          <a:extLst>
            <a:ext uri="{FF2B5EF4-FFF2-40B4-BE49-F238E27FC236}">
              <a16:creationId xmlns:a16="http://schemas.microsoft.com/office/drawing/2014/main" id="{195EA89D-D3EF-4217-8390-796130A73DA4}"/>
            </a:ext>
          </a:extLst>
        </xdr:cNvPr>
        <xdr:cNvSpPr txBox="1"/>
      </xdr:nvSpPr>
      <xdr:spPr>
        <a:xfrm>
          <a:off x="3139440"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3" name="TextBox 2">
          <a:extLst>
            <a:ext uri="{FF2B5EF4-FFF2-40B4-BE49-F238E27FC236}">
              <a16:creationId xmlns:a16="http://schemas.microsoft.com/office/drawing/2014/main" id="{16ED32BD-11D8-458D-8C98-874B81CDE67A}"/>
            </a:ext>
          </a:extLst>
        </xdr:cNvPr>
        <xdr:cNvSpPr txBox="1"/>
      </xdr:nvSpPr>
      <xdr:spPr>
        <a:xfrm>
          <a:off x="3139440" y="15992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303466"/>
    <xdr:sp macro="" textlink="">
      <xdr:nvSpPr>
        <xdr:cNvPr id="4" name="TextBox 3">
          <a:extLst>
            <a:ext uri="{FF2B5EF4-FFF2-40B4-BE49-F238E27FC236}">
              <a16:creationId xmlns:a16="http://schemas.microsoft.com/office/drawing/2014/main" id="{2EDA2A3A-3625-4BC9-8D30-FF3246CC475A}"/>
            </a:ext>
          </a:extLst>
        </xdr:cNvPr>
        <xdr:cNvSpPr txBox="1"/>
      </xdr:nvSpPr>
      <xdr:spPr>
        <a:xfrm>
          <a:off x="3139440" y="161544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5" name="TextBox 4">
          <a:extLst>
            <a:ext uri="{FF2B5EF4-FFF2-40B4-BE49-F238E27FC236}">
              <a16:creationId xmlns:a16="http://schemas.microsoft.com/office/drawing/2014/main" id="{3DA66DB2-B470-47FE-9CE7-4D5C2FEFCD59}"/>
            </a:ext>
          </a:extLst>
        </xdr:cNvPr>
        <xdr:cNvSpPr txBox="1"/>
      </xdr:nvSpPr>
      <xdr:spPr>
        <a:xfrm>
          <a:off x="3139440" y="16316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6" name="TextBox 5">
          <a:extLst>
            <a:ext uri="{FF2B5EF4-FFF2-40B4-BE49-F238E27FC236}">
              <a16:creationId xmlns:a16="http://schemas.microsoft.com/office/drawing/2014/main" id="{EF6C2687-FAC8-4935-ADEE-0F48C6757F44}"/>
            </a:ext>
          </a:extLst>
        </xdr:cNvPr>
        <xdr:cNvSpPr txBox="1"/>
      </xdr:nvSpPr>
      <xdr:spPr>
        <a:xfrm>
          <a:off x="3139440" y="16316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7" name="TextBox 6">
          <a:extLst>
            <a:ext uri="{FF2B5EF4-FFF2-40B4-BE49-F238E27FC236}">
              <a16:creationId xmlns:a16="http://schemas.microsoft.com/office/drawing/2014/main" id="{D3BC90AB-8D38-4F35-AEFB-A0BD80F1606E}"/>
            </a:ext>
          </a:extLst>
        </xdr:cNvPr>
        <xdr:cNvSpPr txBox="1"/>
      </xdr:nvSpPr>
      <xdr:spPr>
        <a:xfrm>
          <a:off x="3139440" y="16478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8" name="TextBox 7">
          <a:extLst>
            <a:ext uri="{FF2B5EF4-FFF2-40B4-BE49-F238E27FC236}">
              <a16:creationId xmlns:a16="http://schemas.microsoft.com/office/drawing/2014/main" id="{02A0D8A4-010C-40E8-8FE8-377B2D2ACC0B}"/>
            </a:ext>
          </a:extLst>
        </xdr:cNvPr>
        <xdr:cNvSpPr txBox="1"/>
      </xdr:nvSpPr>
      <xdr:spPr>
        <a:xfrm>
          <a:off x="3139440" y="16478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105</xdr:row>
      <xdr:rowOff>0</xdr:rowOff>
    </xdr:from>
    <xdr:ext cx="192763" cy="264560"/>
    <xdr:sp macro="" textlink="">
      <xdr:nvSpPr>
        <xdr:cNvPr id="9" name="TextBox 8">
          <a:extLst>
            <a:ext uri="{FF2B5EF4-FFF2-40B4-BE49-F238E27FC236}">
              <a16:creationId xmlns:a16="http://schemas.microsoft.com/office/drawing/2014/main" id="{DA3AF27C-4B57-4FEF-B5C8-59A318B44D6C}"/>
            </a:ext>
          </a:extLst>
        </xdr:cNvPr>
        <xdr:cNvSpPr txBox="1"/>
      </xdr:nvSpPr>
      <xdr:spPr>
        <a:xfrm>
          <a:off x="3139440" y="16640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105</xdr:row>
      <xdr:rowOff>0</xdr:rowOff>
    </xdr:from>
    <xdr:ext cx="192763" cy="264560"/>
    <xdr:sp macro="" textlink="">
      <xdr:nvSpPr>
        <xdr:cNvPr id="10" name="TextBox 9">
          <a:extLst>
            <a:ext uri="{FF2B5EF4-FFF2-40B4-BE49-F238E27FC236}">
              <a16:creationId xmlns:a16="http://schemas.microsoft.com/office/drawing/2014/main" id="{DBD4FF41-E646-403E-A1FE-4375F56C8EEC}"/>
            </a:ext>
          </a:extLst>
        </xdr:cNvPr>
        <xdr:cNvSpPr txBox="1"/>
      </xdr:nvSpPr>
      <xdr:spPr>
        <a:xfrm>
          <a:off x="3139440" y="16640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106</xdr:row>
      <xdr:rowOff>0</xdr:rowOff>
    </xdr:from>
    <xdr:ext cx="192763" cy="264560"/>
    <xdr:sp macro="" textlink="">
      <xdr:nvSpPr>
        <xdr:cNvPr id="11" name="TextBox 10">
          <a:extLst>
            <a:ext uri="{FF2B5EF4-FFF2-40B4-BE49-F238E27FC236}">
              <a16:creationId xmlns:a16="http://schemas.microsoft.com/office/drawing/2014/main" id="{F2A6508E-46DC-4B75-B8D8-6DD16050EE97}"/>
            </a:ext>
          </a:extLst>
        </xdr:cNvPr>
        <xdr:cNvSpPr txBox="1"/>
      </xdr:nvSpPr>
      <xdr:spPr>
        <a:xfrm>
          <a:off x="3139440" y="16802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106</xdr:row>
      <xdr:rowOff>0</xdr:rowOff>
    </xdr:from>
    <xdr:ext cx="192763" cy="264560"/>
    <xdr:sp macro="" textlink="">
      <xdr:nvSpPr>
        <xdr:cNvPr id="12" name="TextBox 11">
          <a:extLst>
            <a:ext uri="{FF2B5EF4-FFF2-40B4-BE49-F238E27FC236}">
              <a16:creationId xmlns:a16="http://schemas.microsoft.com/office/drawing/2014/main" id="{6575B51C-6475-452A-AF4F-9B818FBCEC95}"/>
            </a:ext>
          </a:extLst>
        </xdr:cNvPr>
        <xdr:cNvSpPr txBox="1"/>
      </xdr:nvSpPr>
      <xdr:spPr>
        <a:xfrm>
          <a:off x="3139440" y="16802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107</xdr:row>
      <xdr:rowOff>0</xdr:rowOff>
    </xdr:from>
    <xdr:ext cx="192763" cy="264560"/>
    <xdr:sp macro="" textlink="">
      <xdr:nvSpPr>
        <xdr:cNvPr id="13" name="TextBox 12">
          <a:extLst>
            <a:ext uri="{FF2B5EF4-FFF2-40B4-BE49-F238E27FC236}">
              <a16:creationId xmlns:a16="http://schemas.microsoft.com/office/drawing/2014/main" id="{1D6471C1-B082-4FA1-8C4F-B4B81E424E67}"/>
            </a:ext>
          </a:extLst>
        </xdr:cNvPr>
        <xdr:cNvSpPr txBox="1"/>
      </xdr:nvSpPr>
      <xdr:spPr>
        <a:xfrm>
          <a:off x="3139440" y="1696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107</xdr:row>
      <xdr:rowOff>0</xdr:rowOff>
    </xdr:from>
    <xdr:ext cx="192763" cy="264560"/>
    <xdr:sp macro="" textlink="">
      <xdr:nvSpPr>
        <xdr:cNvPr id="14" name="TextBox 13">
          <a:extLst>
            <a:ext uri="{FF2B5EF4-FFF2-40B4-BE49-F238E27FC236}">
              <a16:creationId xmlns:a16="http://schemas.microsoft.com/office/drawing/2014/main" id="{C0924838-96A9-46AC-B5D3-5E38DCAB3ECD}"/>
            </a:ext>
          </a:extLst>
        </xdr:cNvPr>
        <xdr:cNvSpPr txBox="1"/>
      </xdr:nvSpPr>
      <xdr:spPr>
        <a:xfrm>
          <a:off x="3139440" y="1696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100</xdr:row>
      <xdr:rowOff>0</xdr:rowOff>
    </xdr:from>
    <xdr:ext cx="184731" cy="264560"/>
    <xdr:sp macro="" textlink="">
      <xdr:nvSpPr>
        <xdr:cNvPr id="15" name="TextBox 14">
          <a:extLst>
            <a:ext uri="{FF2B5EF4-FFF2-40B4-BE49-F238E27FC236}">
              <a16:creationId xmlns:a16="http://schemas.microsoft.com/office/drawing/2014/main" id="{57B2AA7B-588C-43AB-8BFD-55900601C63F}"/>
            </a:ext>
          </a:extLst>
        </xdr:cNvPr>
        <xdr:cNvSpPr txBox="1"/>
      </xdr:nvSpPr>
      <xdr:spPr>
        <a:xfrm>
          <a:off x="6353175" y="158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16" name="TextBox 15">
          <a:extLst>
            <a:ext uri="{FF2B5EF4-FFF2-40B4-BE49-F238E27FC236}">
              <a16:creationId xmlns:a16="http://schemas.microsoft.com/office/drawing/2014/main" id="{898A3C4C-C3AE-4DF6-B533-5AE6507936E0}"/>
            </a:ext>
          </a:extLst>
        </xdr:cNvPr>
        <xdr:cNvSpPr txBox="1"/>
      </xdr:nvSpPr>
      <xdr:spPr>
        <a:xfrm>
          <a:off x="6353175" y="1599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102</xdr:row>
      <xdr:rowOff>0</xdr:rowOff>
    </xdr:from>
    <xdr:ext cx="184731" cy="303466"/>
    <xdr:sp macro="" textlink="">
      <xdr:nvSpPr>
        <xdr:cNvPr id="17" name="TextBox 16">
          <a:extLst>
            <a:ext uri="{FF2B5EF4-FFF2-40B4-BE49-F238E27FC236}">
              <a16:creationId xmlns:a16="http://schemas.microsoft.com/office/drawing/2014/main" id="{DBD5FCC1-3FE7-42FF-A8F8-1FA4FECF57BE}"/>
            </a:ext>
          </a:extLst>
        </xdr:cNvPr>
        <xdr:cNvSpPr txBox="1"/>
      </xdr:nvSpPr>
      <xdr:spPr>
        <a:xfrm>
          <a:off x="6353175" y="161544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103</xdr:row>
      <xdr:rowOff>0</xdr:rowOff>
    </xdr:from>
    <xdr:ext cx="184731" cy="264560"/>
    <xdr:sp macro="" textlink="">
      <xdr:nvSpPr>
        <xdr:cNvPr id="18" name="TextBox 17">
          <a:extLst>
            <a:ext uri="{FF2B5EF4-FFF2-40B4-BE49-F238E27FC236}">
              <a16:creationId xmlns:a16="http://schemas.microsoft.com/office/drawing/2014/main" id="{1B115646-DBB7-4C9C-8010-29C52B9E94CF}"/>
            </a:ext>
          </a:extLst>
        </xdr:cNvPr>
        <xdr:cNvSpPr txBox="1"/>
      </xdr:nvSpPr>
      <xdr:spPr>
        <a:xfrm>
          <a:off x="635317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103</xdr:row>
      <xdr:rowOff>0</xdr:rowOff>
    </xdr:from>
    <xdr:ext cx="184731" cy="264560"/>
    <xdr:sp macro="" textlink="">
      <xdr:nvSpPr>
        <xdr:cNvPr id="19" name="TextBox 18">
          <a:extLst>
            <a:ext uri="{FF2B5EF4-FFF2-40B4-BE49-F238E27FC236}">
              <a16:creationId xmlns:a16="http://schemas.microsoft.com/office/drawing/2014/main" id="{D240B144-7164-4B3B-8C89-87AE3DFEF701}"/>
            </a:ext>
          </a:extLst>
        </xdr:cNvPr>
        <xdr:cNvSpPr txBox="1"/>
      </xdr:nvSpPr>
      <xdr:spPr>
        <a:xfrm>
          <a:off x="635317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0" name="TextBox 19">
          <a:extLst>
            <a:ext uri="{FF2B5EF4-FFF2-40B4-BE49-F238E27FC236}">
              <a16:creationId xmlns:a16="http://schemas.microsoft.com/office/drawing/2014/main" id="{38547455-02E3-4205-8165-FBDDD3830396}"/>
            </a:ext>
          </a:extLst>
        </xdr:cNvPr>
        <xdr:cNvSpPr txBox="1"/>
      </xdr:nvSpPr>
      <xdr:spPr>
        <a:xfrm>
          <a:off x="635317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1" name="TextBox 20">
          <a:extLst>
            <a:ext uri="{FF2B5EF4-FFF2-40B4-BE49-F238E27FC236}">
              <a16:creationId xmlns:a16="http://schemas.microsoft.com/office/drawing/2014/main" id="{C9CB200D-A4AD-47A2-A54F-ADDB751E212D}"/>
            </a:ext>
          </a:extLst>
        </xdr:cNvPr>
        <xdr:cNvSpPr txBox="1"/>
      </xdr:nvSpPr>
      <xdr:spPr>
        <a:xfrm>
          <a:off x="635317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105</xdr:row>
      <xdr:rowOff>0</xdr:rowOff>
    </xdr:from>
    <xdr:ext cx="184731" cy="264560"/>
    <xdr:sp macro="" textlink="">
      <xdr:nvSpPr>
        <xdr:cNvPr id="22" name="TextBox 21">
          <a:extLst>
            <a:ext uri="{FF2B5EF4-FFF2-40B4-BE49-F238E27FC236}">
              <a16:creationId xmlns:a16="http://schemas.microsoft.com/office/drawing/2014/main" id="{938131A0-426D-422A-B0A9-45BBE4B5CA59}"/>
            </a:ext>
          </a:extLst>
        </xdr:cNvPr>
        <xdr:cNvSpPr txBox="1"/>
      </xdr:nvSpPr>
      <xdr:spPr>
        <a:xfrm>
          <a:off x="635317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105</xdr:row>
      <xdr:rowOff>0</xdr:rowOff>
    </xdr:from>
    <xdr:ext cx="184731" cy="264560"/>
    <xdr:sp macro="" textlink="">
      <xdr:nvSpPr>
        <xdr:cNvPr id="23" name="TextBox 22">
          <a:extLst>
            <a:ext uri="{FF2B5EF4-FFF2-40B4-BE49-F238E27FC236}">
              <a16:creationId xmlns:a16="http://schemas.microsoft.com/office/drawing/2014/main" id="{15792219-5C40-4A30-8EE1-415A0176EC77}"/>
            </a:ext>
          </a:extLst>
        </xdr:cNvPr>
        <xdr:cNvSpPr txBox="1"/>
      </xdr:nvSpPr>
      <xdr:spPr>
        <a:xfrm>
          <a:off x="635317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106</xdr:row>
      <xdr:rowOff>0</xdr:rowOff>
    </xdr:from>
    <xdr:ext cx="184731" cy="264560"/>
    <xdr:sp macro="" textlink="">
      <xdr:nvSpPr>
        <xdr:cNvPr id="24" name="TextBox 23">
          <a:extLst>
            <a:ext uri="{FF2B5EF4-FFF2-40B4-BE49-F238E27FC236}">
              <a16:creationId xmlns:a16="http://schemas.microsoft.com/office/drawing/2014/main" id="{DE29DF1C-C647-4133-99E9-6C5DC8297FA1}"/>
            </a:ext>
          </a:extLst>
        </xdr:cNvPr>
        <xdr:cNvSpPr txBox="1"/>
      </xdr:nvSpPr>
      <xdr:spPr>
        <a:xfrm>
          <a:off x="635317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106</xdr:row>
      <xdr:rowOff>0</xdr:rowOff>
    </xdr:from>
    <xdr:ext cx="184731" cy="264560"/>
    <xdr:sp macro="" textlink="">
      <xdr:nvSpPr>
        <xdr:cNvPr id="25" name="TextBox 24">
          <a:extLst>
            <a:ext uri="{FF2B5EF4-FFF2-40B4-BE49-F238E27FC236}">
              <a16:creationId xmlns:a16="http://schemas.microsoft.com/office/drawing/2014/main" id="{23B6D8D8-A74B-417B-A339-21D7D8D563C9}"/>
            </a:ext>
          </a:extLst>
        </xdr:cNvPr>
        <xdr:cNvSpPr txBox="1"/>
      </xdr:nvSpPr>
      <xdr:spPr>
        <a:xfrm>
          <a:off x="635317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107</xdr:row>
      <xdr:rowOff>0</xdr:rowOff>
    </xdr:from>
    <xdr:ext cx="184731" cy="264560"/>
    <xdr:sp macro="" textlink="">
      <xdr:nvSpPr>
        <xdr:cNvPr id="26" name="TextBox 25">
          <a:extLst>
            <a:ext uri="{FF2B5EF4-FFF2-40B4-BE49-F238E27FC236}">
              <a16:creationId xmlns:a16="http://schemas.microsoft.com/office/drawing/2014/main" id="{BFF3A8F3-4563-4729-A00C-58D594430E52}"/>
            </a:ext>
          </a:extLst>
        </xdr:cNvPr>
        <xdr:cNvSpPr txBox="1"/>
      </xdr:nvSpPr>
      <xdr:spPr>
        <a:xfrm>
          <a:off x="635317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107</xdr:row>
      <xdr:rowOff>0</xdr:rowOff>
    </xdr:from>
    <xdr:ext cx="184731" cy="264560"/>
    <xdr:sp macro="" textlink="">
      <xdr:nvSpPr>
        <xdr:cNvPr id="27" name="TextBox 26">
          <a:extLst>
            <a:ext uri="{FF2B5EF4-FFF2-40B4-BE49-F238E27FC236}">
              <a16:creationId xmlns:a16="http://schemas.microsoft.com/office/drawing/2014/main" id="{94BA6916-B2DC-46BD-B8EE-0FFF49718986}"/>
            </a:ext>
          </a:extLst>
        </xdr:cNvPr>
        <xdr:cNvSpPr txBox="1"/>
      </xdr:nvSpPr>
      <xdr:spPr>
        <a:xfrm>
          <a:off x="635317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8" name="TextBox 27">
          <a:extLst>
            <a:ext uri="{FF2B5EF4-FFF2-40B4-BE49-F238E27FC236}">
              <a16:creationId xmlns:a16="http://schemas.microsoft.com/office/drawing/2014/main" id="{81AB5E05-EF73-48F7-B2E8-51FC9CC233FA}"/>
            </a:ext>
          </a:extLst>
        </xdr:cNvPr>
        <xdr:cNvSpPr txBox="1"/>
      </xdr:nvSpPr>
      <xdr:spPr>
        <a:xfrm>
          <a:off x="7820025" y="158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9" name="TextBox 28">
          <a:extLst>
            <a:ext uri="{FF2B5EF4-FFF2-40B4-BE49-F238E27FC236}">
              <a16:creationId xmlns:a16="http://schemas.microsoft.com/office/drawing/2014/main" id="{23EDB5B7-3734-4D9B-B847-A77A25DAC4BA}"/>
            </a:ext>
          </a:extLst>
        </xdr:cNvPr>
        <xdr:cNvSpPr txBox="1"/>
      </xdr:nvSpPr>
      <xdr:spPr>
        <a:xfrm>
          <a:off x="7820025" y="1599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102</xdr:row>
      <xdr:rowOff>0</xdr:rowOff>
    </xdr:from>
    <xdr:ext cx="184731" cy="303466"/>
    <xdr:sp macro="" textlink="">
      <xdr:nvSpPr>
        <xdr:cNvPr id="30" name="TextBox 29">
          <a:extLst>
            <a:ext uri="{FF2B5EF4-FFF2-40B4-BE49-F238E27FC236}">
              <a16:creationId xmlns:a16="http://schemas.microsoft.com/office/drawing/2014/main" id="{FBEFCD04-1D58-4398-B6D3-C3453EB156B3}"/>
            </a:ext>
          </a:extLst>
        </xdr:cNvPr>
        <xdr:cNvSpPr txBox="1"/>
      </xdr:nvSpPr>
      <xdr:spPr>
        <a:xfrm>
          <a:off x="7820025" y="161544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103</xdr:row>
      <xdr:rowOff>0</xdr:rowOff>
    </xdr:from>
    <xdr:ext cx="184731" cy="264560"/>
    <xdr:sp macro="" textlink="">
      <xdr:nvSpPr>
        <xdr:cNvPr id="31" name="TextBox 30">
          <a:extLst>
            <a:ext uri="{FF2B5EF4-FFF2-40B4-BE49-F238E27FC236}">
              <a16:creationId xmlns:a16="http://schemas.microsoft.com/office/drawing/2014/main" id="{FD2657F3-78FF-45E3-93D3-87E155A0E4A9}"/>
            </a:ext>
          </a:extLst>
        </xdr:cNvPr>
        <xdr:cNvSpPr txBox="1"/>
      </xdr:nvSpPr>
      <xdr:spPr>
        <a:xfrm>
          <a:off x="782002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103</xdr:row>
      <xdr:rowOff>0</xdr:rowOff>
    </xdr:from>
    <xdr:ext cx="184731" cy="264560"/>
    <xdr:sp macro="" textlink="">
      <xdr:nvSpPr>
        <xdr:cNvPr id="32" name="TextBox 31">
          <a:extLst>
            <a:ext uri="{FF2B5EF4-FFF2-40B4-BE49-F238E27FC236}">
              <a16:creationId xmlns:a16="http://schemas.microsoft.com/office/drawing/2014/main" id="{6738FD2E-5BE4-4614-AA79-40D22B0FDAA0}"/>
            </a:ext>
          </a:extLst>
        </xdr:cNvPr>
        <xdr:cNvSpPr txBox="1"/>
      </xdr:nvSpPr>
      <xdr:spPr>
        <a:xfrm>
          <a:off x="782002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3" name="TextBox 32">
          <a:extLst>
            <a:ext uri="{FF2B5EF4-FFF2-40B4-BE49-F238E27FC236}">
              <a16:creationId xmlns:a16="http://schemas.microsoft.com/office/drawing/2014/main" id="{A6BF03DB-F202-4827-885F-FAEA23303839}"/>
            </a:ext>
          </a:extLst>
        </xdr:cNvPr>
        <xdr:cNvSpPr txBox="1"/>
      </xdr:nvSpPr>
      <xdr:spPr>
        <a:xfrm>
          <a:off x="782002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4" name="TextBox 33">
          <a:extLst>
            <a:ext uri="{FF2B5EF4-FFF2-40B4-BE49-F238E27FC236}">
              <a16:creationId xmlns:a16="http://schemas.microsoft.com/office/drawing/2014/main" id="{1F38DA8F-4743-43F3-AFCB-585FA9AD06DE}"/>
            </a:ext>
          </a:extLst>
        </xdr:cNvPr>
        <xdr:cNvSpPr txBox="1"/>
      </xdr:nvSpPr>
      <xdr:spPr>
        <a:xfrm>
          <a:off x="782002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105</xdr:row>
      <xdr:rowOff>0</xdr:rowOff>
    </xdr:from>
    <xdr:ext cx="184731" cy="264560"/>
    <xdr:sp macro="" textlink="">
      <xdr:nvSpPr>
        <xdr:cNvPr id="35" name="TextBox 34">
          <a:extLst>
            <a:ext uri="{FF2B5EF4-FFF2-40B4-BE49-F238E27FC236}">
              <a16:creationId xmlns:a16="http://schemas.microsoft.com/office/drawing/2014/main" id="{D179418B-2FE8-4A69-8F08-8DCE324C7903}"/>
            </a:ext>
          </a:extLst>
        </xdr:cNvPr>
        <xdr:cNvSpPr txBox="1"/>
      </xdr:nvSpPr>
      <xdr:spPr>
        <a:xfrm>
          <a:off x="782002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105</xdr:row>
      <xdr:rowOff>0</xdr:rowOff>
    </xdr:from>
    <xdr:ext cx="184731" cy="264560"/>
    <xdr:sp macro="" textlink="">
      <xdr:nvSpPr>
        <xdr:cNvPr id="36" name="TextBox 35">
          <a:extLst>
            <a:ext uri="{FF2B5EF4-FFF2-40B4-BE49-F238E27FC236}">
              <a16:creationId xmlns:a16="http://schemas.microsoft.com/office/drawing/2014/main" id="{87289C97-68C8-40AA-BCCD-E1D38A0C623D}"/>
            </a:ext>
          </a:extLst>
        </xdr:cNvPr>
        <xdr:cNvSpPr txBox="1"/>
      </xdr:nvSpPr>
      <xdr:spPr>
        <a:xfrm>
          <a:off x="782002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106</xdr:row>
      <xdr:rowOff>0</xdr:rowOff>
    </xdr:from>
    <xdr:ext cx="184731" cy="264560"/>
    <xdr:sp macro="" textlink="">
      <xdr:nvSpPr>
        <xdr:cNvPr id="37" name="TextBox 36">
          <a:extLst>
            <a:ext uri="{FF2B5EF4-FFF2-40B4-BE49-F238E27FC236}">
              <a16:creationId xmlns:a16="http://schemas.microsoft.com/office/drawing/2014/main" id="{EF59861E-6688-483D-AFD4-DAEA64F9A80C}"/>
            </a:ext>
          </a:extLst>
        </xdr:cNvPr>
        <xdr:cNvSpPr txBox="1"/>
      </xdr:nvSpPr>
      <xdr:spPr>
        <a:xfrm>
          <a:off x="782002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106</xdr:row>
      <xdr:rowOff>0</xdr:rowOff>
    </xdr:from>
    <xdr:ext cx="184731" cy="264560"/>
    <xdr:sp macro="" textlink="">
      <xdr:nvSpPr>
        <xdr:cNvPr id="38" name="TextBox 37">
          <a:extLst>
            <a:ext uri="{FF2B5EF4-FFF2-40B4-BE49-F238E27FC236}">
              <a16:creationId xmlns:a16="http://schemas.microsoft.com/office/drawing/2014/main" id="{956D539D-B7C2-418E-A0CE-84A824FDF7D3}"/>
            </a:ext>
          </a:extLst>
        </xdr:cNvPr>
        <xdr:cNvSpPr txBox="1"/>
      </xdr:nvSpPr>
      <xdr:spPr>
        <a:xfrm>
          <a:off x="782002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107</xdr:row>
      <xdr:rowOff>0</xdr:rowOff>
    </xdr:from>
    <xdr:ext cx="184731" cy="264560"/>
    <xdr:sp macro="" textlink="">
      <xdr:nvSpPr>
        <xdr:cNvPr id="39" name="TextBox 38">
          <a:extLst>
            <a:ext uri="{FF2B5EF4-FFF2-40B4-BE49-F238E27FC236}">
              <a16:creationId xmlns:a16="http://schemas.microsoft.com/office/drawing/2014/main" id="{4A0D8075-5BDF-4ECB-9AD9-514667266230}"/>
            </a:ext>
          </a:extLst>
        </xdr:cNvPr>
        <xdr:cNvSpPr txBox="1"/>
      </xdr:nvSpPr>
      <xdr:spPr>
        <a:xfrm>
          <a:off x="782002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107</xdr:row>
      <xdr:rowOff>0</xdr:rowOff>
    </xdr:from>
    <xdr:ext cx="184731" cy="264560"/>
    <xdr:sp macro="" textlink="">
      <xdr:nvSpPr>
        <xdr:cNvPr id="40" name="TextBox 39">
          <a:extLst>
            <a:ext uri="{FF2B5EF4-FFF2-40B4-BE49-F238E27FC236}">
              <a16:creationId xmlns:a16="http://schemas.microsoft.com/office/drawing/2014/main" id="{816C8149-A725-43E3-B07F-F8A0607B97C6}"/>
            </a:ext>
          </a:extLst>
        </xdr:cNvPr>
        <xdr:cNvSpPr txBox="1"/>
      </xdr:nvSpPr>
      <xdr:spPr>
        <a:xfrm>
          <a:off x="782002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41" name="TextBox 40">
          <a:extLst>
            <a:ext uri="{FF2B5EF4-FFF2-40B4-BE49-F238E27FC236}">
              <a16:creationId xmlns:a16="http://schemas.microsoft.com/office/drawing/2014/main" id="{41AF2F77-C70D-42F2-B818-3035DC6F39BE}"/>
            </a:ext>
          </a:extLst>
        </xdr:cNvPr>
        <xdr:cNvSpPr txBox="1"/>
      </xdr:nvSpPr>
      <xdr:spPr>
        <a:xfrm>
          <a:off x="634936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100</xdr:row>
      <xdr:rowOff>0</xdr:rowOff>
    </xdr:from>
    <xdr:ext cx="192763" cy="264560"/>
    <xdr:sp macro="" textlink="">
      <xdr:nvSpPr>
        <xdr:cNvPr id="42" name="TextBox 41">
          <a:extLst>
            <a:ext uri="{FF2B5EF4-FFF2-40B4-BE49-F238E27FC236}">
              <a16:creationId xmlns:a16="http://schemas.microsoft.com/office/drawing/2014/main" id="{69DEDD3A-8B7C-4CE9-A017-292FE5FA70CC}"/>
            </a:ext>
          </a:extLst>
        </xdr:cNvPr>
        <xdr:cNvSpPr txBox="1"/>
      </xdr:nvSpPr>
      <xdr:spPr>
        <a:xfrm>
          <a:off x="781621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100</xdr:row>
      <xdr:rowOff>0</xdr:rowOff>
    </xdr:from>
    <xdr:ext cx="192763" cy="264560"/>
    <xdr:sp macro="" textlink="">
      <xdr:nvSpPr>
        <xdr:cNvPr id="43" name="TextBox 42">
          <a:extLst>
            <a:ext uri="{FF2B5EF4-FFF2-40B4-BE49-F238E27FC236}">
              <a16:creationId xmlns:a16="http://schemas.microsoft.com/office/drawing/2014/main" id="{FA674048-8E6F-44F8-9699-BE80739F1173}"/>
            </a:ext>
          </a:extLst>
        </xdr:cNvPr>
        <xdr:cNvSpPr txBox="1"/>
      </xdr:nvSpPr>
      <xdr:spPr>
        <a:xfrm>
          <a:off x="928306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101</xdr:row>
      <xdr:rowOff>0</xdr:rowOff>
    </xdr:from>
    <xdr:ext cx="183125" cy="264560"/>
    <xdr:sp macro="" textlink="">
      <xdr:nvSpPr>
        <xdr:cNvPr id="44" name="TextBox 43">
          <a:extLst>
            <a:ext uri="{FF2B5EF4-FFF2-40B4-BE49-F238E27FC236}">
              <a16:creationId xmlns:a16="http://schemas.microsoft.com/office/drawing/2014/main" id="{3760D578-E9BD-4487-97AD-059B44A15095}"/>
            </a:ext>
          </a:extLst>
        </xdr:cNvPr>
        <xdr:cNvSpPr txBox="1"/>
      </xdr:nvSpPr>
      <xdr:spPr>
        <a:xfrm>
          <a:off x="3148965" y="159924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101</xdr:row>
      <xdr:rowOff>0</xdr:rowOff>
    </xdr:from>
    <xdr:ext cx="184731" cy="271710"/>
    <xdr:sp macro="" textlink="">
      <xdr:nvSpPr>
        <xdr:cNvPr id="45" name="TextBox 44">
          <a:extLst>
            <a:ext uri="{FF2B5EF4-FFF2-40B4-BE49-F238E27FC236}">
              <a16:creationId xmlns:a16="http://schemas.microsoft.com/office/drawing/2014/main" id="{CD38F174-42ED-4C3B-B4AF-CAA755E3657A}"/>
            </a:ext>
          </a:extLst>
        </xdr:cNvPr>
        <xdr:cNvSpPr txBox="1"/>
      </xdr:nvSpPr>
      <xdr:spPr>
        <a:xfrm>
          <a:off x="331470" y="159924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3139440</xdr:colOff>
      <xdr:row>65</xdr:row>
      <xdr:rowOff>0</xdr:rowOff>
    </xdr:from>
    <xdr:ext cx="192763" cy="264560"/>
    <xdr:sp macro="" textlink="">
      <xdr:nvSpPr>
        <xdr:cNvPr id="2" name="TextBox 1">
          <a:extLst>
            <a:ext uri="{FF2B5EF4-FFF2-40B4-BE49-F238E27FC236}">
              <a16:creationId xmlns:a16="http://schemas.microsoft.com/office/drawing/2014/main" id="{F54D0346-1266-4589-B196-8F425D9A6DBA}"/>
            </a:ext>
          </a:extLst>
        </xdr:cNvPr>
        <xdr:cNvSpPr txBox="1"/>
      </xdr:nvSpPr>
      <xdr:spPr>
        <a:xfrm>
          <a:off x="340614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3" name="TextBox 2">
          <a:extLst>
            <a:ext uri="{FF2B5EF4-FFF2-40B4-BE49-F238E27FC236}">
              <a16:creationId xmlns:a16="http://schemas.microsoft.com/office/drawing/2014/main" id="{ADE6F6EF-FB2C-497C-A8A7-8900A76DCB79}"/>
            </a:ext>
          </a:extLst>
        </xdr:cNvPr>
        <xdr:cNvSpPr txBox="1"/>
      </xdr:nvSpPr>
      <xdr:spPr>
        <a:xfrm>
          <a:off x="3406140" y="9420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303466"/>
    <xdr:sp macro="" textlink="">
      <xdr:nvSpPr>
        <xdr:cNvPr id="4" name="TextBox 3">
          <a:extLst>
            <a:ext uri="{FF2B5EF4-FFF2-40B4-BE49-F238E27FC236}">
              <a16:creationId xmlns:a16="http://schemas.microsoft.com/office/drawing/2014/main" id="{29CA3629-9298-4BF4-8E91-4AE294356B28}"/>
            </a:ext>
          </a:extLst>
        </xdr:cNvPr>
        <xdr:cNvSpPr txBox="1"/>
      </xdr:nvSpPr>
      <xdr:spPr>
        <a:xfrm>
          <a:off x="3406140" y="9563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5" name="TextBox 4">
          <a:extLst>
            <a:ext uri="{FF2B5EF4-FFF2-40B4-BE49-F238E27FC236}">
              <a16:creationId xmlns:a16="http://schemas.microsoft.com/office/drawing/2014/main" id="{2EF98F25-7F0C-4C80-9AE5-CF39370CF8AB}"/>
            </a:ext>
          </a:extLst>
        </xdr:cNvPr>
        <xdr:cNvSpPr txBox="1"/>
      </xdr:nvSpPr>
      <xdr:spPr>
        <a:xfrm>
          <a:off x="3406140" y="9705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6" name="TextBox 5">
          <a:extLst>
            <a:ext uri="{FF2B5EF4-FFF2-40B4-BE49-F238E27FC236}">
              <a16:creationId xmlns:a16="http://schemas.microsoft.com/office/drawing/2014/main" id="{B43CFECD-F1DF-439A-BF17-32B6DF1534B5}"/>
            </a:ext>
          </a:extLst>
        </xdr:cNvPr>
        <xdr:cNvSpPr txBox="1"/>
      </xdr:nvSpPr>
      <xdr:spPr>
        <a:xfrm>
          <a:off x="3406140" y="9705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7" name="TextBox 6">
          <a:extLst>
            <a:ext uri="{FF2B5EF4-FFF2-40B4-BE49-F238E27FC236}">
              <a16:creationId xmlns:a16="http://schemas.microsoft.com/office/drawing/2014/main" id="{DB5775AD-0F45-4E08-BAD8-1AA394A662B8}"/>
            </a:ext>
          </a:extLst>
        </xdr:cNvPr>
        <xdr:cNvSpPr txBox="1"/>
      </xdr:nvSpPr>
      <xdr:spPr>
        <a:xfrm>
          <a:off x="3406140" y="9848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8" name="TextBox 7">
          <a:extLst>
            <a:ext uri="{FF2B5EF4-FFF2-40B4-BE49-F238E27FC236}">
              <a16:creationId xmlns:a16="http://schemas.microsoft.com/office/drawing/2014/main" id="{6A804479-1561-4DD0-9FDA-29715CC10EB1}"/>
            </a:ext>
          </a:extLst>
        </xdr:cNvPr>
        <xdr:cNvSpPr txBox="1"/>
      </xdr:nvSpPr>
      <xdr:spPr>
        <a:xfrm>
          <a:off x="3406140" y="9848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9" name="TextBox 8">
          <a:extLst>
            <a:ext uri="{FF2B5EF4-FFF2-40B4-BE49-F238E27FC236}">
              <a16:creationId xmlns:a16="http://schemas.microsoft.com/office/drawing/2014/main" id="{22ABB17F-B52D-4510-AB57-0167D7873C41}"/>
            </a:ext>
          </a:extLst>
        </xdr:cNvPr>
        <xdr:cNvSpPr txBox="1"/>
      </xdr:nvSpPr>
      <xdr:spPr>
        <a:xfrm>
          <a:off x="3406140" y="9991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0" name="TextBox 9">
          <a:extLst>
            <a:ext uri="{FF2B5EF4-FFF2-40B4-BE49-F238E27FC236}">
              <a16:creationId xmlns:a16="http://schemas.microsoft.com/office/drawing/2014/main" id="{05D17BDE-F795-430B-AA27-822AF5134F18}"/>
            </a:ext>
          </a:extLst>
        </xdr:cNvPr>
        <xdr:cNvSpPr txBox="1"/>
      </xdr:nvSpPr>
      <xdr:spPr>
        <a:xfrm>
          <a:off x="3406140" y="9991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11" name="TextBox 10">
          <a:extLst>
            <a:ext uri="{FF2B5EF4-FFF2-40B4-BE49-F238E27FC236}">
              <a16:creationId xmlns:a16="http://schemas.microsoft.com/office/drawing/2014/main" id="{694FADEB-FE8E-4B78-B541-122011A189E1}"/>
            </a:ext>
          </a:extLst>
        </xdr:cNvPr>
        <xdr:cNvSpPr txBox="1"/>
      </xdr:nvSpPr>
      <xdr:spPr>
        <a:xfrm>
          <a:off x="3406140" y="10134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12" name="TextBox 11">
          <a:extLst>
            <a:ext uri="{FF2B5EF4-FFF2-40B4-BE49-F238E27FC236}">
              <a16:creationId xmlns:a16="http://schemas.microsoft.com/office/drawing/2014/main" id="{B5670E4A-3EA5-461C-856A-D9EFEC504DD3}"/>
            </a:ext>
          </a:extLst>
        </xdr:cNvPr>
        <xdr:cNvSpPr txBox="1"/>
      </xdr:nvSpPr>
      <xdr:spPr>
        <a:xfrm>
          <a:off x="3406140" y="10134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3" name="TextBox 12">
          <a:extLst>
            <a:ext uri="{FF2B5EF4-FFF2-40B4-BE49-F238E27FC236}">
              <a16:creationId xmlns:a16="http://schemas.microsoft.com/office/drawing/2014/main" id="{D484C197-7701-4280-9F47-75C134E013F1}"/>
            </a:ext>
          </a:extLst>
        </xdr:cNvPr>
        <xdr:cNvSpPr txBox="1"/>
      </xdr:nvSpPr>
      <xdr:spPr>
        <a:xfrm>
          <a:off x="3406140" y="10277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4" name="TextBox 13">
          <a:extLst>
            <a:ext uri="{FF2B5EF4-FFF2-40B4-BE49-F238E27FC236}">
              <a16:creationId xmlns:a16="http://schemas.microsoft.com/office/drawing/2014/main" id="{6F696E40-219B-4300-8C80-87E03E9ECCF0}"/>
            </a:ext>
          </a:extLst>
        </xdr:cNvPr>
        <xdr:cNvSpPr txBox="1"/>
      </xdr:nvSpPr>
      <xdr:spPr>
        <a:xfrm>
          <a:off x="3406140" y="10277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15" name="TextBox 14">
          <a:extLst>
            <a:ext uri="{FF2B5EF4-FFF2-40B4-BE49-F238E27FC236}">
              <a16:creationId xmlns:a16="http://schemas.microsoft.com/office/drawing/2014/main" id="{14B72D3C-BD6B-4723-81FC-4BFE876C2EF5}"/>
            </a:ext>
          </a:extLst>
        </xdr:cNvPr>
        <xdr:cNvSpPr txBox="1"/>
      </xdr:nvSpPr>
      <xdr:spPr>
        <a:xfrm>
          <a:off x="4191000" y="927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16" name="TextBox 15">
          <a:extLst>
            <a:ext uri="{FF2B5EF4-FFF2-40B4-BE49-F238E27FC236}">
              <a16:creationId xmlns:a16="http://schemas.microsoft.com/office/drawing/2014/main" id="{14D6941C-91E6-409C-AA18-DF30EA3B497B}"/>
            </a:ext>
          </a:extLst>
        </xdr:cNvPr>
        <xdr:cNvSpPr txBox="1"/>
      </xdr:nvSpPr>
      <xdr:spPr>
        <a:xfrm>
          <a:off x="4191000" y="942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67</xdr:row>
      <xdr:rowOff>0</xdr:rowOff>
    </xdr:from>
    <xdr:ext cx="184731" cy="303466"/>
    <xdr:sp macro="" textlink="">
      <xdr:nvSpPr>
        <xdr:cNvPr id="17" name="TextBox 16">
          <a:extLst>
            <a:ext uri="{FF2B5EF4-FFF2-40B4-BE49-F238E27FC236}">
              <a16:creationId xmlns:a16="http://schemas.microsoft.com/office/drawing/2014/main" id="{30F9CFB1-0807-4DDA-848E-DB1E54275CC5}"/>
            </a:ext>
          </a:extLst>
        </xdr:cNvPr>
        <xdr:cNvSpPr txBox="1"/>
      </xdr:nvSpPr>
      <xdr:spPr>
        <a:xfrm>
          <a:off x="4191000" y="9563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18" name="TextBox 17">
          <a:extLst>
            <a:ext uri="{FF2B5EF4-FFF2-40B4-BE49-F238E27FC236}">
              <a16:creationId xmlns:a16="http://schemas.microsoft.com/office/drawing/2014/main" id="{785E4BE8-80E9-4A3D-A4B7-5AC89F8C4127}"/>
            </a:ext>
          </a:extLst>
        </xdr:cNvPr>
        <xdr:cNvSpPr txBox="1"/>
      </xdr:nvSpPr>
      <xdr:spPr>
        <a:xfrm>
          <a:off x="41910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19" name="TextBox 18">
          <a:extLst>
            <a:ext uri="{FF2B5EF4-FFF2-40B4-BE49-F238E27FC236}">
              <a16:creationId xmlns:a16="http://schemas.microsoft.com/office/drawing/2014/main" id="{AFD07432-88EC-4174-9F56-4E408F658A7B}"/>
            </a:ext>
          </a:extLst>
        </xdr:cNvPr>
        <xdr:cNvSpPr txBox="1"/>
      </xdr:nvSpPr>
      <xdr:spPr>
        <a:xfrm>
          <a:off x="41910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0" name="TextBox 19">
          <a:extLst>
            <a:ext uri="{FF2B5EF4-FFF2-40B4-BE49-F238E27FC236}">
              <a16:creationId xmlns:a16="http://schemas.microsoft.com/office/drawing/2014/main" id="{34851E89-36F1-43C9-975A-894994DFD616}"/>
            </a:ext>
          </a:extLst>
        </xdr:cNvPr>
        <xdr:cNvSpPr txBox="1"/>
      </xdr:nvSpPr>
      <xdr:spPr>
        <a:xfrm>
          <a:off x="41910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1" name="TextBox 20">
          <a:extLst>
            <a:ext uri="{FF2B5EF4-FFF2-40B4-BE49-F238E27FC236}">
              <a16:creationId xmlns:a16="http://schemas.microsoft.com/office/drawing/2014/main" id="{4D975FDB-03FC-4AA6-9C66-C43208A9C284}"/>
            </a:ext>
          </a:extLst>
        </xdr:cNvPr>
        <xdr:cNvSpPr txBox="1"/>
      </xdr:nvSpPr>
      <xdr:spPr>
        <a:xfrm>
          <a:off x="41910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2" name="TextBox 21">
          <a:extLst>
            <a:ext uri="{FF2B5EF4-FFF2-40B4-BE49-F238E27FC236}">
              <a16:creationId xmlns:a16="http://schemas.microsoft.com/office/drawing/2014/main" id="{D34C29FD-12C6-41A5-918B-23EE15D0FCB4}"/>
            </a:ext>
          </a:extLst>
        </xdr:cNvPr>
        <xdr:cNvSpPr txBox="1"/>
      </xdr:nvSpPr>
      <xdr:spPr>
        <a:xfrm>
          <a:off x="41910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3" name="TextBox 22">
          <a:extLst>
            <a:ext uri="{FF2B5EF4-FFF2-40B4-BE49-F238E27FC236}">
              <a16:creationId xmlns:a16="http://schemas.microsoft.com/office/drawing/2014/main" id="{5ECC6709-63AC-4D7B-BD95-F9B664AE9F48}"/>
            </a:ext>
          </a:extLst>
        </xdr:cNvPr>
        <xdr:cNvSpPr txBox="1"/>
      </xdr:nvSpPr>
      <xdr:spPr>
        <a:xfrm>
          <a:off x="41910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4" name="TextBox 23">
          <a:extLst>
            <a:ext uri="{FF2B5EF4-FFF2-40B4-BE49-F238E27FC236}">
              <a16:creationId xmlns:a16="http://schemas.microsoft.com/office/drawing/2014/main" id="{DB5A4876-E486-42D4-922C-74C1C93C8EA9}"/>
            </a:ext>
          </a:extLst>
        </xdr:cNvPr>
        <xdr:cNvSpPr txBox="1"/>
      </xdr:nvSpPr>
      <xdr:spPr>
        <a:xfrm>
          <a:off x="41910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5" name="TextBox 24">
          <a:extLst>
            <a:ext uri="{FF2B5EF4-FFF2-40B4-BE49-F238E27FC236}">
              <a16:creationId xmlns:a16="http://schemas.microsoft.com/office/drawing/2014/main" id="{E700C6E6-D31B-4C5E-BD53-784390E6794F}"/>
            </a:ext>
          </a:extLst>
        </xdr:cNvPr>
        <xdr:cNvSpPr txBox="1"/>
      </xdr:nvSpPr>
      <xdr:spPr>
        <a:xfrm>
          <a:off x="41910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6" name="TextBox 25">
          <a:extLst>
            <a:ext uri="{FF2B5EF4-FFF2-40B4-BE49-F238E27FC236}">
              <a16:creationId xmlns:a16="http://schemas.microsoft.com/office/drawing/2014/main" id="{76FECDE6-B667-4EB9-A725-252B6CD263F2}"/>
            </a:ext>
          </a:extLst>
        </xdr:cNvPr>
        <xdr:cNvSpPr txBox="1"/>
      </xdr:nvSpPr>
      <xdr:spPr>
        <a:xfrm>
          <a:off x="41910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7" name="TextBox 26">
          <a:extLst>
            <a:ext uri="{FF2B5EF4-FFF2-40B4-BE49-F238E27FC236}">
              <a16:creationId xmlns:a16="http://schemas.microsoft.com/office/drawing/2014/main" id="{4FD44500-3D27-4D17-A86B-559ED5F3F260}"/>
            </a:ext>
          </a:extLst>
        </xdr:cNvPr>
        <xdr:cNvSpPr txBox="1"/>
      </xdr:nvSpPr>
      <xdr:spPr>
        <a:xfrm>
          <a:off x="41910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28" name="TextBox 27">
          <a:extLst>
            <a:ext uri="{FF2B5EF4-FFF2-40B4-BE49-F238E27FC236}">
              <a16:creationId xmlns:a16="http://schemas.microsoft.com/office/drawing/2014/main" id="{04ED87C6-4659-466F-A4A0-04BCB406EFC6}"/>
            </a:ext>
          </a:extLst>
        </xdr:cNvPr>
        <xdr:cNvSpPr txBox="1"/>
      </xdr:nvSpPr>
      <xdr:spPr>
        <a:xfrm>
          <a:off x="5791200" y="927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29" name="TextBox 28">
          <a:extLst>
            <a:ext uri="{FF2B5EF4-FFF2-40B4-BE49-F238E27FC236}">
              <a16:creationId xmlns:a16="http://schemas.microsoft.com/office/drawing/2014/main" id="{D86FFBFA-AF62-44AA-9B14-152533124C8C}"/>
            </a:ext>
          </a:extLst>
        </xdr:cNvPr>
        <xdr:cNvSpPr txBox="1"/>
      </xdr:nvSpPr>
      <xdr:spPr>
        <a:xfrm>
          <a:off x="5791200" y="942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67</xdr:row>
      <xdr:rowOff>0</xdr:rowOff>
    </xdr:from>
    <xdr:ext cx="184731" cy="303466"/>
    <xdr:sp macro="" textlink="">
      <xdr:nvSpPr>
        <xdr:cNvPr id="30" name="TextBox 29">
          <a:extLst>
            <a:ext uri="{FF2B5EF4-FFF2-40B4-BE49-F238E27FC236}">
              <a16:creationId xmlns:a16="http://schemas.microsoft.com/office/drawing/2014/main" id="{4894EFB6-1349-4F43-B66B-2A9AA3216CE0}"/>
            </a:ext>
          </a:extLst>
        </xdr:cNvPr>
        <xdr:cNvSpPr txBox="1"/>
      </xdr:nvSpPr>
      <xdr:spPr>
        <a:xfrm>
          <a:off x="5791200" y="9563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31" name="TextBox 30">
          <a:extLst>
            <a:ext uri="{FF2B5EF4-FFF2-40B4-BE49-F238E27FC236}">
              <a16:creationId xmlns:a16="http://schemas.microsoft.com/office/drawing/2014/main" id="{BBF27742-E7EE-4ECA-8FD9-6759CE7C029A}"/>
            </a:ext>
          </a:extLst>
        </xdr:cNvPr>
        <xdr:cNvSpPr txBox="1"/>
      </xdr:nvSpPr>
      <xdr:spPr>
        <a:xfrm>
          <a:off x="57912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32" name="TextBox 31">
          <a:extLst>
            <a:ext uri="{FF2B5EF4-FFF2-40B4-BE49-F238E27FC236}">
              <a16:creationId xmlns:a16="http://schemas.microsoft.com/office/drawing/2014/main" id="{7F564930-5FD5-412B-84D5-8759063E2F38}"/>
            </a:ext>
          </a:extLst>
        </xdr:cNvPr>
        <xdr:cNvSpPr txBox="1"/>
      </xdr:nvSpPr>
      <xdr:spPr>
        <a:xfrm>
          <a:off x="57912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3" name="TextBox 32">
          <a:extLst>
            <a:ext uri="{FF2B5EF4-FFF2-40B4-BE49-F238E27FC236}">
              <a16:creationId xmlns:a16="http://schemas.microsoft.com/office/drawing/2014/main" id="{E1CCADA4-8AAB-4ADA-8084-E61521B04DE5}"/>
            </a:ext>
          </a:extLst>
        </xdr:cNvPr>
        <xdr:cNvSpPr txBox="1"/>
      </xdr:nvSpPr>
      <xdr:spPr>
        <a:xfrm>
          <a:off x="57912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4" name="TextBox 33">
          <a:extLst>
            <a:ext uri="{FF2B5EF4-FFF2-40B4-BE49-F238E27FC236}">
              <a16:creationId xmlns:a16="http://schemas.microsoft.com/office/drawing/2014/main" id="{85F3B72A-A586-4093-8A83-90C38D16B5DA}"/>
            </a:ext>
          </a:extLst>
        </xdr:cNvPr>
        <xdr:cNvSpPr txBox="1"/>
      </xdr:nvSpPr>
      <xdr:spPr>
        <a:xfrm>
          <a:off x="57912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5" name="TextBox 34">
          <a:extLst>
            <a:ext uri="{FF2B5EF4-FFF2-40B4-BE49-F238E27FC236}">
              <a16:creationId xmlns:a16="http://schemas.microsoft.com/office/drawing/2014/main" id="{B0978CBC-7F79-4EF7-A22C-03DDF85E6305}"/>
            </a:ext>
          </a:extLst>
        </xdr:cNvPr>
        <xdr:cNvSpPr txBox="1"/>
      </xdr:nvSpPr>
      <xdr:spPr>
        <a:xfrm>
          <a:off x="57912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6" name="TextBox 35">
          <a:extLst>
            <a:ext uri="{FF2B5EF4-FFF2-40B4-BE49-F238E27FC236}">
              <a16:creationId xmlns:a16="http://schemas.microsoft.com/office/drawing/2014/main" id="{914BD1B4-CD34-4E53-AE0D-FE344A4E8C4A}"/>
            </a:ext>
          </a:extLst>
        </xdr:cNvPr>
        <xdr:cNvSpPr txBox="1"/>
      </xdr:nvSpPr>
      <xdr:spPr>
        <a:xfrm>
          <a:off x="57912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7" name="TextBox 36">
          <a:extLst>
            <a:ext uri="{FF2B5EF4-FFF2-40B4-BE49-F238E27FC236}">
              <a16:creationId xmlns:a16="http://schemas.microsoft.com/office/drawing/2014/main" id="{B0FB4C95-9D65-4EBA-8A9F-4C9F71D503F5}"/>
            </a:ext>
          </a:extLst>
        </xdr:cNvPr>
        <xdr:cNvSpPr txBox="1"/>
      </xdr:nvSpPr>
      <xdr:spPr>
        <a:xfrm>
          <a:off x="57912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8" name="TextBox 37">
          <a:extLst>
            <a:ext uri="{FF2B5EF4-FFF2-40B4-BE49-F238E27FC236}">
              <a16:creationId xmlns:a16="http://schemas.microsoft.com/office/drawing/2014/main" id="{D91BA401-21C0-44CD-A09B-CB8D8C9B3652}"/>
            </a:ext>
          </a:extLst>
        </xdr:cNvPr>
        <xdr:cNvSpPr txBox="1"/>
      </xdr:nvSpPr>
      <xdr:spPr>
        <a:xfrm>
          <a:off x="57912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9" name="TextBox 38">
          <a:extLst>
            <a:ext uri="{FF2B5EF4-FFF2-40B4-BE49-F238E27FC236}">
              <a16:creationId xmlns:a16="http://schemas.microsoft.com/office/drawing/2014/main" id="{CACD638F-D044-4CE8-B5D8-54A4F4F17504}"/>
            </a:ext>
          </a:extLst>
        </xdr:cNvPr>
        <xdr:cNvSpPr txBox="1"/>
      </xdr:nvSpPr>
      <xdr:spPr>
        <a:xfrm>
          <a:off x="57912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40" name="TextBox 39">
          <a:extLst>
            <a:ext uri="{FF2B5EF4-FFF2-40B4-BE49-F238E27FC236}">
              <a16:creationId xmlns:a16="http://schemas.microsoft.com/office/drawing/2014/main" id="{864F720F-F359-4DBC-B04C-72D42822FD10}"/>
            </a:ext>
          </a:extLst>
        </xdr:cNvPr>
        <xdr:cNvSpPr txBox="1"/>
      </xdr:nvSpPr>
      <xdr:spPr>
        <a:xfrm>
          <a:off x="57912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65</xdr:row>
      <xdr:rowOff>0</xdr:rowOff>
    </xdr:from>
    <xdr:ext cx="192763" cy="264560"/>
    <xdr:sp macro="" textlink="">
      <xdr:nvSpPr>
        <xdr:cNvPr id="41" name="TextBox 40">
          <a:extLst>
            <a:ext uri="{FF2B5EF4-FFF2-40B4-BE49-F238E27FC236}">
              <a16:creationId xmlns:a16="http://schemas.microsoft.com/office/drawing/2014/main" id="{C3350FF5-E49E-4851-86C8-10B575FC23C4}"/>
            </a:ext>
          </a:extLst>
        </xdr:cNvPr>
        <xdr:cNvSpPr txBox="1"/>
      </xdr:nvSpPr>
      <xdr:spPr>
        <a:xfrm>
          <a:off x="41871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65</xdr:row>
      <xdr:rowOff>0</xdr:rowOff>
    </xdr:from>
    <xdr:ext cx="192763" cy="264560"/>
    <xdr:sp macro="" textlink="">
      <xdr:nvSpPr>
        <xdr:cNvPr id="42" name="TextBox 41">
          <a:extLst>
            <a:ext uri="{FF2B5EF4-FFF2-40B4-BE49-F238E27FC236}">
              <a16:creationId xmlns:a16="http://schemas.microsoft.com/office/drawing/2014/main" id="{EC616837-D561-4467-9543-E7026B4A8ADE}"/>
            </a:ext>
          </a:extLst>
        </xdr:cNvPr>
        <xdr:cNvSpPr txBox="1"/>
      </xdr:nvSpPr>
      <xdr:spPr>
        <a:xfrm>
          <a:off x="57873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65</xdr:row>
      <xdr:rowOff>0</xdr:rowOff>
    </xdr:from>
    <xdr:ext cx="192763" cy="264560"/>
    <xdr:sp macro="" textlink="">
      <xdr:nvSpPr>
        <xdr:cNvPr id="43" name="TextBox 42">
          <a:extLst>
            <a:ext uri="{FF2B5EF4-FFF2-40B4-BE49-F238E27FC236}">
              <a16:creationId xmlns:a16="http://schemas.microsoft.com/office/drawing/2014/main" id="{70F11666-7907-4947-8E40-3827B4BD625F}"/>
            </a:ext>
          </a:extLst>
        </xdr:cNvPr>
        <xdr:cNvSpPr txBox="1"/>
      </xdr:nvSpPr>
      <xdr:spPr>
        <a:xfrm>
          <a:off x="73875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66</xdr:row>
      <xdr:rowOff>0</xdr:rowOff>
    </xdr:from>
    <xdr:ext cx="183125" cy="264560"/>
    <xdr:sp macro="" textlink="">
      <xdr:nvSpPr>
        <xdr:cNvPr id="44" name="TextBox 43">
          <a:extLst>
            <a:ext uri="{FF2B5EF4-FFF2-40B4-BE49-F238E27FC236}">
              <a16:creationId xmlns:a16="http://schemas.microsoft.com/office/drawing/2014/main" id="{A4215125-B6E4-4657-9449-D72FA11E63A8}"/>
            </a:ext>
          </a:extLst>
        </xdr:cNvPr>
        <xdr:cNvSpPr txBox="1"/>
      </xdr:nvSpPr>
      <xdr:spPr>
        <a:xfrm>
          <a:off x="3415665" y="9420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66</xdr:row>
      <xdr:rowOff>0</xdr:rowOff>
    </xdr:from>
    <xdr:ext cx="184731" cy="271710"/>
    <xdr:sp macro="" textlink="">
      <xdr:nvSpPr>
        <xdr:cNvPr id="45" name="TextBox 44">
          <a:extLst>
            <a:ext uri="{FF2B5EF4-FFF2-40B4-BE49-F238E27FC236}">
              <a16:creationId xmlns:a16="http://schemas.microsoft.com/office/drawing/2014/main" id="{56DAA063-AEEB-46D4-B677-926AAAF9DF42}"/>
            </a:ext>
          </a:extLst>
        </xdr:cNvPr>
        <xdr:cNvSpPr txBox="1"/>
      </xdr:nvSpPr>
      <xdr:spPr>
        <a:xfrm>
          <a:off x="598170" y="9420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567690</xdr:colOff>
      <xdr:row>65</xdr:row>
      <xdr:rowOff>85725</xdr:rowOff>
    </xdr:from>
    <xdr:ext cx="192763" cy="264560"/>
    <xdr:sp macro="" textlink="">
      <xdr:nvSpPr>
        <xdr:cNvPr id="46" name="TextBox 45">
          <a:extLst>
            <a:ext uri="{FF2B5EF4-FFF2-40B4-BE49-F238E27FC236}">
              <a16:creationId xmlns:a16="http://schemas.microsoft.com/office/drawing/2014/main" id="{9085F5B9-6A7C-4F6E-8859-4279D549429F}"/>
            </a:ext>
          </a:extLst>
        </xdr:cNvPr>
        <xdr:cNvSpPr txBox="1"/>
      </xdr:nvSpPr>
      <xdr:spPr>
        <a:xfrm>
          <a:off x="6358890" y="10782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3139440</xdr:colOff>
      <xdr:row>15</xdr:row>
      <xdr:rowOff>0</xdr:rowOff>
    </xdr:from>
    <xdr:ext cx="192763" cy="264560"/>
    <xdr:sp macro="" textlink="">
      <xdr:nvSpPr>
        <xdr:cNvPr id="2" name="TextBox 1">
          <a:extLst>
            <a:ext uri="{FF2B5EF4-FFF2-40B4-BE49-F238E27FC236}">
              <a16:creationId xmlns:a16="http://schemas.microsoft.com/office/drawing/2014/main" id="{8086EC04-F5F9-40C5-A0F1-537EFE4DC853}"/>
            </a:ext>
          </a:extLst>
        </xdr:cNvPr>
        <xdr:cNvSpPr txBox="1"/>
      </xdr:nvSpPr>
      <xdr:spPr>
        <a:xfrm>
          <a:off x="33585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16</xdr:row>
      <xdr:rowOff>0</xdr:rowOff>
    </xdr:from>
    <xdr:ext cx="192763" cy="264560"/>
    <xdr:sp macro="" textlink="">
      <xdr:nvSpPr>
        <xdr:cNvPr id="3" name="TextBox 2">
          <a:extLst>
            <a:ext uri="{FF2B5EF4-FFF2-40B4-BE49-F238E27FC236}">
              <a16:creationId xmlns:a16="http://schemas.microsoft.com/office/drawing/2014/main" id="{0299C877-8147-4E8B-8A96-1378FF45638C}"/>
            </a:ext>
          </a:extLst>
        </xdr:cNvPr>
        <xdr:cNvSpPr txBox="1"/>
      </xdr:nvSpPr>
      <xdr:spPr>
        <a:xfrm>
          <a:off x="3358515" y="2162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303466"/>
    <xdr:sp macro="" textlink="">
      <xdr:nvSpPr>
        <xdr:cNvPr id="4" name="TextBox 3">
          <a:extLst>
            <a:ext uri="{FF2B5EF4-FFF2-40B4-BE49-F238E27FC236}">
              <a16:creationId xmlns:a16="http://schemas.microsoft.com/office/drawing/2014/main" id="{7B735423-E405-44B0-B966-9AAF712CD2DE}"/>
            </a:ext>
          </a:extLst>
        </xdr:cNvPr>
        <xdr:cNvSpPr txBox="1"/>
      </xdr:nvSpPr>
      <xdr:spPr>
        <a:xfrm>
          <a:off x="3358515" y="2305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5" name="TextBox 4">
          <a:extLst>
            <a:ext uri="{FF2B5EF4-FFF2-40B4-BE49-F238E27FC236}">
              <a16:creationId xmlns:a16="http://schemas.microsoft.com/office/drawing/2014/main" id="{1DEEF216-D7F4-481E-ACD6-F22A4FAA6E16}"/>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6" name="TextBox 5">
          <a:extLst>
            <a:ext uri="{FF2B5EF4-FFF2-40B4-BE49-F238E27FC236}">
              <a16:creationId xmlns:a16="http://schemas.microsoft.com/office/drawing/2014/main" id="{B52740D6-C315-4DEA-B3EC-B48FBEE826F2}"/>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7" name="TextBox 6">
          <a:extLst>
            <a:ext uri="{FF2B5EF4-FFF2-40B4-BE49-F238E27FC236}">
              <a16:creationId xmlns:a16="http://schemas.microsoft.com/office/drawing/2014/main" id="{AEC1975A-9087-4B15-A021-DA4416FA7A77}"/>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8" name="TextBox 7">
          <a:extLst>
            <a:ext uri="{FF2B5EF4-FFF2-40B4-BE49-F238E27FC236}">
              <a16:creationId xmlns:a16="http://schemas.microsoft.com/office/drawing/2014/main" id="{D1A85599-95F8-41D6-9C29-E840641B44B2}"/>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9" name="TextBox 8">
          <a:extLst>
            <a:ext uri="{FF2B5EF4-FFF2-40B4-BE49-F238E27FC236}">
              <a16:creationId xmlns:a16="http://schemas.microsoft.com/office/drawing/2014/main" id="{EC2C5E32-85EF-497B-B19A-486E3FA0C119}"/>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0" name="TextBox 9">
          <a:extLst>
            <a:ext uri="{FF2B5EF4-FFF2-40B4-BE49-F238E27FC236}">
              <a16:creationId xmlns:a16="http://schemas.microsoft.com/office/drawing/2014/main" id="{F8A21582-AC60-4C51-8424-23622AA3809F}"/>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1" name="TextBox 10">
          <a:extLst>
            <a:ext uri="{FF2B5EF4-FFF2-40B4-BE49-F238E27FC236}">
              <a16:creationId xmlns:a16="http://schemas.microsoft.com/office/drawing/2014/main" id="{96110E5A-8BD0-40A4-9E25-658C78E0CDD7}"/>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2" name="TextBox 11">
          <a:extLst>
            <a:ext uri="{FF2B5EF4-FFF2-40B4-BE49-F238E27FC236}">
              <a16:creationId xmlns:a16="http://schemas.microsoft.com/office/drawing/2014/main" id="{A6EAF18F-FC37-4C8E-8085-504C77C06173}"/>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13" name="TextBox 12">
          <a:extLst>
            <a:ext uri="{FF2B5EF4-FFF2-40B4-BE49-F238E27FC236}">
              <a16:creationId xmlns:a16="http://schemas.microsoft.com/office/drawing/2014/main" id="{EC6C74EE-9242-4549-A6FD-47F453513381}"/>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14" name="TextBox 13">
          <a:extLst>
            <a:ext uri="{FF2B5EF4-FFF2-40B4-BE49-F238E27FC236}">
              <a16:creationId xmlns:a16="http://schemas.microsoft.com/office/drawing/2014/main" id="{F11A9F5D-B21D-4C74-8839-561F49E929CB}"/>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15</xdr:row>
      <xdr:rowOff>0</xdr:rowOff>
    </xdr:from>
    <xdr:ext cx="184731" cy="264560"/>
    <xdr:sp macro="" textlink="">
      <xdr:nvSpPr>
        <xdr:cNvPr id="15" name="TextBox 14">
          <a:extLst>
            <a:ext uri="{FF2B5EF4-FFF2-40B4-BE49-F238E27FC236}">
              <a16:creationId xmlns:a16="http://schemas.microsoft.com/office/drawing/2014/main" id="{A72C0008-2F40-4ADC-A2C9-D2BCD37EAA29}"/>
            </a:ext>
          </a:extLst>
        </xdr:cNvPr>
        <xdr:cNvSpPr txBox="1"/>
      </xdr:nvSpPr>
      <xdr:spPr>
        <a:xfrm>
          <a:off x="404812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16</xdr:row>
      <xdr:rowOff>0</xdr:rowOff>
    </xdr:from>
    <xdr:ext cx="184731" cy="264560"/>
    <xdr:sp macro="" textlink="">
      <xdr:nvSpPr>
        <xdr:cNvPr id="16" name="TextBox 15">
          <a:extLst>
            <a:ext uri="{FF2B5EF4-FFF2-40B4-BE49-F238E27FC236}">
              <a16:creationId xmlns:a16="http://schemas.microsoft.com/office/drawing/2014/main" id="{1806FAA3-1F47-42DB-AF8B-F3C92E26CCDB}"/>
            </a:ext>
          </a:extLst>
        </xdr:cNvPr>
        <xdr:cNvSpPr txBox="1"/>
      </xdr:nvSpPr>
      <xdr:spPr>
        <a:xfrm>
          <a:off x="404812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303466"/>
    <xdr:sp macro="" textlink="">
      <xdr:nvSpPr>
        <xdr:cNvPr id="17" name="TextBox 16">
          <a:extLst>
            <a:ext uri="{FF2B5EF4-FFF2-40B4-BE49-F238E27FC236}">
              <a16:creationId xmlns:a16="http://schemas.microsoft.com/office/drawing/2014/main" id="{F8B0790C-4972-4173-AB96-0D2A564E1D66}"/>
            </a:ext>
          </a:extLst>
        </xdr:cNvPr>
        <xdr:cNvSpPr txBox="1"/>
      </xdr:nvSpPr>
      <xdr:spPr>
        <a:xfrm>
          <a:off x="404812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18</xdr:row>
      <xdr:rowOff>0</xdr:rowOff>
    </xdr:from>
    <xdr:ext cx="184731" cy="264560"/>
    <xdr:sp macro="" textlink="">
      <xdr:nvSpPr>
        <xdr:cNvPr id="18" name="TextBox 17">
          <a:extLst>
            <a:ext uri="{FF2B5EF4-FFF2-40B4-BE49-F238E27FC236}">
              <a16:creationId xmlns:a16="http://schemas.microsoft.com/office/drawing/2014/main" id="{72268188-E438-404C-B175-FEEE2170845F}"/>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18</xdr:row>
      <xdr:rowOff>0</xdr:rowOff>
    </xdr:from>
    <xdr:ext cx="184731" cy="264560"/>
    <xdr:sp macro="" textlink="">
      <xdr:nvSpPr>
        <xdr:cNvPr id="19" name="TextBox 18">
          <a:extLst>
            <a:ext uri="{FF2B5EF4-FFF2-40B4-BE49-F238E27FC236}">
              <a16:creationId xmlns:a16="http://schemas.microsoft.com/office/drawing/2014/main" id="{38894E35-A7FF-4EEE-8B9A-1D7CE5A432F1}"/>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0" name="TextBox 19">
          <a:extLst>
            <a:ext uri="{FF2B5EF4-FFF2-40B4-BE49-F238E27FC236}">
              <a16:creationId xmlns:a16="http://schemas.microsoft.com/office/drawing/2014/main" id="{08D023CF-38F7-4D35-97A7-5FA16E81654E}"/>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1" name="TextBox 20">
          <a:extLst>
            <a:ext uri="{FF2B5EF4-FFF2-40B4-BE49-F238E27FC236}">
              <a16:creationId xmlns:a16="http://schemas.microsoft.com/office/drawing/2014/main" id="{1A2296E5-342B-4F91-9CEE-0013CD7F8383}"/>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2" name="TextBox 21">
          <a:extLst>
            <a:ext uri="{FF2B5EF4-FFF2-40B4-BE49-F238E27FC236}">
              <a16:creationId xmlns:a16="http://schemas.microsoft.com/office/drawing/2014/main" id="{DFF3D0EB-4868-4A1B-AC50-8914A9A3D7FD}"/>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3" name="TextBox 22">
          <a:extLst>
            <a:ext uri="{FF2B5EF4-FFF2-40B4-BE49-F238E27FC236}">
              <a16:creationId xmlns:a16="http://schemas.microsoft.com/office/drawing/2014/main" id="{3DA20FB6-889E-4744-8CE0-466D13A64A11}"/>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4" name="TextBox 23">
          <a:extLst>
            <a:ext uri="{FF2B5EF4-FFF2-40B4-BE49-F238E27FC236}">
              <a16:creationId xmlns:a16="http://schemas.microsoft.com/office/drawing/2014/main" id="{32A30B37-3B12-4FE0-9FAB-F967CF59DC7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5" name="TextBox 24">
          <a:extLst>
            <a:ext uri="{FF2B5EF4-FFF2-40B4-BE49-F238E27FC236}">
              <a16:creationId xmlns:a16="http://schemas.microsoft.com/office/drawing/2014/main" id="{EBB2AEAC-8E0B-4B74-9401-1EE04661049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26" name="TextBox 25">
          <a:extLst>
            <a:ext uri="{FF2B5EF4-FFF2-40B4-BE49-F238E27FC236}">
              <a16:creationId xmlns:a16="http://schemas.microsoft.com/office/drawing/2014/main" id="{6D69E6A7-7502-41C0-999D-6C341BECA1DA}"/>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27" name="TextBox 26">
          <a:extLst>
            <a:ext uri="{FF2B5EF4-FFF2-40B4-BE49-F238E27FC236}">
              <a16:creationId xmlns:a16="http://schemas.microsoft.com/office/drawing/2014/main" id="{A72F17C8-AFB5-484B-88B3-74C3EF48144E}"/>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15</xdr:row>
      <xdr:rowOff>0</xdr:rowOff>
    </xdr:from>
    <xdr:ext cx="184731" cy="264560"/>
    <xdr:sp macro="" textlink="">
      <xdr:nvSpPr>
        <xdr:cNvPr id="28" name="TextBox 27">
          <a:extLst>
            <a:ext uri="{FF2B5EF4-FFF2-40B4-BE49-F238E27FC236}">
              <a16:creationId xmlns:a16="http://schemas.microsoft.com/office/drawing/2014/main" id="{E1323089-5DAA-450D-B868-8345F42CCFDC}"/>
            </a:ext>
          </a:extLst>
        </xdr:cNvPr>
        <xdr:cNvSpPr txBox="1"/>
      </xdr:nvSpPr>
      <xdr:spPr>
        <a:xfrm>
          <a:off x="543877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16</xdr:row>
      <xdr:rowOff>0</xdr:rowOff>
    </xdr:from>
    <xdr:ext cx="184731" cy="264560"/>
    <xdr:sp macro="" textlink="">
      <xdr:nvSpPr>
        <xdr:cNvPr id="29" name="TextBox 28">
          <a:extLst>
            <a:ext uri="{FF2B5EF4-FFF2-40B4-BE49-F238E27FC236}">
              <a16:creationId xmlns:a16="http://schemas.microsoft.com/office/drawing/2014/main" id="{18426401-35D3-4801-958C-4FED9CC05B31}"/>
            </a:ext>
          </a:extLst>
        </xdr:cNvPr>
        <xdr:cNvSpPr txBox="1"/>
      </xdr:nvSpPr>
      <xdr:spPr>
        <a:xfrm>
          <a:off x="543877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303466"/>
    <xdr:sp macro="" textlink="">
      <xdr:nvSpPr>
        <xdr:cNvPr id="30" name="TextBox 29">
          <a:extLst>
            <a:ext uri="{FF2B5EF4-FFF2-40B4-BE49-F238E27FC236}">
              <a16:creationId xmlns:a16="http://schemas.microsoft.com/office/drawing/2014/main" id="{B55D1204-DA84-483B-9088-58B5DEFE6063}"/>
            </a:ext>
          </a:extLst>
        </xdr:cNvPr>
        <xdr:cNvSpPr txBox="1"/>
      </xdr:nvSpPr>
      <xdr:spPr>
        <a:xfrm>
          <a:off x="543877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31" name="TextBox 30">
          <a:extLst>
            <a:ext uri="{FF2B5EF4-FFF2-40B4-BE49-F238E27FC236}">
              <a16:creationId xmlns:a16="http://schemas.microsoft.com/office/drawing/2014/main" id="{14D6BDD2-871C-432C-B2A1-205235ED80CA}"/>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32" name="TextBox 31">
          <a:extLst>
            <a:ext uri="{FF2B5EF4-FFF2-40B4-BE49-F238E27FC236}">
              <a16:creationId xmlns:a16="http://schemas.microsoft.com/office/drawing/2014/main" id="{D00FF246-3723-44C7-A7B3-A4A0E3C3628B}"/>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3" name="TextBox 32">
          <a:extLst>
            <a:ext uri="{FF2B5EF4-FFF2-40B4-BE49-F238E27FC236}">
              <a16:creationId xmlns:a16="http://schemas.microsoft.com/office/drawing/2014/main" id="{958C396A-7712-4DD4-9343-4DBF52A7BBDC}"/>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4" name="TextBox 33">
          <a:extLst>
            <a:ext uri="{FF2B5EF4-FFF2-40B4-BE49-F238E27FC236}">
              <a16:creationId xmlns:a16="http://schemas.microsoft.com/office/drawing/2014/main" id="{B48FC2BE-A3FD-48DB-8D0E-F8D06F7E9427}"/>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5" name="TextBox 34">
          <a:extLst>
            <a:ext uri="{FF2B5EF4-FFF2-40B4-BE49-F238E27FC236}">
              <a16:creationId xmlns:a16="http://schemas.microsoft.com/office/drawing/2014/main" id="{361AAFD5-DC35-46D6-B033-F9FD95C1F66B}"/>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6" name="TextBox 35">
          <a:extLst>
            <a:ext uri="{FF2B5EF4-FFF2-40B4-BE49-F238E27FC236}">
              <a16:creationId xmlns:a16="http://schemas.microsoft.com/office/drawing/2014/main" id="{AF8DB8B3-996C-4DF3-B30A-252275685708}"/>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7" name="TextBox 36">
          <a:extLst>
            <a:ext uri="{FF2B5EF4-FFF2-40B4-BE49-F238E27FC236}">
              <a16:creationId xmlns:a16="http://schemas.microsoft.com/office/drawing/2014/main" id="{BE2D5E67-F8F6-458A-B4F8-8A32BCC42DEF}"/>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8" name="TextBox 37">
          <a:extLst>
            <a:ext uri="{FF2B5EF4-FFF2-40B4-BE49-F238E27FC236}">
              <a16:creationId xmlns:a16="http://schemas.microsoft.com/office/drawing/2014/main" id="{559F37AE-A604-4814-ABED-351B766A2416}"/>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39" name="TextBox 38">
          <a:extLst>
            <a:ext uri="{FF2B5EF4-FFF2-40B4-BE49-F238E27FC236}">
              <a16:creationId xmlns:a16="http://schemas.microsoft.com/office/drawing/2014/main" id="{A8D91A47-5788-4C77-BE98-ED58C3EA60FE}"/>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40" name="TextBox 39">
          <a:extLst>
            <a:ext uri="{FF2B5EF4-FFF2-40B4-BE49-F238E27FC236}">
              <a16:creationId xmlns:a16="http://schemas.microsoft.com/office/drawing/2014/main" id="{623B3EEC-F391-4505-BC9B-1353A7AD1B3F}"/>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15</xdr:row>
      <xdr:rowOff>0</xdr:rowOff>
    </xdr:from>
    <xdr:ext cx="192763" cy="264560"/>
    <xdr:sp macro="" textlink="">
      <xdr:nvSpPr>
        <xdr:cNvPr id="41" name="TextBox 40">
          <a:extLst>
            <a:ext uri="{FF2B5EF4-FFF2-40B4-BE49-F238E27FC236}">
              <a16:creationId xmlns:a16="http://schemas.microsoft.com/office/drawing/2014/main" id="{3EF66F62-589A-47AE-A5C3-A7E279209665}"/>
            </a:ext>
          </a:extLst>
        </xdr:cNvPr>
        <xdr:cNvSpPr txBox="1"/>
      </xdr:nvSpPr>
      <xdr:spPr>
        <a:xfrm>
          <a:off x="40443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15</xdr:row>
      <xdr:rowOff>0</xdr:rowOff>
    </xdr:from>
    <xdr:ext cx="192763" cy="264560"/>
    <xdr:sp macro="" textlink="">
      <xdr:nvSpPr>
        <xdr:cNvPr id="42" name="TextBox 41">
          <a:extLst>
            <a:ext uri="{FF2B5EF4-FFF2-40B4-BE49-F238E27FC236}">
              <a16:creationId xmlns:a16="http://schemas.microsoft.com/office/drawing/2014/main" id="{64F3F953-B209-4FC7-B120-4C773E33603E}"/>
            </a:ext>
          </a:extLst>
        </xdr:cNvPr>
        <xdr:cNvSpPr txBox="1"/>
      </xdr:nvSpPr>
      <xdr:spPr>
        <a:xfrm>
          <a:off x="54349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15</xdr:row>
      <xdr:rowOff>0</xdr:rowOff>
    </xdr:from>
    <xdr:ext cx="192763" cy="264560"/>
    <xdr:sp macro="" textlink="">
      <xdr:nvSpPr>
        <xdr:cNvPr id="43" name="TextBox 42">
          <a:extLst>
            <a:ext uri="{FF2B5EF4-FFF2-40B4-BE49-F238E27FC236}">
              <a16:creationId xmlns:a16="http://schemas.microsoft.com/office/drawing/2014/main" id="{D8E515FE-935B-4909-BC5C-C4D97EF260F8}"/>
            </a:ext>
          </a:extLst>
        </xdr:cNvPr>
        <xdr:cNvSpPr txBox="1"/>
      </xdr:nvSpPr>
      <xdr:spPr>
        <a:xfrm>
          <a:off x="66922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16</xdr:row>
      <xdr:rowOff>0</xdr:rowOff>
    </xdr:from>
    <xdr:ext cx="183125" cy="264560"/>
    <xdr:sp macro="" textlink="">
      <xdr:nvSpPr>
        <xdr:cNvPr id="44" name="TextBox 43">
          <a:extLst>
            <a:ext uri="{FF2B5EF4-FFF2-40B4-BE49-F238E27FC236}">
              <a16:creationId xmlns:a16="http://schemas.microsoft.com/office/drawing/2014/main" id="{7E707ED2-107F-4C9D-AEEE-C4F40832E9D8}"/>
            </a:ext>
          </a:extLst>
        </xdr:cNvPr>
        <xdr:cNvSpPr txBox="1"/>
      </xdr:nvSpPr>
      <xdr:spPr>
        <a:xfrm>
          <a:off x="3368040" y="2162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16</xdr:row>
      <xdr:rowOff>0</xdr:rowOff>
    </xdr:from>
    <xdr:ext cx="184731" cy="271710"/>
    <xdr:sp macro="" textlink="">
      <xdr:nvSpPr>
        <xdr:cNvPr id="45" name="TextBox 44">
          <a:extLst>
            <a:ext uri="{FF2B5EF4-FFF2-40B4-BE49-F238E27FC236}">
              <a16:creationId xmlns:a16="http://schemas.microsoft.com/office/drawing/2014/main" id="{9E489AB2-3195-4E04-B251-7EAEE384EE63}"/>
            </a:ext>
          </a:extLst>
        </xdr:cNvPr>
        <xdr:cNvSpPr txBox="1"/>
      </xdr:nvSpPr>
      <xdr:spPr>
        <a:xfrm>
          <a:off x="550545" y="2162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3139440</xdr:colOff>
      <xdr:row>37</xdr:row>
      <xdr:rowOff>0</xdr:rowOff>
    </xdr:from>
    <xdr:ext cx="192763" cy="264560"/>
    <xdr:sp macro="" textlink="">
      <xdr:nvSpPr>
        <xdr:cNvPr id="2" name="TextBox 1">
          <a:extLst>
            <a:ext uri="{FF2B5EF4-FFF2-40B4-BE49-F238E27FC236}">
              <a16:creationId xmlns:a16="http://schemas.microsoft.com/office/drawing/2014/main" id="{12D00C50-74A0-477A-B2AB-DB96641209AC}"/>
            </a:ext>
          </a:extLst>
        </xdr:cNvPr>
        <xdr:cNvSpPr txBox="1"/>
      </xdr:nvSpPr>
      <xdr:spPr>
        <a:xfrm>
          <a:off x="2539365"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3" name="TextBox 2">
          <a:extLst>
            <a:ext uri="{FF2B5EF4-FFF2-40B4-BE49-F238E27FC236}">
              <a16:creationId xmlns:a16="http://schemas.microsoft.com/office/drawing/2014/main" id="{96D74057-23A8-4940-9292-7FCC5143D84C}"/>
            </a:ext>
          </a:extLst>
        </xdr:cNvPr>
        <xdr:cNvSpPr txBox="1"/>
      </xdr:nvSpPr>
      <xdr:spPr>
        <a:xfrm>
          <a:off x="2539365" y="2952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303466"/>
    <xdr:sp macro="" textlink="">
      <xdr:nvSpPr>
        <xdr:cNvPr id="4" name="TextBox 3">
          <a:extLst>
            <a:ext uri="{FF2B5EF4-FFF2-40B4-BE49-F238E27FC236}">
              <a16:creationId xmlns:a16="http://schemas.microsoft.com/office/drawing/2014/main" id="{8D380990-9412-4B6C-9EB7-090202C8E5A9}"/>
            </a:ext>
          </a:extLst>
        </xdr:cNvPr>
        <xdr:cNvSpPr txBox="1"/>
      </xdr:nvSpPr>
      <xdr:spPr>
        <a:xfrm>
          <a:off x="2539365" y="31146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 name="TextBox 4">
          <a:extLst>
            <a:ext uri="{FF2B5EF4-FFF2-40B4-BE49-F238E27FC236}">
              <a16:creationId xmlns:a16="http://schemas.microsoft.com/office/drawing/2014/main" id="{15A4A373-406E-4E33-831E-2C25C9A1FD55}"/>
            </a:ext>
          </a:extLst>
        </xdr:cNvPr>
        <xdr:cNvSpPr txBox="1"/>
      </xdr:nvSpPr>
      <xdr:spPr>
        <a:xfrm>
          <a:off x="2539365" y="3276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6" name="TextBox 5">
          <a:extLst>
            <a:ext uri="{FF2B5EF4-FFF2-40B4-BE49-F238E27FC236}">
              <a16:creationId xmlns:a16="http://schemas.microsoft.com/office/drawing/2014/main" id="{D2919DCA-6131-4BA4-9471-699C1978B510}"/>
            </a:ext>
          </a:extLst>
        </xdr:cNvPr>
        <xdr:cNvSpPr txBox="1"/>
      </xdr:nvSpPr>
      <xdr:spPr>
        <a:xfrm>
          <a:off x="2539365" y="3276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7" name="TextBox 6">
          <a:extLst>
            <a:ext uri="{FF2B5EF4-FFF2-40B4-BE49-F238E27FC236}">
              <a16:creationId xmlns:a16="http://schemas.microsoft.com/office/drawing/2014/main" id="{5297D387-D159-4B9A-9708-0B2098BAB1D0}"/>
            </a:ext>
          </a:extLst>
        </xdr:cNvPr>
        <xdr:cNvSpPr txBox="1"/>
      </xdr:nvSpPr>
      <xdr:spPr>
        <a:xfrm>
          <a:off x="25393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8" name="TextBox 7">
          <a:extLst>
            <a:ext uri="{FF2B5EF4-FFF2-40B4-BE49-F238E27FC236}">
              <a16:creationId xmlns:a16="http://schemas.microsoft.com/office/drawing/2014/main" id="{430239A7-7B70-4068-9D51-0B899574AE2B}"/>
            </a:ext>
          </a:extLst>
        </xdr:cNvPr>
        <xdr:cNvSpPr txBox="1"/>
      </xdr:nvSpPr>
      <xdr:spPr>
        <a:xfrm>
          <a:off x="25393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42</xdr:row>
      <xdr:rowOff>0</xdr:rowOff>
    </xdr:from>
    <xdr:ext cx="192763" cy="264560"/>
    <xdr:sp macro="" textlink="">
      <xdr:nvSpPr>
        <xdr:cNvPr id="9" name="TextBox 8">
          <a:extLst>
            <a:ext uri="{FF2B5EF4-FFF2-40B4-BE49-F238E27FC236}">
              <a16:creationId xmlns:a16="http://schemas.microsoft.com/office/drawing/2014/main" id="{283FE5FD-0655-4C52-AAC0-04D0DF021CC4}"/>
            </a:ext>
          </a:extLst>
        </xdr:cNvPr>
        <xdr:cNvSpPr txBox="1"/>
      </xdr:nvSpPr>
      <xdr:spPr>
        <a:xfrm>
          <a:off x="253936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42</xdr:row>
      <xdr:rowOff>0</xdr:rowOff>
    </xdr:from>
    <xdr:ext cx="192763" cy="264560"/>
    <xdr:sp macro="" textlink="">
      <xdr:nvSpPr>
        <xdr:cNvPr id="10" name="TextBox 9">
          <a:extLst>
            <a:ext uri="{FF2B5EF4-FFF2-40B4-BE49-F238E27FC236}">
              <a16:creationId xmlns:a16="http://schemas.microsoft.com/office/drawing/2014/main" id="{B9428833-BD0A-4E7A-A4DF-BDE8E8C11D1B}"/>
            </a:ext>
          </a:extLst>
        </xdr:cNvPr>
        <xdr:cNvSpPr txBox="1"/>
      </xdr:nvSpPr>
      <xdr:spPr>
        <a:xfrm>
          <a:off x="253936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11" name="TextBox 10">
          <a:extLst>
            <a:ext uri="{FF2B5EF4-FFF2-40B4-BE49-F238E27FC236}">
              <a16:creationId xmlns:a16="http://schemas.microsoft.com/office/drawing/2014/main" id="{AA88D7EE-B9B2-4C05-9E3E-D75AD588F694}"/>
            </a:ext>
          </a:extLst>
        </xdr:cNvPr>
        <xdr:cNvSpPr txBox="1"/>
      </xdr:nvSpPr>
      <xdr:spPr>
        <a:xfrm>
          <a:off x="2539365" y="3762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12" name="TextBox 11">
          <a:extLst>
            <a:ext uri="{FF2B5EF4-FFF2-40B4-BE49-F238E27FC236}">
              <a16:creationId xmlns:a16="http://schemas.microsoft.com/office/drawing/2014/main" id="{7F88E034-7373-42E2-BC82-F16A7775707B}"/>
            </a:ext>
          </a:extLst>
        </xdr:cNvPr>
        <xdr:cNvSpPr txBox="1"/>
      </xdr:nvSpPr>
      <xdr:spPr>
        <a:xfrm>
          <a:off x="2539365" y="3762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264560"/>
    <xdr:sp macro="" textlink="">
      <xdr:nvSpPr>
        <xdr:cNvPr id="13" name="TextBox 12">
          <a:extLst>
            <a:ext uri="{FF2B5EF4-FFF2-40B4-BE49-F238E27FC236}">
              <a16:creationId xmlns:a16="http://schemas.microsoft.com/office/drawing/2014/main" id="{90DDE6FA-0F9A-44C9-A075-C8335503E6AE}"/>
            </a:ext>
          </a:extLst>
        </xdr:cNvPr>
        <xdr:cNvSpPr txBox="1"/>
      </xdr:nvSpPr>
      <xdr:spPr>
        <a:xfrm>
          <a:off x="2539365" y="3924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264560"/>
    <xdr:sp macro="" textlink="">
      <xdr:nvSpPr>
        <xdr:cNvPr id="14" name="TextBox 13">
          <a:extLst>
            <a:ext uri="{FF2B5EF4-FFF2-40B4-BE49-F238E27FC236}">
              <a16:creationId xmlns:a16="http://schemas.microsoft.com/office/drawing/2014/main" id="{20CEC64B-D663-494D-964E-AB08E2821780}"/>
            </a:ext>
          </a:extLst>
        </xdr:cNvPr>
        <xdr:cNvSpPr txBox="1"/>
      </xdr:nvSpPr>
      <xdr:spPr>
        <a:xfrm>
          <a:off x="2539365" y="3924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37</xdr:row>
      <xdr:rowOff>0</xdr:rowOff>
    </xdr:from>
    <xdr:ext cx="184731" cy="264560"/>
    <xdr:sp macro="" textlink="">
      <xdr:nvSpPr>
        <xdr:cNvPr id="15" name="TextBox 14">
          <a:extLst>
            <a:ext uri="{FF2B5EF4-FFF2-40B4-BE49-F238E27FC236}">
              <a16:creationId xmlns:a16="http://schemas.microsoft.com/office/drawing/2014/main" id="{FF936DCB-74F3-43F3-AFCC-1916E8DFE9BA}"/>
            </a:ext>
          </a:extLst>
        </xdr:cNvPr>
        <xdr:cNvSpPr txBox="1"/>
      </xdr:nvSpPr>
      <xdr:spPr>
        <a:xfrm>
          <a:off x="3219450"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16" name="TextBox 15">
          <a:extLst>
            <a:ext uri="{FF2B5EF4-FFF2-40B4-BE49-F238E27FC236}">
              <a16:creationId xmlns:a16="http://schemas.microsoft.com/office/drawing/2014/main" id="{AD0159CD-776B-46DD-91E2-3680F7F63EB1}"/>
            </a:ext>
          </a:extLst>
        </xdr:cNvPr>
        <xdr:cNvSpPr txBox="1"/>
      </xdr:nvSpPr>
      <xdr:spPr>
        <a:xfrm>
          <a:off x="32194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39</xdr:row>
      <xdr:rowOff>0</xdr:rowOff>
    </xdr:from>
    <xdr:ext cx="184731" cy="303466"/>
    <xdr:sp macro="" textlink="">
      <xdr:nvSpPr>
        <xdr:cNvPr id="17" name="TextBox 16">
          <a:extLst>
            <a:ext uri="{FF2B5EF4-FFF2-40B4-BE49-F238E27FC236}">
              <a16:creationId xmlns:a16="http://schemas.microsoft.com/office/drawing/2014/main" id="{186DC35C-4193-4022-B909-7FBB02450D79}"/>
            </a:ext>
          </a:extLst>
        </xdr:cNvPr>
        <xdr:cNvSpPr txBox="1"/>
      </xdr:nvSpPr>
      <xdr:spPr>
        <a:xfrm>
          <a:off x="3219450" y="3114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40</xdr:row>
      <xdr:rowOff>0</xdr:rowOff>
    </xdr:from>
    <xdr:ext cx="184731" cy="264560"/>
    <xdr:sp macro="" textlink="">
      <xdr:nvSpPr>
        <xdr:cNvPr id="18" name="TextBox 17">
          <a:extLst>
            <a:ext uri="{FF2B5EF4-FFF2-40B4-BE49-F238E27FC236}">
              <a16:creationId xmlns:a16="http://schemas.microsoft.com/office/drawing/2014/main" id="{40CF3E89-9EF1-416D-9D11-EEB63D9DCF73}"/>
            </a:ext>
          </a:extLst>
        </xdr:cNvPr>
        <xdr:cNvSpPr txBox="1"/>
      </xdr:nvSpPr>
      <xdr:spPr>
        <a:xfrm>
          <a:off x="321945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40</xdr:row>
      <xdr:rowOff>0</xdr:rowOff>
    </xdr:from>
    <xdr:ext cx="184731" cy="264560"/>
    <xdr:sp macro="" textlink="">
      <xdr:nvSpPr>
        <xdr:cNvPr id="19" name="TextBox 18">
          <a:extLst>
            <a:ext uri="{FF2B5EF4-FFF2-40B4-BE49-F238E27FC236}">
              <a16:creationId xmlns:a16="http://schemas.microsoft.com/office/drawing/2014/main" id="{F25A8E09-735A-4738-A8BC-AEEDD3A3829D}"/>
            </a:ext>
          </a:extLst>
        </xdr:cNvPr>
        <xdr:cNvSpPr txBox="1"/>
      </xdr:nvSpPr>
      <xdr:spPr>
        <a:xfrm>
          <a:off x="321945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20" name="TextBox 19">
          <a:extLst>
            <a:ext uri="{FF2B5EF4-FFF2-40B4-BE49-F238E27FC236}">
              <a16:creationId xmlns:a16="http://schemas.microsoft.com/office/drawing/2014/main" id="{4AE60079-2DB1-4A3D-8C74-5ABE8F6DFE3C}"/>
            </a:ext>
          </a:extLst>
        </xdr:cNvPr>
        <xdr:cNvSpPr txBox="1"/>
      </xdr:nvSpPr>
      <xdr:spPr>
        <a:xfrm>
          <a:off x="32194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21" name="TextBox 20">
          <a:extLst>
            <a:ext uri="{FF2B5EF4-FFF2-40B4-BE49-F238E27FC236}">
              <a16:creationId xmlns:a16="http://schemas.microsoft.com/office/drawing/2014/main" id="{538F8F9C-2F4B-472E-8EF3-84485BF1D867}"/>
            </a:ext>
          </a:extLst>
        </xdr:cNvPr>
        <xdr:cNvSpPr txBox="1"/>
      </xdr:nvSpPr>
      <xdr:spPr>
        <a:xfrm>
          <a:off x="32194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22" name="TextBox 21">
          <a:extLst>
            <a:ext uri="{FF2B5EF4-FFF2-40B4-BE49-F238E27FC236}">
              <a16:creationId xmlns:a16="http://schemas.microsoft.com/office/drawing/2014/main" id="{F97EBBA7-13E4-49CA-8D76-09E5A1214D14}"/>
            </a:ext>
          </a:extLst>
        </xdr:cNvPr>
        <xdr:cNvSpPr txBox="1"/>
      </xdr:nvSpPr>
      <xdr:spPr>
        <a:xfrm>
          <a:off x="3219450"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23" name="TextBox 22">
          <a:extLst>
            <a:ext uri="{FF2B5EF4-FFF2-40B4-BE49-F238E27FC236}">
              <a16:creationId xmlns:a16="http://schemas.microsoft.com/office/drawing/2014/main" id="{99BBE852-D5C2-4B1A-9E50-9B96D7393333}"/>
            </a:ext>
          </a:extLst>
        </xdr:cNvPr>
        <xdr:cNvSpPr txBox="1"/>
      </xdr:nvSpPr>
      <xdr:spPr>
        <a:xfrm>
          <a:off x="3219450"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24" name="TextBox 23">
          <a:extLst>
            <a:ext uri="{FF2B5EF4-FFF2-40B4-BE49-F238E27FC236}">
              <a16:creationId xmlns:a16="http://schemas.microsoft.com/office/drawing/2014/main" id="{C3B56529-2641-4EC9-BCFF-9D85E5200EEF}"/>
            </a:ext>
          </a:extLst>
        </xdr:cNvPr>
        <xdr:cNvSpPr txBox="1"/>
      </xdr:nvSpPr>
      <xdr:spPr>
        <a:xfrm>
          <a:off x="3219450"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25" name="TextBox 24">
          <a:extLst>
            <a:ext uri="{FF2B5EF4-FFF2-40B4-BE49-F238E27FC236}">
              <a16:creationId xmlns:a16="http://schemas.microsoft.com/office/drawing/2014/main" id="{485DF077-F4C2-4F4A-A855-102C35D76FB6}"/>
            </a:ext>
          </a:extLst>
        </xdr:cNvPr>
        <xdr:cNvSpPr txBox="1"/>
      </xdr:nvSpPr>
      <xdr:spPr>
        <a:xfrm>
          <a:off x="3219450"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44</xdr:row>
      <xdr:rowOff>0</xdr:rowOff>
    </xdr:from>
    <xdr:ext cx="184731" cy="264560"/>
    <xdr:sp macro="" textlink="">
      <xdr:nvSpPr>
        <xdr:cNvPr id="26" name="TextBox 25">
          <a:extLst>
            <a:ext uri="{FF2B5EF4-FFF2-40B4-BE49-F238E27FC236}">
              <a16:creationId xmlns:a16="http://schemas.microsoft.com/office/drawing/2014/main" id="{27943AFA-5B9D-4B04-94D5-FE2C4656754D}"/>
            </a:ext>
          </a:extLst>
        </xdr:cNvPr>
        <xdr:cNvSpPr txBox="1"/>
      </xdr:nvSpPr>
      <xdr:spPr>
        <a:xfrm>
          <a:off x="321945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44</xdr:row>
      <xdr:rowOff>0</xdr:rowOff>
    </xdr:from>
    <xdr:ext cx="184731" cy="264560"/>
    <xdr:sp macro="" textlink="">
      <xdr:nvSpPr>
        <xdr:cNvPr id="27" name="TextBox 26">
          <a:extLst>
            <a:ext uri="{FF2B5EF4-FFF2-40B4-BE49-F238E27FC236}">
              <a16:creationId xmlns:a16="http://schemas.microsoft.com/office/drawing/2014/main" id="{E0DA372E-B380-4873-8D58-B7C6C87FE98D}"/>
            </a:ext>
          </a:extLst>
        </xdr:cNvPr>
        <xdr:cNvSpPr txBox="1"/>
      </xdr:nvSpPr>
      <xdr:spPr>
        <a:xfrm>
          <a:off x="321945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8" name="TextBox 27">
          <a:extLst>
            <a:ext uri="{FF2B5EF4-FFF2-40B4-BE49-F238E27FC236}">
              <a16:creationId xmlns:a16="http://schemas.microsoft.com/office/drawing/2014/main" id="{0D5070EE-8393-4C90-82A1-B85E251E4072}"/>
            </a:ext>
          </a:extLst>
        </xdr:cNvPr>
        <xdr:cNvSpPr txBox="1"/>
      </xdr:nvSpPr>
      <xdr:spPr>
        <a:xfrm>
          <a:off x="402907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9" name="TextBox 28">
          <a:extLst>
            <a:ext uri="{FF2B5EF4-FFF2-40B4-BE49-F238E27FC236}">
              <a16:creationId xmlns:a16="http://schemas.microsoft.com/office/drawing/2014/main" id="{D7E82BAE-2B7C-4F90-A715-17FA0EEA6F31}"/>
            </a:ext>
          </a:extLst>
        </xdr:cNvPr>
        <xdr:cNvSpPr txBox="1"/>
      </xdr:nvSpPr>
      <xdr:spPr>
        <a:xfrm>
          <a:off x="4029075"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303466"/>
    <xdr:sp macro="" textlink="">
      <xdr:nvSpPr>
        <xdr:cNvPr id="30" name="TextBox 29">
          <a:extLst>
            <a:ext uri="{FF2B5EF4-FFF2-40B4-BE49-F238E27FC236}">
              <a16:creationId xmlns:a16="http://schemas.microsoft.com/office/drawing/2014/main" id="{B9690BB1-5816-4892-8BC1-12792F8C63C7}"/>
            </a:ext>
          </a:extLst>
        </xdr:cNvPr>
        <xdr:cNvSpPr txBox="1"/>
      </xdr:nvSpPr>
      <xdr:spPr>
        <a:xfrm>
          <a:off x="4029075" y="3114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1" name="TextBox 30">
          <a:extLst>
            <a:ext uri="{FF2B5EF4-FFF2-40B4-BE49-F238E27FC236}">
              <a16:creationId xmlns:a16="http://schemas.microsoft.com/office/drawing/2014/main" id="{60C52FDA-F9A1-4386-8722-8D637FFD19A6}"/>
            </a:ext>
          </a:extLst>
        </xdr:cNvPr>
        <xdr:cNvSpPr txBox="1"/>
      </xdr:nvSpPr>
      <xdr:spPr>
        <a:xfrm>
          <a:off x="40290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2" name="TextBox 31">
          <a:extLst>
            <a:ext uri="{FF2B5EF4-FFF2-40B4-BE49-F238E27FC236}">
              <a16:creationId xmlns:a16="http://schemas.microsoft.com/office/drawing/2014/main" id="{AD282D51-2CF3-4618-A1B5-D890B92FB702}"/>
            </a:ext>
          </a:extLst>
        </xdr:cNvPr>
        <xdr:cNvSpPr txBox="1"/>
      </xdr:nvSpPr>
      <xdr:spPr>
        <a:xfrm>
          <a:off x="40290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33" name="TextBox 32">
          <a:extLst>
            <a:ext uri="{FF2B5EF4-FFF2-40B4-BE49-F238E27FC236}">
              <a16:creationId xmlns:a16="http://schemas.microsoft.com/office/drawing/2014/main" id="{432C7D2E-CB2F-4946-8A83-9D94B9ECA7C7}"/>
            </a:ext>
          </a:extLst>
        </xdr:cNvPr>
        <xdr:cNvSpPr txBox="1"/>
      </xdr:nvSpPr>
      <xdr:spPr>
        <a:xfrm>
          <a:off x="40290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34" name="TextBox 33">
          <a:extLst>
            <a:ext uri="{FF2B5EF4-FFF2-40B4-BE49-F238E27FC236}">
              <a16:creationId xmlns:a16="http://schemas.microsoft.com/office/drawing/2014/main" id="{31786993-3568-4804-9A26-A6A7DFD6F136}"/>
            </a:ext>
          </a:extLst>
        </xdr:cNvPr>
        <xdr:cNvSpPr txBox="1"/>
      </xdr:nvSpPr>
      <xdr:spPr>
        <a:xfrm>
          <a:off x="40290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35" name="TextBox 34">
          <a:extLst>
            <a:ext uri="{FF2B5EF4-FFF2-40B4-BE49-F238E27FC236}">
              <a16:creationId xmlns:a16="http://schemas.microsoft.com/office/drawing/2014/main" id="{6D93AD79-703B-4D48-BA64-675850453793}"/>
            </a:ext>
          </a:extLst>
        </xdr:cNvPr>
        <xdr:cNvSpPr txBox="1"/>
      </xdr:nvSpPr>
      <xdr:spPr>
        <a:xfrm>
          <a:off x="40290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36" name="TextBox 35">
          <a:extLst>
            <a:ext uri="{FF2B5EF4-FFF2-40B4-BE49-F238E27FC236}">
              <a16:creationId xmlns:a16="http://schemas.microsoft.com/office/drawing/2014/main" id="{109A4476-5E33-486C-AE1C-DDE29B3C37E4}"/>
            </a:ext>
          </a:extLst>
        </xdr:cNvPr>
        <xdr:cNvSpPr txBox="1"/>
      </xdr:nvSpPr>
      <xdr:spPr>
        <a:xfrm>
          <a:off x="40290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37" name="TextBox 36">
          <a:extLst>
            <a:ext uri="{FF2B5EF4-FFF2-40B4-BE49-F238E27FC236}">
              <a16:creationId xmlns:a16="http://schemas.microsoft.com/office/drawing/2014/main" id="{430B20F6-7820-4746-82DD-614B2C3181DB}"/>
            </a:ext>
          </a:extLst>
        </xdr:cNvPr>
        <xdr:cNvSpPr txBox="1"/>
      </xdr:nvSpPr>
      <xdr:spPr>
        <a:xfrm>
          <a:off x="4029075"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38" name="TextBox 37">
          <a:extLst>
            <a:ext uri="{FF2B5EF4-FFF2-40B4-BE49-F238E27FC236}">
              <a16:creationId xmlns:a16="http://schemas.microsoft.com/office/drawing/2014/main" id="{D65C0A6F-86BC-47BC-B8AA-ADBE4A38C88C}"/>
            </a:ext>
          </a:extLst>
        </xdr:cNvPr>
        <xdr:cNvSpPr txBox="1"/>
      </xdr:nvSpPr>
      <xdr:spPr>
        <a:xfrm>
          <a:off x="4029075"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44</xdr:row>
      <xdr:rowOff>0</xdr:rowOff>
    </xdr:from>
    <xdr:ext cx="184731" cy="264560"/>
    <xdr:sp macro="" textlink="">
      <xdr:nvSpPr>
        <xdr:cNvPr id="39" name="TextBox 38">
          <a:extLst>
            <a:ext uri="{FF2B5EF4-FFF2-40B4-BE49-F238E27FC236}">
              <a16:creationId xmlns:a16="http://schemas.microsoft.com/office/drawing/2014/main" id="{78739D4A-2F32-4E12-AD19-105C33940B1F}"/>
            </a:ext>
          </a:extLst>
        </xdr:cNvPr>
        <xdr:cNvSpPr txBox="1"/>
      </xdr:nvSpPr>
      <xdr:spPr>
        <a:xfrm>
          <a:off x="402907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44</xdr:row>
      <xdr:rowOff>0</xdr:rowOff>
    </xdr:from>
    <xdr:ext cx="184731" cy="264560"/>
    <xdr:sp macro="" textlink="">
      <xdr:nvSpPr>
        <xdr:cNvPr id="40" name="TextBox 39">
          <a:extLst>
            <a:ext uri="{FF2B5EF4-FFF2-40B4-BE49-F238E27FC236}">
              <a16:creationId xmlns:a16="http://schemas.microsoft.com/office/drawing/2014/main" id="{A786B5E8-223E-4DA3-99D6-35521EDADB66}"/>
            </a:ext>
          </a:extLst>
        </xdr:cNvPr>
        <xdr:cNvSpPr txBox="1"/>
      </xdr:nvSpPr>
      <xdr:spPr>
        <a:xfrm>
          <a:off x="402907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41" name="TextBox 40">
          <a:extLst>
            <a:ext uri="{FF2B5EF4-FFF2-40B4-BE49-F238E27FC236}">
              <a16:creationId xmlns:a16="http://schemas.microsoft.com/office/drawing/2014/main" id="{7A2A918B-3EDE-4E15-A340-9F55AFA56351}"/>
            </a:ext>
          </a:extLst>
        </xdr:cNvPr>
        <xdr:cNvSpPr txBox="1"/>
      </xdr:nvSpPr>
      <xdr:spPr>
        <a:xfrm>
          <a:off x="3215640"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37</xdr:row>
      <xdr:rowOff>0</xdr:rowOff>
    </xdr:from>
    <xdr:ext cx="192763" cy="264560"/>
    <xdr:sp macro="" textlink="">
      <xdr:nvSpPr>
        <xdr:cNvPr id="42" name="TextBox 41">
          <a:extLst>
            <a:ext uri="{FF2B5EF4-FFF2-40B4-BE49-F238E27FC236}">
              <a16:creationId xmlns:a16="http://schemas.microsoft.com/office/drawing/2014/main" id="{0817AF36-64EB-4F6C-B894-D051667F4F4F}"/>
            </a:ext>
          </a:extLst>
        </xdr:cNvPr>
        <xdr:cNvSpPr txBox="1"/>
      </xdr:nvSpPr>
      <xdr:spPr>
        <a:xfrm>
          <a:off x="4025265"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37</xdr:row>
      <xdr:rowOff>0</xdr:rowOff>
    </xdr:from>
    <xdr:ext cx="192763" cy="264560"/>
    <xdr:sp macro="" textlink="">
      <xdr:nvSpPr>
        <xdr:cNvPr id="43" name="TextBox 42">
          <a:extLst>
            <a:ext uri="{FF2B5EF4-FFF2-40B4-BE49-F238E27FC236}">
              <a16:creationId xmlns:a16="http://schemas.microsoft.com/office/drawing/2014/main" id="{805FBAF2-BBF2-4DB9-8A7C-9BD4C89D1894}"/>
            </a:ext>
          </a:extLst>
        </xdr:cNvPr>
        <xdr:cNvSpPr txBox="1"/>
      </xdr:nvSpPr>
      <xdr:spPr>
        <a:xfrm>
          <a:off x="4834890"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38</xdr:row>
      <xdr:rowOff>0</xdr:rowOff>
    </xdr:from>
    <xdr:ext cx="183125" cy="264560"/>
    <xdr:sp macro="" textlink="">
      <xdr:nvSpPr>
        <xdr:cNvPr id="44" name="TextBox 43">
          <a:extLst>
            <a:ext uri="{FF2B5EF4-FFF2-40B4-BE49-F238E27FC236}">
              <a16:creationId xmlns:a16="http://schemas.microsoft.com/office/drawing/2014/main" id="{5D3E911D-00C1-45CF-9327-3DC84F349864}"/>
            </a:ext>
          </a:extLst>
        </xdr:cNvPr>
        <xdr:cNvSpPr txBox="1"/>
      </xdr:nvSpPr>
      <xdr:spPr>
        <a:xfrm>
          <a:off x="2539365" y="29527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38</xdr:row>
      <xdr:rowOff>0</xdr:rowOff>
    </xdr:from>
    <xdr:ext cx="184731" cy="271710"/>
    <xdr:sp macro="" textlink="">
      <xdr:nvSpPr>
        <xdr:cNvPr id="45" name="TextBox 44">
          <a:extLst>
            <a:ext uri="{FF2B5EF4-FFF2-40B4-BE49-F238E27FC236}">
              <a16:creationId xmlns:a16="http://schemas.microsoft.com/office/drawing/2014/main" id="{1E1790B5-9F03-4250-9758-98588DED0023}"/>
            </a:ext>
          </a:extLst>
        </xdr:cNvPr>
        <xdr:cNvSpPr txBox="1"/>
      </xdr:nvSpPr>
      <xdr:spPr>
        <a:xfrm>
          <a:off x="1102995" y="29527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3143250</xdr:colOff>
      <xdr:row>77</xdr:row>
      <xdr:rowOff>0</xdr:rowOff>
    </xdr:from>
    <xdr:ext cx="184731" cy="264560"/>
    <xdr:sp macro="" textlink="">
      <xdr:nvSpPr>
        <xdr:cNvPr id="2" name="TextBox 1">
          <a:extLst>
            <a:ext uri="{FF2B5EF4-FFF2-40B4-BE49-F238E27FC236}">
              <a16:creationId xmlns:a16="http://schemas.microsoft.com/office/drawing/2014/main" id="{BF21BA89-34AA-471E-A5A9-F2C9EF79778D}"/>
            </a:ext>
          </a:extLst>
        </xdr:cNvPr>
        <xdr:cNvSpPr txBox="1"/>
      </xdr:nvSpPr>
      <xdr:spPr>
        <a:xfrm>
          <a:off x="381000"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3" name="TextBox 2">
          <a:extLst>
            <a:ext uri="{FF2B5EF4-FFF2-40B4-BE49-F238E27FC236}">
              <a16:creationId xmlns:a16="http://schemas.microsoft.com/office/drawing/2014/main" id="{C520BBFE-15BD-4C41-BB0C-CDCBD2D43B64}"/>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4" name="TextBox 3">
          <a:extLst>
            <a:ext uri="{FF2B5EF4-FFF2-40B4-BE49-F238E27FC236}">
              <a16:creationId xmlns:a16="http://schemas.microsoft.com/office/drawing/2014/main" id="{455CE696-722A-46D8-9D54-FD13690B1AAD}"/>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5" name="TextBox 4">
          <a:extLst>
            <a:ext uri="{FF2B5EF4-FFF2-40B4-BE49-F238E27FC236}">
              <a16:creationId xmlns:a16="http://schemas.microsoft.com/office/drawing/2014/main" id="{2DA418AB-B9A2-4960-8E4A-A22F57C87D45}"/>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6" name="TextBox 5">
          <a:extLst>
            <a:ext uri="{FF2B5EF4-FFF2-40B4-BE49-F238E27FC236}">
              <a16:creationId xmlns:a16="http://schemas.microsoft.com/office/drawing/2014/main" id="{40088564-728A-4564-AA74-495EC36C51AF}"/>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7" name="TextBox 6">
          <a:extLst>
            <a:ext uri="{FF2B5EF4-FFF2-40B4-BE49-F238E27FC236}">
              <a16:creationId xmlns:a16="http://schemas.microsoft.com/office/drawing/2014/main" id="{593C99AB-AA96-40FD-9D95-953EDFF23B52}"/>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8" name="TextBox 7">
          <a:extLst>
            <a:ext uri="{FF2B5EF4-FFF2-40B4-BE49-F238E27FC236}">
              <a16:creationId xmlns:a16="http://schemas.microsoft.com/office/drawing/2014/main" id="{EABF24FF-DC49-496D-BBDE-3136C08C13E8}"/>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9" name="TextBox 8">
          <a:extLst>
            <a:ext uri="{FF2B5EF4-FFF2-40B4-BE49-F238E27FC236}">
              <a16:creationId xmlns:a16="http://schemas.microsoft.com/office/drawing/2014/main" id="{772C07F2-AE06-45D7-B7F0-5D78133BE0C7}"/>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10" name="TextBox 9">
          <a:extLst>
            <a:ext uri="{FF2B5EF4-FFF2-40B4-BE49-F238E27FC236}">
              <a16:creationId xmlns:a16="http://schemas.microsoft.com/office/drawing/2014/main" id="{FA4902DC-7BD1-4816-A256-FF792275B60B}"/>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1" name="TextBox 10">
          <a:extLst>
            <a:ext uri="{FF2B5EF4-FFF2-40B4-BE49-F238E27FC236}">
              <a16:creationId xmlns:a16="http://schemas.microsoft.com/office/drawing/2014/main" id="{41BB842E-283B-43AC-9913-9989D9031563}"/>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2" name="TextBox 11">
          <a:extLst>
            <a:ext uri="{FF2B5EF4-FFF2-40B4-BE49-F238E27FC236}">
              <a16:creationId xmlns:a16="http://schemas.microsoft.com/office/drawing/2014/main" id="{F94932C6-778D-4C49-A302-7DEC2D9116E0}"/>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3" name="TextBox 12">
          <a:extLst>
            <a:ext uri="{FF2B5EF4-FFF2-40B4-BE49-F238E27FC236}">
              <a16:creationId xmlns:a16="http://schemas.microsoft.com/office/drawing/2014/main" id="{F176DA24-6CC3-4DA3-899A-9D522B79E310}"/>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4" name="TextBox 13">
          <a:extLst>
            <a:ext uri="{FF2B5EF4-FFF2-40B4-BE49-F238E27FC236}">
              <a16:creationId xmlns:a16="http://schemas.microsoft.com/office/drawing/2014/main" id="{C7EC13F6-1E1A-4536-9D35-A00A80D28352}"/>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5" name="TextBox 14">
          <a:extLst>
            <a:ext uri="{FF2B5EF4-FFF2-40B4-BE49-F238E27FC236}">
              <a16:creationId xmlns:a16="http://schemas.microsoft.com/office/drawing/2014/main" id="{98A598DD-BF1D-4CC1-B7EA-AEE79447004D}"/>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6" name="TextBox 15">
          <a:extLst>
            <a:ext uri="{FF2B5EF4-FFF2-40B4-BE49-F238E27FC236}">
              <a16:creationId xmlns:a16="http://schemas.microsoft.com/office/drawing/2014/main" id="{EA40A697-75E6-4914-966B-E9F923E6995F}"/>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7" name="TextBox 16">
          <a:extLst>
            <a:ext uri="{FF2B5EF4-FFF2-40B4-BE49-F238E27FC236}">
              <a16:creationId xmlns:a16="http://schemas.microsoft.com/office/drawing/2014/main" id="{5452A909-2FC8-4425-9FCB-BB8F78D60588}"/>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77</xdr:row>
      <xdr:rowOff>0</xdr:rowOff>
    </xdr:from>
    <xdr:ext cx="184731" cy="264560"/>
    <xdr:sp macro="" textlink="">
      <xdr:nvSpPr>
        <xdr:cNvPr id="18" name="TextBox 17">
          <a:extLst>
            <a:ext uri="{FF2B5EF4-FFF2-40B4-BE49-F238E27FC236}">
              <a16:creationId xmlns:a16="http://schemas.microsoft.com/office/drawing/2014/main" id="{26B26425-909E-4824-9A53-5EAB18BBA352}"/>
            </a:ext>
          </a:extLst>
        </xdr:cNvPr>
        <xdr:cNvSpPr txBox="1"/>
      </xdr:nvSpPr>
      <xdr:spPr>
        <a:xfrm>
          <a:off x="2840355"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77</xdr:row>
      <xdr:rowOff>0</xdr:rowOff>
    </xdr:from>
    <xdr:ext cx="184731" cy="264560"/>
    <xdr:sp macro="" textlink="">
      <xdr:nvSpPr>
        <xdr:cNvPr id="19" name="TextBox 18">
          <a:extLst>
            <a:ext uri="{FF2B5EF4-FFF2-40B4-BE49-F238E27FC236}">
              <a16:creationId xmlns:a16="http://schemas.microsoft.com/office/drawing/2014/main" id="{D2D5CCDC-CEF5-4293-9D15-27652F12396E}"/>
            </a:ext>
          </a:extLst>
        </xdr:cNvPr>
        <xdr:cNvSpPr txBox="1"/>
      </xdr:nvSpPr>
      <xdr:spPr>
        <a:xfrm>
          <a:off x="4032885"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77</xdr:row>
      <xdr:rowOff>0</xdr:rowOff>
    </xdr:from>
    <xdr:ext cx="184731" cy="264560"/>
    <xdr:sp macro="" textlink="">
      <xdr:nvSpPr>
        <xdr:cNvPr id="20" name="TextBox 19">
          <a:extLst>
            <a:ext uri="{FF2B5EF4-FFF2-40B4-BE49-F238E27FC236}">
              <a16:creationId xmlns:a16="http://schemas.microsoft.com/office/drawing/2014/main" id="{2D7D1FBE-D0B8-482D-A1A3-843982AB929C}"/>
            </a:ext>
          </a:extLst>
        </xdr:cNvPr>
        <xdr:cNvSpPr txBox="1"/>
      </xdr:nvSpPr>
      <xdr:spPr>
        <a:xfrm>
          <a:off x="5223510"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21" name="TextBox 20">
          <a:extLst>
            <a:ext uri="{FF2B5EF4-FFF2-40B4-BE49-F238E27FC236}">
              <a16:creationId xmlns:a16="http://schemas.microsoft.com/office/drawing/2014/main" id="{469AE0B3-4C62-45CF-848C-3A068226CF48}"/>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78</xdr:row>
      <xdr:rowOff>0</xdr:rowOff>
    </xdr:from>
    <xdr:ext cx="184731" cy="264560"/>
    <xdr:sp macro="" textlink="">
      <xdr:nvSpPr>
        <xdr:cNvPr id="22" name="TextBox 21">
          <a:extLst>
            <a:ext uri="{FF2B5EF4-FFF2-40B4-BE49-F238E27FC236}">
              <a16:creationId xmlns:a16="http://schemas.microsoft.com/office/drawing/2014/main" id="{F086CEF8-B367-4945-8CBD-6AAC46E9922E}"/>
            </a:ext>
          </a:extLst>
        </xdr:cNvPr>
        <xdr:cNvSpPr txBox="1"/>
      </xdr:nvSpPr>
      <xdr:spPr>
        <a:xfrm>
          <a:off x="2840355"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78</xdr:row>
      <xdr:rowOff>0</xdr:rowOff>
    </xdr:from>
    <xdr:ext cx="184731" cy="264560"/>
    <xdr:sp macro="" textlink="">
      <xdr:nvSpPr>
        <xdr:cNvPr id="23" name="TextBox 22">
          <a:extLst>
            <a:ext uri="{FF2B5EF4-FFF2-40B4-BE49-F238E27FC236}">
              <a16:creationId xmlns:a16="http://schemas.microsoft.com/office/drawing/2014/main" id="{DC8E7090-9E52-4BDC-8D29-621874BE05B7}"/>
            </a:ext>
          </a:extLst>
        </xdr:cNvPr>
        <xdr:cNvSpPr txBox="1"/>
      </xdr:nvSpPr>
      <xdr:spPr>
        <a:xfrm>
          <a:off x="4032885"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78</xdr:row>
      <xdr:rowOff>0</xdr:rowOff>
    </xdr:from>
    <xdr:ext cx="184731" cy="264560"/>
    <xdr:sp macro="" textlink="">
      <xdr:nvSpPr>
        <xdr:cNvPr id="24" name="TextBox 23">
          <a:extLst>
            <a:ext uri="{FF2B5EF4-FFF2-40B4-BE49-F238E27FC236}">
              <a16:creationId xmlns:a16="http://schemas.microsoft.com/office/drawing/2014/main" id="{099E3782-1318-47BC-AD24-37742A22FA66}"/>
            </a:ext>
          </a:extLst>
        </xdr:cNvPr>
        <xdr:cNvSpPr txBox="1"/>
      </xdr:nvSpPr>
      <xdr:spPr>
        <a:xfrm>
          <a:off x="522351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25" name="TextBox 24">
          <a:extLst>
            <a:ext uri="{FF2B5EF4-FFF2-40B4-BE49-F238E27FC236}">
              <a16:creationId xmlns:a16="http://schemas.microsoft.com/office/drawing/2014/main" id="{D620C7B1-8F0B-4D21-AA79-33E3C0872377}"/>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79</xdr:row>
      <xdr:rowOff>0</xdr:rowOff>
    </xdr:from>
    <xdr:ext cx="184731" cy="264560"/>
    <xdr:sp macro="" textlink="">
      <xdr:nvSpPr>
        <xdr:cNvPr id="26" name="TextBox 25">
          <a:extLst>
            <a:ext uri="{FF2B5EF4-FFF2-40B4-BE49-F238E27FC236}">
              <a16:creationId xmlns:a16="http://schemas.microsoft.com/office/drawing/2014/main" id="{38B48CD1-E77B-4D7E-825A-47A51CBD78AB}"/>
            </a:ext>
          </a:extLst>
        </xdr:cNvPr>
        <xdr:cNvSpPr txBox="1"/>
      </xdr:nvSpPr>
      <xdr:spPr>
        <a:xfrm>
          <a:off x="2840355"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79</xdr:row>
      <xdr:rowOff>0</xdr:rowOff>
    </xdr:from>
    <xdr:ext cx="184731" cy="264560"/>
    <xdr:sp macro="" textlink="">
      <xdr:nvSpPr>
        <xdr:cNvPr id="27" name="TextBox 26">
          <a:extLst>
            <a:ext uri="{FF2B5EF4-FFF2-40B4-BE49-F238E27FC236}">
              <a16:creationId xmlns:a16="http://schemas.microsoft.com/office/drawing/2014/main" id="{E32D5ADA-5325-4194-939E-36AE4159C8F2}"/>
            </a:ext>
          </a:extLst>
        </xdr:cNvPr>
        <xdr:cNvSpPr txBox="1"/>
      </xdr:nvSpPr>
      <xdr:spPr>
        <a:xfrm>
          <a:off x="4032885"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28" name="TextBox 27">
          <a:extLst>
            <a:ext uri="{FF2B5EF4-FFF2-40B4-BE49-F238E27FC236}">
              <a16:creationId xmlns:a16="http://schemas.microsoft.com/office/drawing/2014/main" id="{5D2DB7DA-01AD-47C8-ACE9-5727FDE67EDA}"/>
            </a:ext>
          </a:extLst>
        </xdr:cNvPr>
        <xdr:cNvSpPr txBox="1"/>
      </xdr:nvSpPr>
      <xdr:spPr>
        <a:xfrm>
          <a:off x="522351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29" name="TextBox 28">
          <a:extLst>
            <a:ext uri="{FF2B5EF4-FFF2-40B4-BE49-F238E27FC236}">
              <a16:creationId xmlns:a16="http://schemas.microsoft.com/office/drawing/2014/main" id="{71556E37-44B0-42D1-B365-94192560E94B}"/>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80</xdr:row>
      <xdr:rowOff>0</xdr:rowOff>
    </xdr:from>
    <xdr:ext cx="184731" cy="264560"/>
    <xdr:sp macro="" textlink="">
      <xdr:nvSpPr>
        <xdr:cNvPr id="30" name="TextBox 29">
          <a:extLst>
            <a:ext uri="{FF2B5EF4-FFF2-40B4-BE49-F238E27FC236}">
              <a16:creationId xmlns:a16="http://schemas.microsoft.com/office/drawing/2014/main" id="{D75693F0-9F44-487D-BAD5-15784E873621}"/>
            </a:ext>
          </a:extLst>
        </xdr:cNvPr>
        <xdr:cNvSpPr txBox="1"/>
      </xdr:nvSpPr>
      <xdr:spPr>
        <a:xfrm>
          <a:off x="2840355"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80</xdr:row>
      <xdr:rowOff>0</xdr:rowOff>
    </xdr:from>
    <xdr:ext cx="184731" cy="264560"/>
    <xdr:sp macro="" textlink="">
      <xdr:nvSpPr>
        <xdr:cNvPr id="31" name="TextBox 30">
          <a:extLst>
            <a:ext uri="{FF2B5EF4-FFF2-40B4-BE49-F238E27FC236}">
              <a16:creationId xmlns:a16="http://schemas.microsoft.com/office/drawing/2014/main" id="{95E88934-0956-454F-BAA7-D608168E366B}"/>
            </a:ext>
          </a:extLst>
        </xdr:cNvPr>
        <xdr:cNvSpPr txBox="1"/>
      </xdr:nvSpPr>
      <xdr:spPr>
        <a:xfrm>
          <a:off x="4032885"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80</xdr:row>
      <xdr:rowOff>0</xdr:rowOff>
    </xdr:from>
    <xdr:ext cx="184731" cy="264560"/>
    <xdr:sp macro="" textlink="">
      <xdr:nvSpPr>
        <xdr:cNvPr id="32" name="TextBox 31">
          <a:extLst>
            <a:ext uri="{FF2B5EF4-FFF2-40B4-BE49-F238E27FC236}">
              <a16:creationId xmlns:a16="http://schemas.microsoft.com/office/drawing/2014/main" id="{BA696FAC-229F-420C-8638-D0127C089D5C}"/>
            </a:ext>
          </a:extLst>
        </xdr:cNvPr>
        <xdr:cNvSpPr txBox="1"/>
      </xdr:nvSpPr>
      <xdr:spPr>
        <a:xfrm>
          <a:off x="522351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33" name="TextBox 32">
          <a:extLst>
            <a:ext uri="{FF2B5EF4-FFF2-40B4-BE49-F238E27FC236}">
              <a16:creationId xmlns:a16="http://schemas.microsoft.com/office/drawing/2014/main" id="{DC6B16F8-738D-41DE-9611-9D7C437C8F40}"/>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81</xdr:row>
      <xdr:rowOff>0</xdr:rowOff>
    </xdr:from>
    <xdr:ext cx="184731" cy="264560"/>
    <xdr:sp macro="" textlink="">
      <xdr:nvSpPr>
        <xdr:cNvPr id="34" name="TextBox 33">
          <a:extLst>
            <a:ext uri="{FF2B5EF4-FFF2-40B4-BE49-F238E27FC236}">
              <a16:creationId xmlns:a16="http://schemas.microsoft.com/office/drawing/2014/main" id="{F62276FB-E0B1-4ACA-894C-5E46E69A07D6}"/>
            </a:ext>
          </a:extLst>
        </xdr:cNvPr>
        <xdr:cNvSpPr txBox="1"/>
      </xdr:nvSpPr>
      <xdr:spPr>
        <a:xfrm>
          <a:off x="2840355"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81</xdr:row>
      <xdr:rowOff>0</xdr:rowOff>
    </xdr:from>
    <xdr:ext cx="184731" cy="264560"/>
    <xdr:sp macro="" textlink="">
      <xdr:nvSpPr>
        <xdr:cNvPr id="35" name="TextBox 34">
          <a:extLst>
            <a:ext uri="{FF2B5EF4-FFF2-40B4-BE49-F238E27FC236}">
              <a16:creationId xmlns:a16="http://schemas.microsoft.com/office/drawing/2014/main" id="{6975AAC7-A7CB-477B-8B7B-6DFDD777CB22}"/>
            </a:ext>
          </a:extLst>
        </xdr:cNvPr>
        <xdr:cNvSpPr txBox="1"/>
      </xdr:nvSpPr>
      <xdr:spPr>
        <a:xfrm>
          <a:off x="4032885"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81</xdr:row>
      <xdr:rowOff>0</xdr:rowOff>
    </xdr:from>
    <xdr:ext cx="184731" cy="264560"/>
    <xdr:sp macro="" textlink="">
      <xdr:nvSpPr>
        <xdr:cNvPr id="36" name="TextBox 35">
          <a:extLst>
            <a:ext uri="{FF2B5EF4-FFF2-40B4-BE49-F238E27FC236}">
              <a16:creationId xmlns:a16="http://schemas.microsoft.com/office/drawing/2014/main" id="{70C64621-AACD-4BAD-8A44-F1BBB58AA0D1}"/>
            </a:ext>
          </a:extLst>
        </xdr:cNvPr>
        <xdr:cNvSpPr txBox="1"/>
      </xdr:nvSpPr>
      <xdr:spPr>
        <a:xfrm>
          <a:off x="522351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82</xdr:row>
      <xdr:rowOff>0</xdr:rowOff>
    </xdr:from>
    <xdr:ext cx="184731" cy="264560"/>
    <xdr:sp macro="" textlink="">
      <xdr:nvSpPr>
        <xdr:cNvPr id="37" name="TextBox 36">
          <a:extLst>
            <a:ext uri="{FF2B5EF4-FFF2-40B4-BE49-F238E27FC236}">
              <a16:creationId xmlns:a16="http://schemas.microsoft.com/office/drawing/2014/main" id="{00EBA7AA-45C4-4DDF-8A71-9F0FD57B0805}"/>
            </a:ext>
          </a:extLst>
        </xdr:cNvPr>
        <xdr:cNvSpPr txBox="1"/>
      </xdr:nvSpPr>
      <xdr:spPr>
        <a:xfrm>
          <a:off x="381000"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82</xdr:row>
      <xdr:rowOff>0</xdr:rowOff>
    </xdr:from>
    <xdr:ext cx="184731" cy="264560"/>
    <xdr:sp macro="" textlink="">
      <xdr:nvSpPr>
        <xdr:cNvPr id="38" name="TextBox 37">
          <a:extLst>
            <a:ext uri="{FF2B5EF4-FFF2-40B4-BE49-F238E27FC236}">
              <a16:creationId xmlns:a16="http://schemas.microsoft.com/office/drawing/2014/main" id="{77117FE4-5733-48C5-97B0-6CE4E1A70376}"/>
            </a:ext>
          </a:extLst>
        </xdr:cNvPr>
        <xdr:cNvSpPr txBox="1"/>
      </xdr:nvSpPr>
      <xdr:spPr>
        <a:xfrm>
          <a:off x="2840355"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82</xdr:row>
      <xdr:rowOff>0</xdr:rowOff>
    </xdr:from>
    <xdr:ext cx="184731" cy="264560"/>
    <xdr:sp macro="" textlink="">
      <xdr:nvSpPr>
        <xdr:cNvPr id="39" name="TextBox 38">
          <a:extLst>
            <a:ext uri="{FF2B5EF4-FFF2-40B4-BE49-F238E27FC236}">
              <a16:creationId xmlns:a16="http://schemas.microsoft.com/office/drawing/2014/main" id="{F0B0A09B-E9CF-41B0-B2AD-8752E047B5B0}"/>
            </a:ext>
          </a:extLst>
        </xdr:cNvPr>
        <xdr:cNvSpPr txBox="1"/>
      </xdr:nvSpPr>
      <xdr:spPr>
        <a:xfrm>
          <a:off x="4032885"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82</xdr:row>
      <xdr:rowOff>0</xdr:rowOff>
    </xdr:from>
    <xdr:ext cx="184731" cy="264560"/>
    <xdr:sp macro="" textlink="">
      <xdr:nvSpPr>
        <xdr:cNvPr id="40" name="TextBox 39">
          <a:extLst>
            <a:ext uri="{FF2B5EF4-FFF2-40B4-BE49-F238E27FC236}">
              <a16:creationId xmlns:a16="http://schemas.microsoft.com/office/drawing/2014/main" id="{D0AB71B1-AE29-4CB9-AC4E-3E88472D413F}"/>
            </a:ext>
          </a:extLst>
        </xdr:cNvPr>
        <xdr:cNvSpPr txBox="1"/>
      </xdr:nvSpPr>
      <xdr:spPr>
        <a:xfrm>
          <a:off x="5223510"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83</xdr:row>
      <xdr:rowOff>0</xdr:rowOff>
    </xdr:from>
    <xdr:ext cx="184731" cy="264560"/>
    <xdr:sp macro="" textlink="">
      <xdr:nvSpPr>
        <xdr:cNvPr id="41" name="TextBox 40">
          <a:extLst>
            <a:ext uri="{FF2B5EF4-FFF2-40B4-BE49-F238E27FC236}">
              <a16:creationId xmlns:a16="http://schemas.microsoft.com/office/drawing/2014/main" id="{ADDE8DF6-0111-4F85-A950-364EEF700AB4}"/>
            </a:ext>
          </a:extLst>
        </xdr:cNvPr>
        <xdr:cNvSpPr txBox="1"/>
      </xdr:nvSpPr>
      <xdr:spPr>
        <a:xfrm>
          <a:off x="381000"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83</xdr:row>
      <xdr:rowOff>0</xdr:rowOff>
    </xdr:from>
    <xdr:ext cx="184731" cy="264560"/>
    <xdr:sp macro="" textlink="">
      <xdr:nvSpPr>
        <xdr:cNvPr id="42" name="TextBox 41">
          <a:extLst>
            <a:ext uri="{FF2B5EF4-FFF2-40B4-BE49-F238E27FC236}">
              <a16:creationId xmlns:a16="http://schemas.microsoft.com/office/drawing/2014/main" id="{13F2729A-97A9-4BB9-A1EE-EB7A7BFDCC82}"/>
            </a:ext>
          </a:extLst>
        </xdr:cNvPr>
        <xdr:cNvSpPr txBox="1"/>
      </xdr:nvSpPr>
      <xdr:spPr>
        <a:xfrm>
          <a:off x="2840355"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83</xdr:row>
      <xdr:rowOff>0</xdr:rowOff>
    </xdr:from>
    <xdr:ext cx="184731" cy="264560"/>
    <xdr:sp macro="" textlink="">
      <xdr:nvSpPr>
        <xdr:cNvPr id="43" name="TextBox 42">
          <a:extLst>
            <a:ext uri="{FF2B5EF4-FFF2-40B4-BE49-F238E27FC236}">
              <a16:creationId xmlns:a16="http://schemas.microsoft.com/office/drawing/2014/main" id="{BFC912FC-1744-49E8-A7A5-3FBB8CB96715}"/>
            </a:ext>
          </a:extLst>
        </xdr:cNvPr>
        <xdr:cNvSpPr txBox="1"/>
      </xdr:nvSpPr>
      <xdr:spPr>
        <a:xfrm>
          <a:off x="4032885"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83</xdr:row>
      <xdr:rowOff>0</xdr:rowOff>
    </xdr:from>
    <xdr:ext cx="184731" cy="264560"/>
    <xdr:sp macro="" textlink="">
      <xdr:nvSpPr>
        <xdr:cNvPr id="44" name="TextBox 43">
          <a:extLst>
            <a:ext uri="{FF2B5EF4-FFF2-40B4-BE49-F238E27FC236}">
              <a16:creationId xmlns:a16="http://schemas.microsoft.com/office/drawing/2014/main" id="{736ACCD2-FEA1-40E5-8531-F6CBEF726608}"/>
            </a:ext>
          </a:extLst>
        </xdr:cNvPr>
        <xdr:cNvSpPr txBox="1"/>
      </xdr:nvSpPr>
      <xdr:spPr>
        <a:xfrm>
          <a:off x="5223510"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84</xdr:row>
      <xdr:rowOff>0</xdr:rowOff>
    </xdr:from>
    <xdr:ext cx="184731" cy="264560"/>
    <xdr:sp macro="" textlink="">
      <xdr:nvSpPr>
        <xdr:cNvPr id="45" name="TextBox 44">
          <a:extLst>
            <a:ext uri="{FF2B5EF4-FFF2-40B4-BE49-F238E27FC236}">
              <a16:creationId xmlns:a16="http://schemas.microsoft.com/office/drawing/2014/main" id="{5A1AE1F7-3E05-4335-B8B3-21BE15482504}"/>
            </a:ext>
          </a:extLst>
        </xdr:cNvPr>
        <xdr:cNvSpPr txBox="1"/>
      </xdr:nvSpPr>
      <xdr:spPr>
        <a:xfrm>
          <a:off x="381000"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84</xdr:row>
      <xdr:rowOff>0</xdr:rowOff>
    </xdr:from>
    <xdr:ext cx="184731" cy="264560"/>
    <xdr:sp macro="" textlink="">
      <xdr:nvSpPr>
        <xdr:cNvPr id="46" name="TextBox 45">
          <a:extLst>
            <a:ext uri="{FF2B5EF4-FFF2-40B4-BE49-F238E27FC236}">
              <a16:creationId xmlns:a16="http://schemas.microsoft.com/office/drawing/2014/main" id="{39181C66-A961-487A-BF72-57BCA944E0B7}"/>
            </a:ext>
          </a:extLst>
        </xdr:cNvPr>
        <xdr:cNvSpPr txBox="1"/>
      </xdr:nvSpPr>
      <xdr:spPr>
        <a:xfrm>
          <a:off x="2840355"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84</xdr:row>
      <xdr:rowOff>0</xdr:rowOff>
    </xdr:from>
    <xdr:ext cx="184731" cy="264560"/>
    <xdr:sp macro="" textlink="">
      <xdr:nvSpPr>
        <xdr:cNvPr id="47" name="TextBox 46">
          <a:extLst>
            <a:ext uri="{FF2B5EF4-FFF2-40B4-BE49-F238E27FC236}">
              <a16:creationId xmlns:a16="http://schemas.microsoft.com/office/drawing/2014/main" id="{A5CE1543-AFCC-43EA-BB7E-651CD898C460}"/>
            </a:ext>
          </a:extLst>
        </xdr:cNvPr>
        <xdr:cNvSpPr txBox="1"/>
      </xdr:nvSpPr>
      <xdr:spPr>
        <a:xfrm>
          <a:off x="4032885"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84</xdr:row>
      <xdr:rowOff>0</xdr:rowOff>
    </xdr:from>
    <xdr:ext cx="184731" cy="264560"/>
    <xdr:sp macro="" textlink="">
      <xdr:nvSpPr>
        <xdr:cNvPr id="48" name="TextBox 47">
          <a:extLst>
            <a:ext uri="{FF2B5EF4-FFF2-40B4-BE49-F238E27FC236}">
              <a16:creationId xmlns:a16="http://schemas.microsoft.com/office/drawing/2014/main" id="{26BF897F-E510-4898-B971-583B40EABE73}"/>
            </a:ext>
          </a:extLst>
        </xdr:cNvPr>
        <xdr:cNvSpPr txBox="1"/>
      </xdr:nvSpPr>
      <xdr:spPr>
        <a:xfrm>
          <a:off x="5223510"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85</xdr:row>
      <xdr:rowOff>0</xdr:rowOff>
    </xdr:from>
    <xdr:ext cx="184731" cy="264560"/>
    <xdr:sp macro="" textlink="">
      <xdr:nvSpPr>
        <xdr:cNvPr id="49" name="TextBox 48">
          <a:extLst>
            <a:ext uri="{FF2B5EF4-FFF2-40B4-BE49-F238E27FC236}">
              <a16:creationId xmlns:a16="http://schemas.microsoft.com/office/drawing/2014/main" id="{E7BEB3E6-9555-4BBC-8250-839815162096}"/>
            </a:ext>
          </a:extLst>
        </xdr:cNvPr>
        <xdr:cNvSpPr txBox="1"/>
      </xdr:nvSpPr>
      <xdr:spPr>
        <a:xfrm>
          <a:off x="381000"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85</xdr:row>
      <xdr:rowOff>0</xdr:rowOff>
    </xdr:from>
    <xdr:ext cx="184731" cy="264560"/>
    <xdr:sp macro="" textlink="">
      <xdr:nvSpPr>
        <xdr:cNvPr id="50" name="TextBox 49">
          <a:extLst>
            <a:ext uri="{FF2B5EF4-FFF2-40B4-BE49-F238E27FC236}">
              <a16:creationId xmlns:a16="http://schemas.microsoft.com/office/drawing/2014/main" id="{125F975F-09DB-48E9-9A29-A39D210A7124}"/>
            </a:ext>
          </a:extLst>
        </xdr:cNvPr>
        <xdr:cNvSpPr txBox="1"/>
      </xdr:nvSpPr>
      <xdr:spPr>
        <a:xfrm>
          <a:off x="2840355"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85</xdr:row>
      <xdr:rowOff>0</xdr:rowOff>
    </xdr:from>
    <xdr:ext cx="184731" cy="264560"/>
    <xdr:sp macro="" textlink="">
      <xdr:nvSpPr>
        <xdr:cNvPr id="51" name="TextBox 50">
          <a:extLst>
            <a:ext uri="{FF2B5EF4-FFF2-40B4-BE49-F238E27FC236}">
              <a16:creationId xmlns:a16="http://schemas.microsoft.com/office/drawing/2014/main" id="{AE1F295A-6B4B-42A5-B05A-AB1A0D8371C4}"/>
            </a:ext>
          </a:extLst>
        </xdr:cNvPr>
        <xdr:cNvSpPr txBox="1"/>
      </xdr:nvSpPr>
      <xdr:spPr>
        <a:xfrm>
          <a:off x="4032885"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85</xdr:row>
      <xdr:rowOff>0</xdr:rowOff>
    </xdr:from>
    <xdr:ext cx="184731" cy="264560"/>
    <xdr:sp macro="" textlink="">
      <xdr:nvSpPr>
        <xdr:cNvPr id="52" name="TextBox 51">
          <a:extLst>
            <a:ext uri="{FF2B5EF4-FFF2-40B4-BE49-F238E27FC236}">
              <a16:creationId xmlns:a16="http://schemas.microsoft.com/office/drawing/2014/main" id="{5E6BC45D-6415-4862-9C20-A42AA626DA8A}"/>
            </a:ext>
          </a:extLst>
        </xdr:cNvPr>
        <xdr:cNvSpPr txBox="1"/>
      </xdr:nvSpPr>
      <xdr:spPr>
        <a:xfrm>
          <a:off x="5223510"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53" name="TextBox 52">
          <a:extLst>
            <a:ext uri="{FF2B5EF4-FFF2-40B4-BE49-F238E27FC236}">
              <a16:creationId xmlns:a16="http://schemas.microsoft.com/office/drawing/2014/main" id="{C917946F-F78D-402C-BD6B-B790B83639EB}"/>
            </a:ext>
          </a:extLst>
        </xdr:cNvPr>
        <xdr:cNvSpPr txBox="1"/>
      </xdr:nvSpPr>
      <xdr:spPr>
        <a:xfrm>
          <a:off x="39109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77</xdr:row>
      <xdr:rowOff>0</xdr:rowOff>
    </xdr:from>
    <xdr:ext cx="192763" cy="264560"/>
    <xdr:sp macro="" textlink="">
      <xdr:nvSpPr>
        <xdr:cNvPr id="54" name="TextBox 53">
          <a:extLst>
            <a:ext uri="{FF2B5EF4-FFF2-40B4-BE49-F238E27FC236}">
              <a16:creationId xmlns:a16="http://schemas.microsoft.com/office/drawing/2014/main" id="{890BDFDE-D6FE-43D6-A3E5-74F76A56A564}"/>
            </a:ext>
          </a:extLst>
        </xdr:cNvPr>
        <xdr:cNvSpPr txBox="1"/>
      </xdr:nvSpPr>
      <xdr:spPr>
        <a:xfrm>
          <a:off x="3910965" y="681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78</xdr:row>
      <xdr:rowOff>0</xdr:rowOff>
    </xdr:from>
    <xdr:ext cx="192763" cy="303466"/>
    <xdr:sp macro="" textlink="">
      <xdr:nvSpPr>
        <xdr:cNvPr id="55" name="TextBox 54">
          <a:extLst>
            <a:ext uri="{FF2B5EF4-FFF2-40B4-BE49-F238E27FC236}">
              <a16:creationId xmlns:a16="http://schemas.microsoft.com/office/drawing/2014/main" id="{B51D6E42-6610-4643-9066-8D10C028E5F4}"/>
            </a:ext>
          </a:extLst>
        </xdr:cNvPr>
        <xdr:cNvSpPr txBox="1"/>
      </xdr:nvSpPr>
      <xdr:spPr>
        <a:xfrm>
          <a:off x="3910965" y="69723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56" name="TextBox 55">
          <a:extLst>
            <a:ext uri="{FF2B5EF4-FFF2-40B4-BE49-F238E27FC236}">
              <a16:creationId xmlns:a16="http://schemas.microsoft.com/office/drawing/2014/main" id="{87211559-BD74-48D5-8F4C-A7AF649C2339}"/>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57" name="TextBox 56">
          <a:extLst>
            <a:ext uri="{FF2B5EF4-FFF2-40B4-BE49-F238E27FC236}">
              <a16:creationId xmlns:a16="http://schemas.microsoft.com/office/drawing/2014/main" id="{D72E794F-7D2D-4137-8D73-4B20A9B34902}"/>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58" name="TextBox 57">
          <a:extLst>
            <a:ext uri="{FF2B5EF4-FFF2-40B4-BE49-F238E27FC236}">
              <a16:creationId xmlns:a16="http://schemas.microsoft.com/office/drawing/2014/main" id="{25F43BA1-4497-4903-A7AD-93FF6363AEB3}"/>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59" name="TextBox 58">
          <a:extLst>
            <a:ext uri="{FF2B5EF4-FFF2-40B4-BE49-F238E27FC236}">
              <a16:creationId xmlns:a16="http://schemas.microsoft.com/office/drawing/2014/main" id="{C1B48C59-17DD-4FB3-871C-0C38DDCD89E5}"/>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60" name="TextBox 59">
          <a:extLst>
            <a:ext uri="{FF2B5EF4-FFF2-40B4-BE49-F238E27FC236}">
              <a16:creationId xmlns:a16="http://schemas.microsoft.com/office/drawing/2014/main" id="{50A2774A-ADA8-4A3C-ACA5-42D74628CA0D}"/>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61" name="TextBox 60">
          <a:extLst>
            <a:ext uri="{FF2B5EF4-FFF2-40B4-BE49-F238E27FC236}">
              <a16:creationId xmlns:a16="http://schemas.microsoft.com/office/drawing/2014/main" id="{BA68B7A0-F652-4168-884E-95B99EA22F8C}"/>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82</xdr:row>
      <xdr:rowOff>0</xdr:rowOff>
    </xdr:from>
    <xdr:ext cx="192763" cy="264560"/>
    <xdr:sp macro="" textlink="">
      <xdr:nvSpPr>
        <xdr:cNvPr id="62" name="TextBox 61">
          <a:extLst>
            <a:ext uri="{FF2B5EF4-FFF2-40B4-BE49-F238E27FC236}">
              <a16:creationId xmlns:a16="http://schemas.microsoft.com/office/drawing/2014/main" id="{CBA3008B-5D9F-4F97-B876-5973A375C793}"/>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82</xdr:row>
      <xdr:rowOff>0</xdr:rowOff>
    </xdr:from>
    <xdr:ext cx="192763" cy="264560"/>
    <xdr:sp macro="" textlink="">
      <xdr:nvSpPr>
        <xdr:cNvPr id="63" name="TextBox 62">
          <a:extLst>
            <a:ext uri="{FF2B5EF4-FFF2-40B4-BE49-F238E27FC236}">
              <a16:creationId xmlns:a16="http://schemas.microsoft.com/office/drawing/2014/main" id="{456CB437-5526-4DCF-9AA1-BF0E505275AB}"/>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83</xdr:row>
      <xdr:rowOff>0</xdr:rowOff>
    </xdr:from>
    <xdr:ext cx="192763" cy="264560"/>
    <xdr:sp macro="" textlink="">
      <xdr:nvSpPr>
        <xdr:cNvPr id="64" name="TextBox 63">
          <a:extLst>
            <a:ext uri="{FF2B5EF4-FFF2-40B4-BE49-F238E27FC236}">
              <a16:creationId xmlns:a16="http://schemas.microsoft.com/office/drawing/2014/main" id="{45864B2F-682A-42F3-9EB7-F34862BE14D8}"/>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83</xdr:row>
      <xdr:rowOff>0</xdr:rowOff>
    </xdr:from>
    <xdr:ext cx="192763" cy="264560"/>
    <xdr:sp macro="" textlink="">
      <xdr:nvSpPr>
        <xdr:cNvPr id="65" name="TextBox 64">
          <a:extLst>
            <a:ext uri="{FF2B5EF4-FFF2-40B4-BE49-F238E27FC236}">
              <a16:creationId xmlns:a16="http://schemas.microsoft.com/office/drawing/2014/main" id="{D327F1BF-2B37-41B9-82A1-11AE0D7BB55A}"/>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66" name="TextBox 65">
          <a:extLst>
            <a:ext uri="{FF2B5EF4-FFF2-40B4-BE49-F238E27FC236}">
              <a16:creationId xmlns:a16="http://schemas.microsoft.com/office/drawing/2014/main" id="{53595A9F-86B2-4981-B2B4-6B5EEFBA6A2B}"/>
            </a:ext>
          </a:extLst>
        </xdr:cNvPr>
        <xdr:cNvSpPr txBox="1"/>
      </xdr:nvSpPr>
      <xdr:spPr>
        <a:xfrm>
          <a:off x="8048625"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67" name="TextBox 66">
          <a:extLst>
            <a:ext uri="{FF2B5EF4-FFF2-40B4-BE49-F238E27FC236}">
              <a16:creationId xmlns:a16="http://schemas.microsoft.com/office/drawing/2014/main" id="{2F4D555B-0D84-44D0-9C36-ED070EA6E86E}"/>
            </a:ext>
          </a:extLst>
        </xdr:cNvPr>
        <xdr:cNvSpPr txBox="1"/>
      </xdr:nvSpPr>
      <xdr:spPr>
        <a:xfrm>
          <a:off x="8048625"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78</xdr:row>
      <xdr:rowOff>0</xdr:rowOff>
    </xdr:from>
    <xdr:ext cx="184731" cy="303466"/>
    <xdr:sp macro="" textlink="">
      <xdr:nvSpPr>
        <xdr:cNvPr id="68" name="TextBox 67">
          <a:extLst>
            <a:ext uri="{FF2B5EF4-FFF2-40B4-BE49-F238E27FC236}">
              <a16:creationId xmlns:a16="http://schemas.microsoft.com/office/drawing/2014/main" id="{34230EE0-EA25-4A5D-A267-AE5BC77EB3E7}"/>
            </a:ext>
          </a:extLst>
        </xdr:cNvPr>
        <xdr:cNvSpPr txBox="1"/>
      </xdr:nvSpPr>
      <xdr:spPr>
        <a:xfrm>
          <a:off x="8048625"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79</xdr:row>
      <xdr:rowOff>0</xdr:rowOff>
    </xdr:from>
    <xdr:ext cx="184731" cy="264560"/>
    <xdr:sp macro="" textlink="">
      <xdr:nvSpPr>
        <xdr:cNvPr id="69" name="TextBox 68">
          <a:extLst>
            <a:ext uri="{FF2B5EF4-FFF2-40B4-BE49-F238E27FC236}">
              <a16:creationId xmlns:a16="http://schemas.microsoft.com/office/drawing/2014/main" id="{E4A55C08-66F1-4EF5-A3F5-8EE52F3D4361}"/>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79</xdr:row>
      <xdr:rowOff>0</xdr:rowOff>
    </xdr:from>
    <xdr:ext cx="184731" cy="264560"/>
    <xdr:sp macro="" textlink="">
      <xdr:nvSpPr>
        <xdr:cNvPr id="70" name="TextBox 69">
          <a:extLst>
            <a:ext uri="{FF2B5EF4-FFF2-40B4-BE49-F238E27FC236}">
              <a16:creationId xmlns:a16="http://schemas.microsoft.com/office/drawing/2014/main" id="{1792CB22-0B33-42D2-BA9E-19592DE8AA5F}"/>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71" name="TextBox 70">
          <a:extLst>
            <a:ext uri="{FF2B5EF4-FFF2-40B4-BE49-F238E27FC236}">
              <a16:creationId xmlns:a16="http://schemas.microsoft.com/office/drawing/2014/main" id="{7D30D314-CB01-47A4-8641-36C2FB0043B8}"/>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72" name="TextBox 71">
          <a:extLst>
            <a:ext uri="{FF2B5EF4-FFF2-40B4-BE49-F238E27FC236}">
              <a16:creationId xmlns:a16="http://schemas.microsoft.com/office/drawing/2014/main" id="{4E344ACD-1C15-4BB5-94BE-93D6353C93AA}"/>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73" name="TextBox 72">
          <a:extLst>
            <a:ext uri="{FF2B5EF4-FFF2-40B4-BE49-F238E27FC236}">
              <a16:creationId xmlns:a16="http://schemas.microsoft.com/office/drawing/2014/main" id="{DAE3D4CB-A832-4BA3-944F-4E83DF2FE329}"/>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74" name="TextBox 73">
          <a:extLst>
            <a:ext uri="{FF2B5EF4-FFF2-40B4-BE49-F238E27FC236}">
              <a16:creationId xmlns:a16="http://schemas.microsoft.com/office/drawing/2014/main" id="{AC66CD61-7665-47A6-9B65-4D04544A6EB0}"/>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75" name="TextBox 74">
          <a:extLst>
            <a:ext uri="{FF2B5EF4-FFF2-40B4-BE49-F238E27FC236}">
              <a16:creationId xmlns:a16="http://schemas.microsoft.com/office/drawing/2014/main" id="{9C0907CB-11AA-43F1-9400-1EA4B4D0BAF8}"/>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76" name="TextBox 75">
          <a:extLst>
            <a:ext uri="{FF2B5EF4-FFF2-40B4-BE49-F238E27FC236}">
              <a16:creationId xmlns:a16="http://schemas.microsoft.com/office/drawing/2014/main" id="{F9C78882-F42E-49D0-98BC-2DDE6363673D}"/>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83</xdr:row>
      <xdr:rowOff>0</xdr:rowOff>
    </xdr:from>
    <xdr:ext cx="184731" cy="264560"/>
    <xdr:sp macro="" textlink="">
      <xdr:nvSpPr>
        <xdr:cNvPr id="77" name="TextBox 76">
          <a:extLst>
            <a:ext uri="{FF2B5EF4-FFF2-40B4-BE49-F238E27FC236}">
              <a16:creationId xmlns:a16="http://schemas.microsoft.com/office/drawing/2014/main" id="{52DDBCFB-AAB7-4025-9B11-095AEE1868CF}"/>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83</xdr:row>
      <xdr:rowOff>0</xdr:rowOff>
    </xdr:from>
    <xdr:ext cx="184731" cy="264560"/>
    <xdr:sp macro="" textlink="">
      <xdr:nvSpPr>
        <xdr:cNvPr id="78" name="TextBox 77">
          <a:extLst>
            <a:ext uri="{FF2B5EF4-FFF2-40B4-BE49-F238E27FC236}">
              <a16:creationId xmlns:a16="http://schemas.microsoft.com/office/drawing/2014/main" id="{CF0107D8-467B-410D-979B-2EF6D01E3577}"/>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79" name="TextBox 78">
          <a:extLst>
            <a:ext uri="{FF2B5EF4-FFF2-40B4-BE49-F238E27FC236}">
              <a16:creationId xmlns:a16="http://schemas.microsoft.com/office/drawing/2014/main" id="{30F0AFA7-6DD5-4D52-9E96-8091D53AAB5A}"/>
            </a:ext>
          </a:extLst>
        </xdr:cNvPr>
        <xdr:cNvSpPr txBox="1"/>
      </xdr:nvSpPr>
      <xdr:spPr>
        <a:xfrm>
          <a:off x="9182100"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80" name="TextBox 79">
          <a:extLst>
            <a:ext uri="{FF2B5EF4-FFF2-40B4-BE49-F238E27FC236}">
              <a16:creationId xmlns:a16="http://schemas.microsoft.com/office/drawing/2014/main" id="{0AF79CEF-581F-4270-BD5B-86ACB49B71F2}"/>
            </a:ext>
          </a:extLst>
        </xdr:cNvPr>
        <xdr:cNvSpPr txBox="1"/>
      </xdr:nvSpPr>
      <xdr:spPr>
        <a:xfrm>
          <a:off x="9182100"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78</xdr:row>
      <xdr:rowOff>0</xdr:rowOff>
    </xdr:from>
    <xdr:ext cx="184731" cy="303466"/>
    <xdr:sp macro="" textlink="">
      <xdr:nvSpPr>
        <xdr:cNvPr id="81" name="TextBox 80">
          <a:extLst>
            <a:ext uri="{FF2B5EF4-FFF2-40B4-BE49-F238E27FC236}">
              <a16:creationId xmlns:a16="http://schemas.microsoft.com/office/drawing/2014/main" id="{F835C253-60B7-44DB-A26F-DE828C9EA906}"/>
            </a:ext>
          </a:extLst>
        </xdr:cNvPr>
        <xdr:cNvSpPr txBox="1"/>
      </xdr:nvSpPr>
      <xdr:spPr>
        <a:xfrm>
          <a:off x="9182100"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82" name="TextBox 81">
          <a:extLst>
            <a:ext uri="{FF2B5EF4-FFF2-40B4-BE49-F238E27FC236}">
              <a16:creationId xmlns:a16="http://schemas.microsoft.com/office/drawing/2014/main" id="{11609A19-1DAF-4F21-A66D-985923E002B8}"/>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83" name="TextBox 82">
          <a:extLst>
            <a:ext uri="{FF2B5EF4-FFF2-40B4-BE49-F238E27FC236}">
              <a16:creationId xmlns:a16="http://schemas.microsoft.com/office/drawing/2014/main" id="{03A41DF2-572A-43B8-9184-2A287B5F6BAE}"/>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84" name="TextBox 83">
          <a:extLst>
            <a:ext uri="{FF2B5EF4-FFF2-40B4-BE49-F238E27FC236}">
              <a16:creationId xmlns:a16="http://schemas.microsoft.com/office/drawing/2014/main" id="{275327EC-30A7-4FB9-9454-A88C7591A55F}"/>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85" name="TextBox 84">
          <a:extLst>
            <a:ext uri="{FF2B5EF4-FFF2-40B4-BE49-F238E27FC236}">
              <a16:creationId xmlns:a16="http://schemas.microsoft.com/office/drawing/2014/main" id="{5239E288-CFDC-42D1-82B5-5270CCEB9073}"/>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86" name="TextBox 85">
          <a:extLst>
            <a:ext uri="{FF2B5EF4-FFF2-40B4-BE49-F238E27FC236}">
              <a16:creationId xmlns:a16="http://schemas.microsoft.com/office/drawing/2014/main" id="{E5FB8CA1-F59C-4CA9-A541-7A26DFB422AC}"/>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87" name="TextBox 86">
          <a:extLst>
            <a:ext uri="{FF2B5EF4-FFF2-40B4-BE49-F238E27FC236}">
              <a16:creationId xmlns:a16="http://schemas.microsoft.com/office/drawing/2014/main" id="{BBB27C17-64DE-4DC2-8905-2013548F1F5B}"/>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88" name="TextBox 87">
          <a:extLst>
            <a:ext uri="{FF2B5EF4-FFF2-40B4-BE49-F238E27FC236}">
              <a16:creationId xmlns:a16="http://schemas.microsoft.com/office/drawing/2014/main" id="{7DCE7BC4-8871-4757-BDBC-207069BFD858}"/>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89" name="TextBox 88">
          <a:extLst>
            <a:ext uri="{FF2B5EF4-FFF2-40B4-BE49-F238E27FC236}">
              <a16:creationId xmlns:a16="http://schemas.microsoft.com/office/drawing/2014/main" id="{21B6D663-4DDD-46B0-BFFA-C0EAAED18116}"/>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83</xdr:row>
      <xdr:rowOff>0</xdr:rowOff>
    </xdr:from>
    <xdr:ext cx="184731" cy="264560"/>
    <xdr:sp macro="" textlink="">
      <xdr:nvSpPr>
        <xdr:cNvPr id="90" name="TextBox 89">
          <a:extLst>
            <a:ext uri="{FF2B5EF4-FFF2-40B4-BE49-F238E27FC236}">
              <a16:creationId xmlns:a16="http://schemas.microsoft.com/office/drawing/2014/main" id="{9882255F-6DE8-4A19-90F7-F80731B3B7AA}"/>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83</xdr:row>
      <xdr:rowOff>0</xdr:rowOff>
    </xdr:from>
    <xdr:ext cx="184731" cy="264560"/>
    <xdr:sp macro="" textlink="">
      <xdr:nvSpPr>
        <xdr:cNvPr id="91" name="TextBox 90">
          <a:extLst>
            <a:ext uri="{FF2B5EF4-FFF2-40B4-BE49-F238E27FC236}">
              <a16:creationId xmlns:a16="http://schemas.microsoft.com/office/drawing/2014/main" id="{8DF2A31E-E281-4B0A-83F2-9B92B29054C4}"/>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76</xdr:row>
      <xdr:rowOff>0</xdr:rowOff>
    </xdr:from>
    <xdr:ext cx="192763" cy="264560"/>
    <xdr:sp macro="" textlink="">
      <xdr:nvSpPr>
        <xdr:cNvPr id="92" name="TextBox 91">
          <a:extLst>
            <a:ext uri="{FF2B5EF4-FFF2-40B4-BE49-F238E27FC236}">
              <a16:creationId xmlns:a16="http://schemas.microsoft.com/office/drawing/2014/main" id="{0C9BF72A-D427-4BA1-BFA4-E8E6DD358C87}"/>
            </a:ext>
          </a:extLst>
        </xdr:cNvPr>
        <xdr:cNvSpPr txBox="1"/>
      </xdr:nvSpPr>
      <xdr:spPr>
        <a:xfrm>
          <a:off x="804481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76</xdr:row>
      <xdr:rowOff>0</xdr:rowOff>
    </xdr:from>
    <xdr:ext cx="192763" cy="264560"/>
    <xdr:sp macro="" textlink="">
      <xdr:nvSpPr>
        <xdr:cNvPr id="93" name="TextBox 92">
          <a:extLst>
            <a:ext uri="{FF2B5EF4-FFF2-40B4-BE49-F238E27FC236}">
              <a16:creationId xmlns:a16="http://schemas.microsoft.com/office/drawing/2014/main" id="{608862AA-79D3-4F5B-BD7F-4AA0F72F2ABD}"/>
            </a:ext>
          </a:extLst>
        </xdr:cNvPr>
        <xdr:cNvSpPr txBox="1"/>
      </xdr:nvSpPr>
      <xdr:spPr>
        <a:xfrm>
          <a:off x="9178290"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76</xdr:row>
      <xdr:rowOff>0</xdr:rowOff>
    </xdr:from>
    <xdr:ext cx="192763" cy="264560"/>
    <xdr:sp macro="" textlink="">
      <xdr:nvSpPr>
        <xdr:cNvPr id="94" name="TextBox 93">
          <a:extLst>
            <a:ext uri="{FF2B5EF4-FFF2-40B4-BE49-F238E27FC236}">
              <a16:creationId xmlns:a16="http://schemas.microsoft.com/office/drawing/2014/main" id="{15599821-75FA-4E78-A66C-929E8469856A}"/>
            </a:ext>
          </a:extLst>
        </xdr:cNvPr>
        <xdr:cNvSpPr txBox="1"/>
      </xdr:nvSpPr>
      <xdr:spPr>
        <a:xfrm>
          <a:off x="103117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77</xdr:row>
      <xdr:rowOff>0</xdr:rowOff>
    </xdr:from>
    <xdr:ext cx="183125" cy="264560"/>
    <xdr:sp macro="" textlink="">
      <xdr:nvSpPr>
        <xdr:cNvPr id="95" name="TextBox 94">
          <a:extLst>
            <a:ext uri="{FF2B5EF4-FFF2-40B4-BE49-F238E27FC236}">
              <a16:creationId xmlns:a16="http://schemas.microsoft.com/office/drawing/2014/main" id="{85F95BDC-8186-4F41-ABC5-88A72C6E7069}"/>
            </a:ext>
          </a:extLst>
        </xdr:cNvPr>
        <xdr:cNvSpPr txBox="1"/>
      </xdr:nvSpPr>
      <xdr:spPr>
        <a:xfrm>
          <a:off x="3920490" y="681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77</xdr:row>
      <xdr:rowOff>0</xdr:rowOff>
    </xdr:from>
    <xdr:ext cx="184731" cy="271710"/>
    <xdr:sp macro="" textlink="">
      <xdr:nvSpPr>
        <xdr:cNvPr id="96" name="TextBox 95">
          <a:extLst>
            <a:ext uri="{FF2B5EF4-FFF2-40B4-BE49-F238E27FC236}">
              <a16:creationId xmlns:a16="http://schemas.microsoft.com/office/drawing/2014/main" id="{E94C7645-14AC-44C7-AC6B-902234314B8C}"/>
            </a:ext>
          </a:extLst>
        </xdr:cNvPr>
        <xdr:cNvSpPr txBox="1"/>
      </xdr:nvSpPr>
      <xdr:spPr>
        <a:xfrm>
          <a:off x="1102995" y="681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3143250</xdr:colOff>
      <xdr:row>91</xdr:row>
      <xdr:rowOff>95250</xdr:rowOff>
    </xdr:from>
    <xdr:ext cx="184731" cy="264560"/>
    <xdr:sp macro="" textlink="">
      <xdr:nvSpPr>
        <xdr:cNvPr id="2" name="TextBox 1">
          <a:extLst>
            <a:ext uri="{FF2B5EF4-FFF2-40B4-BE49-F238E27FC236}">
              <a16:creationId xmlns:a16="http://schemas.microsoft.com/office/drawing/2014/main" id="{BC73EA80-BFA7-4EEA-A57A-A468F13A7389}"/>
            </a:ext>
          </a:extLst>
        </xdr:cNvPr>
        <xdr:cNvSpPr txBox="1"/>
      </xdr:nvSpPr>
      <xdr:spPr>
        <a:xfrm>
          <a:off x="32385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95250</xdr:rowOff>
    </xdr:from>
    <xdr:ext cx="184731" cy="264560"/>
    <xdr:sp macro="" textlink="">
      <xdr:nvSpPr>
        <xdr:cNvPr id="3" name="TextBox 2">
          <a:extLst>
            <a:ext uri="{FF2B5EF4-FFF2-40B4-BE49-F238E27FC236}">
              <a16:creationId xmlns:a16="http://schemas.microsoft.com/office/drawing/2014/main" id="{E6B7637F-C46B-4C45-A5F7-706F5433AF3B}"/>
            </a:ext>
          </a:extLst>
        </xdr:cNvPr>
        <xdr:cNvSpPr txBox="1"/>
      </xdr:nvSpPr>
      <xdr:spPr>
        <a:xfrm>
          <a:off x="3114675"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91</xdr:row>
      <xdr:rowOff>95250</xdr:rowOff>
    </xdr:from>
    <xdr:ext cx="184731" cy="264560"/>
    <xdr:sp macro="" textlink="">
      <xdr:nvSpPr>
        <xdr:cNvPr id="4" name="TextBox 3">
          <a:extLst>
            <a:ext uri="{FF2B5EF4-FFF2-40B4-BE49-F238E27FC236}">
              <a16:creationId xmlns:a16="http://schemas.microsoft.com/office/drawing/2014/main" id="{D9F31A8C-4D3E-4860-A682-2B03B91B8D6C}"/>
            </a:ext>
          </a:extLst>
        </xdr:cNvPr>
        <xdr:cNvSpPr txBox="1"/>
      </xdr:nvSpPr>
      <xdr:spPr>
        <a:xfrm>
          <a:off x="421767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91</xdr:row>
      <xdr:rowOff>95250</xdr:rowOff>
    </xdr:from>
    <xdr:ext cx="184731" cy="264560"/>
    <xdr:sp macro="" textlink="">
      <xdr:nvSpPr>
        <xdr:cNvPr id="5" name="TextBox 4">
          <a:extLst>
            <a:ext uri="{FF2B5EF4-FFF2-40B4-BE49-F238E27FC236}">
              <a16:creationId xmlns:a16="http://schemas.microsoft.com/office/drawing/2014/main" id="{D7BDA680-56D6-4A90-BD1F-C4EA72E7CAA9}"/>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91</xdr:row>
      <xdr:rowOff>95250</xdr:rowOff>
    </xdr:from>
    <xdr:ext cx="184731" cy="264560"/>
    <xdr:sp macro="" textlink="">
      <xdr:nvSpPr>
        <xdr:cNvPr id="6" name="TextBox 5">
          <a:extLst>
            <a:ext uri="{FF2B5EF4-FFF2-40B4-BE49-F238E27FC236}">
              <a16:creationId xmlns:a16="http://schemas.microsoft.com/office/drawing/2014/main" id="{6857034D-1416-4AE2-A94D-26B18505EF76}"/>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84</xdr:row>
      <xdr:rowOff>0</xdr:rowOff>
    </xdr:from>
    <xdr:ext cx="192763" cy="264560"/>
    <xdr:sp macro="" textlink="">
      <xdr:nvSpPr>
        <xdr:cNvPr id="40" name="TextBox 39">
          <a:extLst>
            <a:ext uri="{FF2B5EF4-FFF2-40B4-BE49-F238E27FC236}">
              <a16:creationId xmlns:a16="http://schemas.microsoft.com/office/drawing/2014/main" id="{7E60CA82-CA3A-4D7D-A9AE-1C4A2E5F8B5D}"/>
            </a:ext>
          </a:extLst>
        </xdr:cNvPr>
        <xdr:cNvSpPr txBox="1"/>
      </xdr:nvSpPr>
      <xdr:spPr>
        <a:xfrm>
          <a:off x="39109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85</xdr:row>
      <xdr:rowOff>0</xdr:rowOff>
    </xdr:from>
    <xdr:ext cx="192763" cy="264560"/>
    <xdr:sp macro="" textlink="">
      <xdr:nvSpPr>
        <xdr:cNvPr id="41" name="TextBox 40">
          <a:extLst>
            <a:ext uri="{FF2B5EF4-FFF2-40B4-BE49-F238E27FC236}">
              <a16:creationId xmlns:a16="http://schemas.microsoft.com/office/drawing/2014/main" id="{9729F43A-C635-49CA-B943-BBFD764BF6A4}"/>
            </a:ext>
          </a:extLst>
        </xdr:cNvPr>
        <xdr:cNvSpPr txBox="1"/>
      </xdr:nvSpPr>
      <xdr:spPr>
        <a:xfrm>
          <a:off x="3910965" y="681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86</xdr:row>
      <xdr:rowOff>0</xdr:rowOff>
    </xdr:from>
    <xdr:ext cx="192763" cy="303466"/>
    <xdr:sp macro="" textlink="">
      <xdr:nvSpPr>
        <xdr:cNvPr id="42" name="TextBox 41">
          <a:extLst>
            <a:ext uri="{FF2B5EF4-FFF2-40B4-BE49-F238E27FC236}">
              <a16:creationId xmlns:a16="http://schemas.microsoft.com/office/drawing/2014/main" id="{F205498C-3919-4E5E-95D8-2CC37C5F9C50}"/>
            </a:ext>
          </a:extLst>
        </xdr:cNvPr>
        <xdr:cNvSpPr txBox="1"/>
      </xdr:nvSpPr>
      <xdr:spPr>
        <a:xfrm>
          <a:off x="3910965" y="69723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87</xdr:row>
      <xdr:rowOff>0</xdr:rowOff>
    </xdr:from>
    <xdr:ext cx="192763" cy="264560"/>
    <xdr:sp macro="" textlink="">
      <xdr:nvSpPr>
        <xdr:cNvPr id="43" name="TextBox 42">
          <a:extLst>
            <a:ext uri="{FF2B5EF4-FFF2-40B4-BE49-F238E27FC236}">
              <a16:creationId xmlns:a16="http://schemas.microsoft.com/office/drawing/2014/main" id="{C2C8729C-3E9B-4918-AB63-9389E2F6F8A7}"/>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87</xdr:row>
      <xdr:rowOff>0</xdr:rowOff>
    </xdr:from>
    <xdr:ext cx="192763" cy="264560"/>
    <xdr:sp macro="" textlink="">
      <xdr:nvSpPr>
        <xdr:cNvPr id="44" name="TextBox 43">
          <a:extLst>
            <a:ext uri="{FF2B5EF4-FFF2-40B4-BE49-F238E27FC236}">
              <a16:creationId xmlns:a16="http://schemas.microsoft.com/office/drawing/2014/main" id="{3F479A8F-C2B3-49DA-820C-6D48D86063D8}"/>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88</xdr:row>
      <xdr:rowOff>0</xdr:rowOff>
    </xdr:from>
    <xdr:ext cx="192763" cy="264560"/>
    <xdr:sp macro="" textlink="">
      <xdr:nvSpPr>
        <xdr:cNvPr id="45" name="TextBox 44">
          <a:extLst>
            <a:ext uri="{FF2B5EF4-FFF2-40B4-BE49-F238E27FC236}">
              <a16:creationId xmlns:a16="http://schemas.microsoft.com/office/drawing/2014/main" id="{6091A299-0DD2-41B8-823D-C4904942E385}"/>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88</xdr:row>
      <xdr:rowOff>0</xdr:rowOff>
    </xdr:from>
    <xdr:ext cx="192763" cy="264560"/>
    <xdr:sp macro="" textlink="">
      <xdr:nvSpPr>
        <xdr:cNvPr id="46" name="TextBox 45">
          <a:extLst>
            <a:ext uri="{FF2B5EF4-FFF2-40B4-BE49-F238E27FC236}">
              <a16:creationId xmlns:a16="http://schemas.microsoft.com/office/drawing/2014/main" id="{0A49A6F4-5A2C-4C00-8F7D-45631B35AEB7}"/>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7" name="TextBox 46">
          <a:extLst>
            <a:ext uri="{FF2B5EF4-FFF2-40B4-BE49-F238E27FC236}">
              <a16:creationId xmlns:a16="http://schemas.microsoft.com/office/drawing/2014/main" id="{535F8EF8-27D6-45C0-AC87-0063E1AC7034}"/>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8" name="TextBox 47">
          <a:extLst>
            <a:ext uri="{FF2B5EF4-FFF2-40B4-BE49-F238E27FC236}">
              <a16:creationId xmlns:a16="http://schemas.microsoft.com/office/drawing/2014/main" id="{74F9A0BD-3B5E-41E4-AC6C-656EE0AB3644}"/>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49" name="TextBox 48">
          <a:extLst>
            <a:ext uri="{FF2B5EF4-FFF2-40B4-BE49-F238E27FC236}">
              <a16:creationId xmlns:a16="http://schemas.microsoft.com/office/drawing/2014/main" id="{8DD63BB0-CDB6-4F40-BAC1-D97E5AE4D379}"/>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50" name="TextBox 49">
          <a:extLst>
            <a:ext uri="{FF2B5EF4-FFF2-40B4-BE49-F238E27FC236}">
              <a16:creationId xmlns:a16="http://schemas.microsoft.com/office/drawing/2014/main" id="{A222D8DD-7FE5-4983-BDA6-F0E0A1AF9AFD}"/>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51" name="TextBox 50">
          <a:extLst>
            <a:ext uri="{FF2B5EF4-FFF2-40B4-BE49-F238E27FC236}">
              <a16:creationId xmlns:a16="http://schemas.microsoft.com/office/drawing/2014/main" id="{CE8D51D5-E85C-42DA-80D2-928A1E71146A}"/>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52" name="TextBox 51">
          <a:extLst>
            <a:ext uri="{FF2B5EF4-FFF2-40B4-BE49-F238E27FC236}">
              <a16:creationId xmlns:a16="http://schemas.microsoft.com/office/drawing/2014/main" id="{9A5A40CE-56CD-4240-A7AA-83B7E74B820E}"/>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84</xdr:row>
      <xdr:rowOff>0</xdr:rowOff>
    </xdr:from>
    <xdr:ext cx="184731" cy="264560"/>
    <xdr:sp macro="" textlink="">
      <xdr:nvSpPr>
        <xdr:cNvPr id="53" name="TextBox 52">
          <a:extLst>
            <a:ext uri="{FF2B5EF4-FFF2-40B4-BE49-F238E27FC236}">
              <a16:creationId xmlns:a16="http://schemas.microsoft.com/office/drawing/2014/main" id="{99BC630A-88E7-4BBD-9897-FC7075DF7B03}"/>
            </a:ext>
          </a:extLst>
        </xdr:cNvPr>
        <xdr:cNvSpPr txBox="1"/>
      </xdr:nvSpPr>
      <xdr:spPr>
        <a:xfrm>
          <a:off x="8048625"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85</xdr:row>
      <xdr:rowOff>0</xdr:rowOff>
    </xdr:from>
    <xdr:ext cx="184731" cy="264560"/>
    <xdr:sp macro="" textlink="">
      <xdr:nvSpPr>
        <xdr:cNvPr id="54" name="TextBox 53">
          <a:extLst>
            <a:ext uri="{FF2B5EF4-FFF2-40B4-BE49-F238E27FC236}">
              <a16:creationId xmlns:a16="http://schemas.microsoft.com/office/drawing/2014/main" id="{AE4B24C9-FCE3-49A3-A780-87BDEE0A3A6D}"/>
            </a:ext>
          </a:extLst>
        </xdr:cNvPr>
        <xdr:cNvSpPr txBox="1"/>
      </xdr:nvSpPr>
      <xdr:spPr>
        <a:xfrm>
          <a:off x="8048625"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86</xdr:row>
      <xdr:rowOff>0</xdr:rowOff>
    </xdr:from>
    <xdr:ext cx="184731" cy="303466"/>
    <xdr:sp macro="" textlink="">
      <xdr:nvSpPr>
        <xdr:cNvPr id="55" name="TextBox 54">
          <a:extLst>
            <a:ext uri="{FF2B5EF4-FFF2-40B4-BE49-F238E27FC236}">
              <a16:creationId xmlns:a16="http://schemas.microsoft.com/office/drawing/2014/main" id="{14E66F0C-EB1A-481A-B93A-FA829F0D1FAC}"/>
            </a:ext>
          </a:extLst>
        </xdr:cNvPr>
        <xdr:cNvSpPr txBox="1"/>
      </xdr:nvSpPr>
      <xdr:spPr>
        <a:xfrm>
          <a:off x="8048625"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87</xdr:row>
      <xdr:rowOff>0</xdr:rowOff>
    </xdr:from>
    <xdr:ext cx="184731" cy="264560"/>
    <xdr:sp macro="" textlink="">
      <xdr:nvSpPr>
        <xdr:cNvPr id="56" name="TextBox 55">
          <a:extLst>
            <a:ext uri="{FF2B5EF4-FFF2-40B4-BE49-F238E27FC236}">
              <a16:creationId xmlns:a16="http://schemas.microsoft.com/office/drawing/2014/main" id="{CA04D0E9-42F8-4BAD-9CD2-3D8E28268C12}"/>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87</xdr:row>
      <xdr:rowOff>0</xdr:rowOff>
    </xdr:from>
    <xdr:ext cx="184731" cy="264560"/>
    <xdr:sp macro="" textlink="">
      <xdr:nvSpPr>
        <xdr:cNvPr id="57" name="TextBox 56">
          <a:extLst>
            <a:ext uri="{FF2B5EF4-FFF2-40B4-BE49-F238E27FC236}">
              <a16:creationId xmlns:a16="http://schemas.microsoft.com/office/drawing/2014/main" id="{057A3DF1-9295-4792-BE5F-55FFE3C606F7}"/>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58" name="TextBox 57">
          <a:extLst>
            <a:ext uri="{FF2B5EF4-FFF2-40B4-BE49-F238E27FC236}">
              <a16:creationId xmlns:a16="http://schemas.microsoft.com/office/drawing/2014/main" id="{FCFC0A8C-73AD-43B6-A835-D77530174BC7}"/>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59" name="TextBox 58">
          <a:extLst>
            <a:ext uri="{FF2B5EF4-FFF2-40B4-BE49-F238E27FC236}">
              <a16:creationId xmlns:a16="http://schemas.microsoft.com/office/drawing/2014/main" id="{8ED64E6E-7912-48EB-BA4A-0E7546D2DEDE}"/>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60" name="TextBox 59">
          <a:extLst>
            <a:ext uri="{FF2B5EF4-FFF2-40B4-BE49-F238E27FC236}">
              <a16:creationId xmlns:a16="http://schemas.microsoft.com/office/drawing/2014/main" id="{E1A7F7DD-9173-4EB8-BC11-E8D19CCEC8B1}"/>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61" name="TextBox 60">
          <a:extLst>
            <a:ext uri="{FF2B5EF4-FFF2-40B4-BE49-F238E27FC236}">
              <a16:creationId xmlns:a16="http://schemas.microsoft.com/office/drawing/2014/main" id="{24F52F94-68D3-4725-B491-6AE0E63E259D}"/>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62" name="TextBox 61">
          <a:extLst>
            <a:ext uri="{FF2B5EF4-FFF2-40B4-BE49-F238E27FC236}">
              <a16:creationId xmlns:a16="http://schemas.microsoft.com/office/drawing/2014/main" id="{A915F600-4E46-4668-AAAF-DC460092779A}"/>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63" name="TextBox 62">
          <a:extLst>
            <a:ext uri="{FF2B5EF4-FFF2-40B4-BE49-F238E27FC236}">
              <a16:creationId xmlns:a16="http://schemas.microsoft.com/office/drawing/2014/main" id="{F10AB8E1-5BC4-4D5A-947A-BD78B5C34F4A}"/>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64" name="TextBox 63">
          <a:extLst>
            <a:ext uri="{FF2B5EF4-FFF2-40B4-BE49-F238E27FC236}">
              <a16:creationId xmlns:a16="http://schemas.microsoft.com/office/drawing/2014/main" id="{B04B84BB-6904-4067-8BAE-20F548A7714A}"/>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65" name="TextBox 64">
          <a:extLst>
            <a:ext uri="{FF2B5EF4-FFF2-40B4-BE49-F238E27FC236}">
              <a16:creationId xmlns:a16="http://schemas.microsoft.com/office/drawing/2014/main" id="{F461A174-E4D7-4235-82C2-3C149F30B409}"/>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84</xdr:row>
      <xdr:rowOff>0</xdr:rowOff>
    </xdr:from>
    <xdr:ext cx="184731" cy="264560"/>
    <xdr:sp macro="" textlink="">
      <xdr:nvSpPr>
        <xdr:cNvPr id="66" name="TextBox 65">
          <a:extLst>
            <a:ext uri="{FF2B5EF4-FFF2-40B4-BE49-F238E27FC236}">
              <a16:creationId xmlns:a16="http://schemas.microsoft.com/office/drawing/2014/main" id="{93165C98-E2A2-47E4-AFBD-28CDA5B51431}"/>
            </a:ext>
          </a:extLst>
        </xdr:cNvPr>
        <xdr:cNvSpPr txBox="1"/>
      </xdr:nvSpPr>
      <xdr:spPr>
        <a:xfrm>
          <a:off x="9182100"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85</xdr:row>
      <xdr:rowOff>0</xdr:rowOff>
    </xdr:from>
    <xdr:ext cx="184731" cy="264560"/>
    <xdr:sp macro="" textlink="">
      <xdr:nvSpPr>
        <xdr:cNvPr id="67" name="TextBox 66">
          <a:extLst>
            <a:ext uri="{FF2B5EF4-FFF2-40B4-BE49-F238E27FC236}">
              <a16:creationId xmlns:a16="http://schemas.microsoft.com/office/drawing/2014/main" id="{7624CB57-7FA6-46FF-A569-39F1B07504AB}"/>
            </a:ext>
          </a:extLst>
        </xdr:cNvPr>
        <xdr:cNvSpPr txBox="1"/>
      </xdr:nvSpPr>
      <xdr:spPr>
        <a:xfrm>
          <a:off x="9182100"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86</xdr:row>
      <xdr:rowOff>0</xdr:rowOff>
    </xdr:from>
    <xdr:ext cx="184731" cy="303466"/>
    <xdr:sp macro="" textlink="">
      <xdr:nvSpPr>
        <xdr:cNvPr id="68" name="TextBox 67">
          <a:extLst>
            <a:ext uri="{FF2B5EF4-FFF2-40B4-BE49-F238E27FC236}">
              <a16:creationId xmlns:a16="http://schemas.microsoft.com/office/drawing/2014/main" id="{07EDA449-702C-4AF0-BF4B-2769289CC1B3}"/>
            </a:ext>
          </a:extLst>
        </xdr:cNvPr>
        <xdr:cNvSpPr txBox="1"/>
      </xdr:nvSpPr>
      <xdr:spPr>
        <a:xfrm>
          <a:off x="9182100"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87</xdr:row>
      <xdr:rowOff>0</xdr:rowOff>
    </xdr:from>
    <xdr:ext cx="184731" cy="264560"/>
    <xdr:sp macro="" textlink="">
      <xdr:nvSpPr>
        <xdr:cNvPr id="69" name="TextBox 68">
          <a:extLst>
            <a:ext uri="{FF2B5EF4-FFF2-40B4-BE49-F238E27FC236}">
              <a16:creationId xmlns:a16="http://schemas.microsoft.com/office/drawing/2014/main" id="{449C4959-7B91-4564-A871-82A78D421962}"/>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87</xdr:row>
      <xdr:rowOff>0</xdr:rowOff>
    </xdr:from>
    <xdr:ext cx="184731" cy="264560"/>
    <xdr:sp macro="" textlink="">
      <xdr:nvSpPr>
        <xdr:cNvPr id="70" name="TextBox 69">
          <a:extLst>
            <a:ext uri="{FF2B5EF4-FFF2-40B4-BE49-F238E27FC236}">
              <a16:creationId xmlns:a16="http://schemas.microsoft.com/office/drawing/2014/main" id="{AEE4D46D-7863-49C1-A944-E492AC995C71}"/>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1" name="TextBox 70">
          <a:extLst>
            <a:ext uri="{FF2B5EF4-FFF2-40B4-BE49-F238E27FC236}">
              <a16:creationId xmlns:a16="http://schemas.microsoft.com/office/drawing/2014/main" id="{243B822C-81C5-4ADC-9528-59E2D8EABB6B}"/>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2" name="TextBox 71">
          <a:extLst>
            <a:ext uri="{FF2B5EF4-FFF2-40B4-BE49-F238E27FC236}">
              <a16:creationId xmlns:a16="http://schemas.microsoft.com/office/drawing/2014/main" id="{CD80B3F3-4209-40DD-954D-69E2C587C75F}"/>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73" name="TextBox 72">
          <a:extLst>
            <a:ext uri="{FF2B5EF4-FFF2-40B4-BE49-F238E27FC236}">
              <a16:creationId xmlns:a16="http://schemas.microsoft.com/office/drawing/2014/main" id="{8C4BEB29-9BE7-4108-A03E-FC3C100EA91F}"/>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74" name="TextBox 73">
          <a:extLst>
            <a:ext uri="{FF2B5EF4-FFF2-40B4-BE49-F238E27FC236}">
              <a16:creationId xmlns:a16="http://schemas.microsoft.com/office/drawing/2014/main" id="{3C9122A9-E250-4F1C-9EE8-355AC69B004B}"/>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75" name="TextBox 74">
          <a:extLst>
            <a:ext uri="{FF2B5EF4-FFF2-40B4-BE49-F238E27FC236}">
              <a16:creationId xmlns:a16="http://schemas.microsoft.com/office/drawing/2014/main" id="{3C08639B-0EBD-40E2-A7FB-E689D3D618AA}"/>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76" name="TextBox 75">
          <a:extLst>
            <a:ext uri="{FF2B5EF4-FFF2-40B4-BE49-F238E27FC236}">
              <a16:creationId xmlns:a16="http://schemas.microsoft.com/office/drawing/2014/main" id="{748DC45E-4386-4DFD-AAA2-97F1024FF914}"/>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77" name="TextBox 76">
          <a:extLst>
            <a:ext uri="{FF2B5EF4-FFF2-40B4-BE49-F238E27FC236}">
              <a16:creationId xmlns:a16="http://schemas.microsoft.com/office/drawing/2014/main" id="{1E66F5BE-7018-469C-8007-BBAD3B847784}"/>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78" name="TextBox 77">
          <a:extLst>
            <a:ext uri="{FF2B5EF4-FFF2-40B4-BE49-F238E27FC236}">
              <a16:creationId xmlns:a16="http://schemas.microsoft.com/office/drawing/2014/main" id="{E6F0C411-46E1-466A-9D2A-9721F2512A05}"/>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84</xdr:row>
      <xdr:rowOff>0</xdr:rowOff>
    </xdr:from>
    <xdr:ext cx="192763" cy="264560"/>
    <xdr:sp macro="" textlink="">
      <xdr:nvSpPr>
        <xdr:cNvPr id="79" name="TextBox 78">
          <a:extLst>
            <a:ext uri="{FF2B5EF4-FFF2-40B4-BE49-F238E27FC236}">
              <a16:creationId xmlns:a16="http://schemas.microsoft.com/office/drawing/2014/main" id="{1453B579-12DF-4811-BEDD-8D38E1CD7EA7}"/>
            </a:ext>
          </a:extLst>
        </xdr:cNvPr>
        <xdr:cNvSpPr txBox="1"/>
      </xdr:nvSpPr>
      <xdr:spPr>
        <a:xfrm>
          <a:off x="804481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84</xdr:row>
      <xdr:rowOff>0</xdr:rowOff>
    </xdr:from>
    <xdr:ext cx="192763" cy="264560"/>
    <xdr:sp macro="" textlink="">
      <xdr:nvSpPr>
        <xdr:cNvPr id="80" name="TextBox 79">
          <a:extLst>
            <a:ext uri="{FF2B5EF4-FFF2-40B4-BE49-F238E27FC236}">
              <a16:creationId xmlns:a16="http://schemas.microsoft.com/office/drawing/2014/main" id="{C5C402B9-EAD7-4FBE-9A9C-045587FD8A2A}"/>
            </a:ext>
          </a:extLst>
        </xdr:cNvPr>
        <xdr:cNvSpPr txBox="1"/>
      </xdr:nvSpPr>
      <xdr:spPr>
        <a:xfrm>
          <a:off x="9178290"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84</xdr:row>
      <xdr:rowOff>0</xdr:rowOff>
    </xdr:from>
    <xdr:ext cx="192763" cy="264560"/>
    <xdr:sp macro="" textlink="">
      <xdr:nvSpPr>
        <xdr:cNvPr id="81" name="TextBox 80">
          <a:extLst>
            <a:ext uri="{FF2B5EF4-FFF2-40B4-BE49-F238E27FC236}">
              <a16:creationId xmlns:a16="http://schemas.microsoft.com/office/drawing/2014/main" id="{A316570A-1F41-40DB-BC85-61BF7190C594}"/>
            </a:ext>
          </a:extLst>
        </xdr:cNvPr>
        <xdr:cNvSpPr txBox="1"/>
      </xdr:nvSpPr>
      <xdr:spPr>
        <a:xfrm>
          <a:off x="103117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85</xdr:row>
      <xdr:rowOff>0</xdr:rowOff>
    </xdr:from>
    <xdr:ext cx="183125" cy="264560"/>
    <xdr:sp macro="" textlink="">
      <xdr:nvSpPr>
        <xdr:cNvPr id="82" name="TextBox 81">
          <a:extLst>
            <a:ext uri="{FF2B5EF4-FFF2-40B4-BE49-F238E27FC236}">
              <a16:creationId xmlns:a16="http://schemas.microsoft.com/office/drawing/2014/main" id="{04EBDD55-001F-4353-9739-183A100189C9}"/>
            </a:ext>
          </a:extLst>
        </xdr:cNvPr>
        <xdr:cNvSpPr txBox="1"/>
      </xdr:nvSpPr>
      <xdr:spPr>
        <a:xfrm>
          <a:off x="3920490" y="681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85</xdr:row>
      <xdr:rowOff>0</xdr:rowOff>
    </xdr:from>
    <xdr:ext cx="184731" cy="271710"/>
    <xdr:sp macro="" textlink="">
      <xdr:nvSpPr>
        <xdr:cNvPr id="83" name="TextBox 82">
          <a:extLst>
            <a:ext uri="{FF2B5EF4-FFF2-40B4-BE49-F238E27FC236}">
              <a16:creationId xmlns:a16="http://schemas.microsoft.com/office/drawing/2014/main" id="{5D9F1581-1C59-4AA2-9186-226FDC8AF3DA}"/>
            </a:ext>
          </a:extLst>
        </xdr:cNvPr>
        <xdr:cNvSpPr txBox="1"/>
      </xdr:nvSpPr>
      <xdr:spPr>
        <a:xfrm>
          <a:off x="1102995" y="681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xdr:col>
      <xdr:colOff>0</xdr:colOff>
      <xdr:row>39</xdr:row>
      <xdr:rowOff>95250</xdr:rowOff>
    </xdr:from>
    <xdr:ext cx="184731" cy="264560"/>
    <xdr:sp macro="" textlink="">
      <xdr:nvSpPr>
        <xdr:cNvPr id="3" name="TextBox 2">
          <a:extLst>
            <a:ext uri="{FF2B5EF4-FFF2-40B4-BE49-F238E27FC236}">
              <a16:creationId xmlns:a16="http://schemas.microsoft.com/office/drawing/2014/main" id="{0D3D9A59-02FE-40FA-8984-7D0A7D1D210C}"/>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95250</xdr:rowOff>
    </xdr:from>
    <xdr:ext cx="184731" cy="264560"/>
    <xdr:sp macro="" textlink="">
      <xdr:nvSpPr>
        <xdr:cNvPr id="4" name="TextBox 3">
          <a:extLst>
            <a:ext uri="{FF2B5EF4-FFF2-40B4-BE49-F238E27FC236}">
              <a16:creationId xmlns:a16="http://schemas.microsoft.com/office/drawing/2014/main" id="{A4DE5C36-8661-4A97-9F23-A221D5A6F7F8}"/>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1102995</xdr:colOff>
      <xdr:row>39</xdr:row>
      <xdr:rowOff>95250</xdr:rowOff>
    </xdr:from>
    <xdr:ext cx="184731" cy="264560"/>
    <xdr:sp macro="" textlink="">
      <xdr:nvSpPr>
        <xdr:cNvPr id="5" name="TextBox 4">
          <a:extLst>
            <a:ext uri="{FF2B5EF4-FFF2-40B4-BE49-F238E27FC236}">
              <a16:creationId xmlns:a16="http://schemas.microsoft.com/office/drawing/2014/main" id="{7B3E783C-C9B2-4C54-9AB7-2B262DA73B80}"/>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31</xdr:row>
      <xdr:rowOff>0</xdr:rowOff>
    </xdr:from>
    <xdr:ext cx="192763" cy="264560"/>
    <xdr:sp macro="" textlink="">
      <xdr:nvSpPr>
        <xdr:cNvPr id="6" name="TextBox 5">
          <a:extLst>
            <a:ext uri="{FF2B5EF4-FFF2-40B4-BE49-F238E27FC236}">
              <a16:creationId xmlns:a16="http://schemas.microsoft.com/office/drawing/2014/main" id="{6F917BD7-AA84-44B5-8BEE-5432CEB533B6}"/>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33</xdr:row>
      <xdr:rowOff>0</xdr:rowOff>
    </xdr:from>
    <xdr:ext cx="192763" cy="264560"/>
    <xdr:sp macro="" textlink="">
      <xdr:nvSpPr>
        <xdr:cNvPr id="7" name="TextBox 6">
          <a:extLst>
            <a:ext uri="{FF2B5EF4-FFF2-40B4-BE49-F238E27FC236}">
              <a16:creationId xmlns:a16="http://schemas.microsoft.com/office/drawing/2014/main" id="{14DB081F-81FE-4938-895E-6053D0AF5086}"/>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34</xdr:row>
      <xdr:rowOff>0</xdr:rowOff>
    </xdr:from>
    <xdr:ext cx="192763" cy="303466"/>
    <xdr:sp macro="" textlink="">
      <xdr:nvSpPr>
        <xdr:cNvPr id="8" name="TextBox 7">
          <a:extLst>
            <a:ext uri="{FF2B5EF4-FFF2-40B4-BE49-F238E27FC236}">
              <a16:creationId xmlns:a16="http://schemas.microsoft.com/office/drawing/2014/main" id="{5B9512FC-1EBC-4EA4-A0C5-DA96A5784E52}"/>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9" name="TextBox 8">
          <a:extLst>
            <a:ext uri="{FF2B5EF4-FFF2-40B4-BE49-F238E27FC236}">
              <a16:creationId xmlns:a16="http://schemas.microsoft.com/office/drawing/2014/main" id="{85C06884-AD77-4668-9CD0-41D5540C7F8E}"/>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10" name="TextBox 9">
          <a:extLst>
            <a:ext uri="{FF2B5EF4-FFF2-40B4-BE49-F238E27FC236}">
              <a16:creationId xmlns:a16="http://schemas.microsoft.com/office/drawing/2014/main" id="{192DF509-3C2F-4098-89B8-9B80E68CE63F}"/>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264560"/>
    <xdr:sp macro="" textlink="">
      <xdr:nvSpPr>
        <xdr:cNvPr id="11" name="TextBox 10">
          <a:extLst>
            <a:ext uri="{FF2B5EF4-FFF2-40B4-BE49-F238E27FC236}">
              <a16:creationId xmlns:a16="http://schemas.microsoft.com/office/drawing/2014/main" id="{6DEF0F98-E5BB-4E09-90BC-F7E38B3EE6BD}"/>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264560"/>
    <xdr:sp macro="" textlink="">
      <xdr:nvSpPr>
        <xdr:cNvPr id="12" name="TextBox 11">
          <a:extLst>
            <a:ext uri="{FF2B5EF4-FFF2-40B4-BE49-F238E27FC236}">
              <a16:creationId xmlns:a16="http://schemas.microsoft.com/office/drawing/2014/main" id="{A5A4D71B-4478-4A04-B841-C2194CB0A434}"/>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13" name="TextBox 12">
          <a:extLst>
            <a:ext uri="{FF2B5EF4-FFF2-40B4-BE49-F238E27FC236}">
              <a16:creationId xmlns:a16="http://schemas.microsoft.com/office/drawing/2014/main" id="{D1C71F0A-EE20-40FE-BA60-57DAD28E6F0C}"/>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14" name="TextBox 13">
          <a:extLst>
            <a:ext uri="{FF2B5EF4-FFF2-40B4-BE49-F238E27FC236}">
              <a16:creationId xmlns:a16="http://schemas.microsoft.com/office/drawing/2014/main" id="{4E2DB71F-0C2A-4610-AA0D-83F7CC9EE3F6}"/>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15" name="TextBox 14">
          <a:extLst>
            <a:ext uri="{FF2B5EF4-FFF2-40B4-BE49-F238E27FC236}">
              <a16:creationId xmlns:a16="http://schemas.microsoft.com/office/drawing/2014/main" id="{C6CB9B8C-745E-47CE-98C5-C10DA342765E}"/>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16" name="TextBox 15">
          <a:extLst>
            <a:ext uri="{FF2B5EF4-FFF2-40B4-BE49-F238E27FC236}">
              <a16:creationId xmlns:a16="http://schemas.microsoft.com/office/drawing/2014/main" id="{E4998BD3-FEE6-4269-A002-2AD18822DFE3}"/>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7" name="TextBox 16">
          <a:extLst>
            <a:ext uri="{FF2B5EF4-FFF2-40B4-BE49-F238E27FC236}">
              <a16:creationId xmlns:a16="http://schemas.microsoft.com/office/drawing/2014/main" id="{D9D10589-4A9D-4159-9F0F-341204291DF4}"/>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8" name="TextBox 17">
          <a:extLst>
            <a:ext uri="{FF2B5EF4-FFF2-40B4-BE49-F238E27FC236}">
              <a16:creationId xmlns:a16="http://schemas.microsoft.com/office/drawing/2014/main" id="{FF3CBA1B-9720-4E59-9DCD-5DE5664506C0}"/>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19" name="TextBox 18">
          <a:extLst>
            <a:ext uri="{FF2B5EF4-FFF2-40B4-BE49-F238E27FC236}">
              <a16:creationId xmlns:a16="http://schemas.microsoft.com/office/drawing/2014/main" id="{5F24E547-849B-485A-A14C-647BAED0B86C}"/>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33</xdr:row>
      <xdr:rowOff>0</xdr:rowOff>
    </xdr:from>
    <xdr:ext cx="184731" cy="264560"/>
    <xdr:sp macro="" textlink="">
      <xdr:nvSpPr>
        <xdr:cNvPr id="20" name="TextBox 19">
          <a:extLst>
            <a:ext uri="{FF2B5EF4-FFF2-40B4-BE49-F238E27FC236}">
              <a16:creationId xmlns:a16="http://schemas.microsoft.com/office/drawing/2014/main" id="{C6C3DADD-5CAA-4EEC-A96C-4253804CD28F}"/>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34</xdr:row>
      <xdr:rowOff>0</xdr:rowOff>
    </xdr:from>
    <xdr:ext cx="184731" cy="303466"/>
    <xdr:sp macro="" textlink="">
      <xdr:nvSpPr>
        <xdr:cNvPr id="21" name="TextBox 20">
          <a:extLst>
            <a:ext uri="{FF2B5EF4-FFF2-40B4-BE49-F238E27FC236}">
              <a16:creationId xmlns:a16="http://schemas.microsoft.com/office/drawing/2014/main" id="{A3B27E90-6367-4CDB-807D-630C18B6DCC8}"/>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22" name="TextBox 21">
          <a:extLst>
            <a:ext uri="{FF2B5EF4-FFF2-40B4-BE49-F238E27FC236}">
              <a16:creationId xmlns:a16="http://schemas.microsoft.com/office/drawing/2014/main" id="{C9375166-B3E5-4024-ABAD-B08F77000FAD}"/>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23" name="TextBox 22">
          <a:extLst>
            <a:ext uri="{FF2B5EF4-FFF2-40B4-BE49-F238E27FC236}">
              <a16:creationId xmlns:a16="http://schemas.microsoft.com/office/drawing/2014/main" id="{C54546A3-56F3-4BE8-ADDC-474A277E11C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36</xdr:row>
      <xdr:rowOff>0</xdr:rowOff>
    </xdr:from>
    <xdr:ext cx="184731" cy="264560"/>
    <xdr:sp macro="" textlink="">
      <xdr:nvSpPr>
        <xdr:cNvPr id="24" name="TextBox 23">
          <a:extLst>
            <a:ext uri="{FF2B5EF4-FFF2-40B4-BE49-F238E27FC236}">
              <a16:creationId xmlns:a16="http://schemas.microsoft.com/office/drawing/2014/main" id="{CC228CA9-4379-4B08-86FE-BE174433A9D8}"/>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36</xdr:row>
      <xdr:rowOff>0</xdr:rowOff>
    </xdr:from>
    <xdr:ext cx="184731" cy="264560"/>
    <xdr:sp macro="" textlink="">
      <xdr:nvSpPr>
        <xdr:cNvPr id="25" name="TextBox 24">
          <a:extLst>
            <a:ext uri="{FF2B5EF4-FFF2-40B4-BE49-F238E27FC236}">
              <a16:creationId xmlns:a16="http://schemas.microsoft.com/office/drawing/2014/main" id="{D01EC63A-1BBA-46A2-A28C-39A5BB55B29D}"/>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6" name="TextBox 25">
          <a:extLst>
            <a:ext uri="{FF2B5EF4-FFF2-40B4-BE49-F238E27FC236}">
              <a16:creationId xmlns:a16="http://schemas.microsoft.com/office/drawing/2014/main" id="{F556376B-D785-4469-AA8C-8A88EC0CCE6D}"/>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7" name="TextBox 26">
          <a:extLst>
            <a:ext uri="{FF2B5EF4-FFF2-40B4-BE49-F238E27FC236}">
              <a16:creationId xmlns:a16="http://schemas.microsoft.com/office/drawing/2014/main" id="{1403597E-7DAD-4322-B992-D0540C1E178C}"/>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8" name="TextBox 27">
          <a:extLst>
            <a:ext uri="{FF2B5EF4-FFF2-40B4-BE49-F238E27FC236}">
              <a16:creationId xmlns:a16="http://schemas.microsoft.com/office/drawing/2014/main" id="{A57B062A-0BB7-444E-B7B0-1BE8068E241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9" name="TextBox 28">
          <a:extLst>
            <a:ext uri="{FF2B5EF4-FFF2-40B4-BE49-F238E27FC236}">
              <a16:creationId xmlns:a16="http://schemas.microsoft.com/office/drawing/2014/main" id="{C7F54F2C-E34E-4F50-B9AF-7213FD4018A8}"/>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0" name="TextBox 29">
          <a:extLst>
            <a:ext uri="{FF2B5EF4-FFF2-40B4-BE49-F238E27FC236}">
              <a16:creationId xmlns:a16="http://schemas.microsoft.com/office/drawing/2014/main" id="{145490AD-94B7-40AB-932E-7B869C204BD1}"/>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1" name="TextBox 30">
          <a:extLst>
            <a:ext uri="{FF2B5EF4-FFF2-40B4-BE49-F238E27FC236}">
              <a16:creationId xmlns:a16="http://schemas.microsoft.com/office/drawing/2014/main" id="{BB9B44D6-F7B9-4A94-A1D6-6222EB891751}"/>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31</xdr:row>
      <xdr:rowOff>0</xdr:rowOff>
    </xdr:from>
    <xdr:ext cx="184731" cy="264560"/>
    <xdr:sp macro="" textlink="">
      <xdr:nvSpPr>
        <xdr:cNvPr id="32" name="TextBox 31">
          <a:extLst>
            <a:ext uri="{FF2B5EF4-FFF2-40B4-BE49-F238E27FC236}">
              <a16:creationId xmlns:a16="http://schemas.microsoft.com/office/drawing/2014/main" id="{F9FA5C77-B68C-440A-937D-CFEC1F3E062B}"/>
            </a:ext>
          </a:extLst>
        </xdr:cNvPr>
        <xdr:cNvSpPr txBox="1"/>
      </xdr:nvSpPr>
      <xdr:spPr>
        <a:xfrm>
          <a:off x="4876800"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33</xdr:row>
      <xdr:rowOff>0</xdr:rowOff>
    </xdr:from>
    <xdr:ext cx="184731" cy="264560"/>
    <xdr:sp macro="" textlink="">
      <xdr:nvSpPr>
        <xdr:cNvPr id="33" name="TextBox 32">
          <a:extLst>
            <a:ext uri="{FF2B5EF4-FFF2-40B4-BE49-F238E27FC236}">
              <a16:creationId xmlns:a16="http://schemas.microsoft.com/office/drawing/2014/main" id="{EA786137-9629-4983-94DA-9CD634281F38}"/>
            </a:ext>
          </a:extLst>
        </xdr:cNvPr>
        <xdr:cNvSpPr txBox="1"/>
      </xdr:nvSpPr>
      <xdr:spPr>
        <a:xfrm>
          <a:off x="4876800"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34</xdr:row>
      <xdr:rowOff>0</xdr:rowOff>
    </xdr:from>
    <xdr:ext cx="184731" cy="303466"/>
    <xdr:sp macro="" textlink="">
      <xdr:nvSpPr>
        <xdr:cNvPr id="34" name="TextBox 33">
          <a:extLst>
            <a:ext uri="{FF2B5EF4-FFF2-40B4-BE49-F238E27FC236}">
              <a16:creationId xmlns:a16="http://schemas.microsoft.com/office/drawing/2014/main" id="{F4AC54C4-C11B-42AC-9EC9-96F467E818B1}"/>
            </a:ext>
          </a:extLst>
        </xdr:cNvPr>
        <xdr:cNvSpPr txBox="1"/>
      </xdr:nvSpPr>
      <xdr:spPr>
        <a:xfrm>
          <a:off x="4876800"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xdr:row>
      <xdr:rowOff>0</xdr:rowOff>
    </xdr:from>
    <xdr:ext cx="184731" cy="264560"/>
    <xdr:sp macro="" textlink="">
      <xdr:nvSpPr>
        <xdr:cNvPr id="35" name="TextBox 34">
          <a:extLst>
            <a:ext uri="{FF2B5EF4-FFF2-40B4-BE49-F238E27FC236}">
              <a16:creationId xmlns:a16="http://schemas.microsoft.com/office/drawing/2014/main" id="{7033F852-9D25-4EB4-9ACE-897859EAF665}"/>
            </a:ext>
          </a:extLst>
        </xdr:cNvPr>
        <xdr:cNvSpPr txBox="1"/>
      </xdr:nvSpPr>
      <xdr:spPr>
        <a:xfrm>
          <a:off x="4876800"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xdr:row>
      <xdr:rowOff>0</xdr:rowOff>
    </xdr:from>
    <xdr:ext cx="184731" cy="264560"/>
    <xdr:sp macro="" textlink="">
      <xdr:nvSpPr>
        <xdr:cNvPr id="36" name="TextBox 35">
          <a:extLst>
            <a:ext uri="{FF2B5EF4-FFF2-40B4-BE49-F238E27FC236}">
              <a16:creationId xmlns:a16="http://schemas.microsoft.com/office/drawing/2014/main" id="{7E47DA2C-8891-41DD-B640-2F602718DB75}"/>
            </a:ext>
          </a:extLst>
        </xdr:cNvPr>
        <xdr:cNvSpPr txBox="1"/>
      </xdr:nvSpPr>
      <xdr:spPr>
        <a:xfrm>
          <a:off x="4876800"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36</xdr:row>
      <xdr:rowOff>0</xdr:rowOff>
    </xdr:from>
    <xdr:ext cx="184731" cy="264560"/>
    <xdr:sp macro="" textlink="">
      <xdr:nvSpPr>
        <xdr:cNvPr id="37" name="TextBox 36">
          <a:extLst>
            <a:ext uri="{FF2B5EF4-FFF2-40B4-BE49-F238E27FC236}">
              <a16:creationId xmlns:a16="http://schemas.microsoft.com/office/drawing/2014/main" id="{32D69236-50CA-4AE6-86DD-49F69DEA158E}"/>
            </a:ext>
          </a:extLst>
        </xdr:cNvPr>
        <xdr:cNvSpPr txBox="1"/>
      </xdr:nvSpPr>
      <xdr:spPr>
        <a:xfrm>
          <a:off x="4876800"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36</xdr:row>
      <xdr:rowOff>0</xdr:rowOff>
    </xdr:from>
    <xdr:ext cx="184731" cy="264560"/>
    <xdr:sp macro="" textlink="">
      <xdr:nvSpPr>
        <xdr:cNvPr id="38" name="TextBox 37">
          <a:extLst>
            <a:ext uri="{FF2B5EF4-FFF2-40B4-BE49-F238E27FC236}">
              <a16:creationId xmlns:a16="http://schemas.microsoft.com/office/drawing/2014/main" id="{B045F52E-9904-43A7-83AA-C656DD5AEDEE}"/>
            </a:ext>
          </a:extLst>
        </xdr:cNvPr>
        <xdr:cNvSpPr txBox="1"/>
      </xdr:nvSpPr>
      <xdr:spPr>
        <a:xfrm>
          <a:off x="4876800"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37</xdr:row>
      <xdr:rowOff>0</xdr:rowOff>
    </xdr:from>
    <xdr:ext cx="184731" cy="264560"/>
    <xdr:sp macro="" textlink="">
      <xdr:nvSpPr>
        <xdr:cNvPr id="39" name="TextBox 38">
          <a:extLst>
            <a:ext uri="{FF2B5EF4-FFF2-40B4-BE49-F238E27FC236}">
              <a16:creationId xmlns:a16="http://schemas.microsoft.com/office/drawing/2014/main" id="{06249288-6FD3-4E20-A7D0-907993CAA094}"/>
            </a:ext>
          </a:extLst>
        </xdr:cNvPr>
        <xdr:cNvSpPr txBox="1"/>
      </xdr:nvSpPr>
      <xdr:spPr>
        <a:xfrm>
          <a:off x="4876800"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37</xdr:row>
      <xdr:rowOff>0</xdr:rowOff>
    </xdr:from>
    <xdr:ext cx="184731" cy="264560"/>
    <xdr:sp macro="" textlink="">
      <xdr:nvSpPr>
        <xdr:cNvPr id="40" name="TextBox 39">
          <a:extLst>
            <a:ext uri="{FF2B5EF4-FFF2-40B4-BE49-F238E27FC236}">
              <a16:creationId xmlns:a16="http://schemas.microsoft.com/office/drawing/2014/main" id="{AF661F21-8089-4EDE-9D95-A9F2CEC464CF}"/>
            </a:ext>
          </a:extLst>
        </xdr:cNvPr>
        <xdr:cNvSpPr txBox="1"/>
      </xdr:nvSpPr>
      <xdr:spPr>
        <a:xfrm>
          <a:off x="4876800"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38</xdr:row>
      <xdr:rowOff>0</xdr:rowOff>
    </xdr:from>
    <xdr:ext cx="184731" cy="264560"/>
    <xdr:sp macro="" textlink="">
      <xdr:nvSpPr>
        <xdr:cNvPr id="41" name="TextBox 40">
          <a:extLst>
            <a:ext uri="{FF2B5EF4-FFF2-40B4-BE49-F238E27FC236}">
              <a16:creationId xmlns:a16="http://schemas.microsoft.com/office/drawing/2014/main" id="{34A1855E-85C8-4FF8-9670-BCA89F1C64B5}"/>
            </a:ext>
          </a:extLst>
        </xdr:cNvPr>
        <xdr:cNvSpPr txBox="1"/>
      </xdr:nvSpPr>
      <xdr:spPr>
        <a:xfrm>
          <a:off x="4876800"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38</xdr:row>
      <xdr:rowOff>0</xdr:rowOff>
    </xdr:from>
    <xdr:ext cx="184731" cy="264560"/>
    <xdr:sp macro="" textlink="">
      <xdr:nvSpPr>
        <xdr:cNvPr id="42" name="TextBox 41">
          <a:extLst>
            <a:ext uri="{FF2B5EF4-FFF2-40B4-BE49-F238E27FC236}">
              <a16:creationId xmlns:a16="http://schemas.microsoft.com/office/drawing/2014/main" id="{4D3E3B59-316C-4F8A-9A50-5E164533B24C}"/>
            </a:ext>
          </a:extLst>
        </xdr:cNvPr>
        <xdr:cNvSpPr txBox="1"/>
      </xdr:nvSpPr>
      <xdr:spPr>
        <a:xfrm>
          <a:off x="4876800"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43" name="TextBox 42">
          <a:extLst>
            <a:ext uri="{FF2B5EF4-FFF2-40B4-BE49-F238E27FC236}">
              <a16:creationId xmlns:a16="http://schemas.microsoft.com/office/drawing/2014/main" id="{14564A11-A92D-41F6-B893-55691434C25E}"/>
            </a:ext>
          </a:extLst>
        </xdr:cNvPr>
        <xdr:cNvSpPr txBox="1"/>
      </xdr:nvSpPr>
      <xdr:spPr>
        <a:xfrm>
          <a:off x="4876800"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44" name="TextBox 43">
          <a:extLst>
            <a:ext uri="{FF2B5EF4-FFF2-40B4-BE49-F238E27FC236}">
              <a16:creationId xmlns:a16="http://schemas.microsoft.com/office/drawing/2014/main" id="{8490810F-33B0-474D-BFC3-92204EB58826}"/>
            </a:ext>
          </a:extLst>
        </xdr:cNvPr>
        <xdr:cNvSpPr txBox="1"/>
      </xdr:nvSpPr>
      <xdr:spPr>
        <a:xfrm>
          <a:off x="4876800"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92763" cy="264560"/>
    <xdr:sp macro="" textlink="">
      <xdr:nvSpPr>
        <xdr:cNvPr id="45" name="TextBox 44">
          <a:extLst>
            <a:ext uri="{FF2B5EF4-FFF2-40B4-BE49-F238E27FC236}">
              <a16:creationId xmlns:a16="http://schemas.microsoft.com/office/drawing/2014/main" id="{B88D75B2-9439-40BB-A8D1-6A3D73DEC96A}"/>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31</xdr:row>
      <xdr:rowOff>0</xdr:rowOff>
    </xdr:from>
    <xdr:ext cx="192763" cy="264560"/>
    <xdr:sp macro="" textlink="">
      <xdr:nvSpPr>
        <xdr:cNvPr id="46" name="TextBox 45">
          <a:extLst>
            <a:ext uri="{FF2B5EF4-FFF2-40B4-BE49-F238E27FC236}">
              <a16:creationId xmlns:a16="http://schemas.microsoft.com/office/drawing/2014/main" id="{0BC9CD44-2F9C-4F8B-85D9-C55E703DD11C}"/>
            </a:ext>
          </a:extLst>
        </xdr:cNvPr>
        <xdr:cNvSpPr txBox="1"/>
      </xdr:nvSpPr>
      <xdr:spPr>
        <a:xfrm>
          <a:off x="4872990"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3139440</xdr:colOff>
      <xdr:row>31</xdr:row>
      <xdr:rowOff>0</xdr:rowOff>
    </xdr:from>
    <xdr:ext cx="192763" cy="264560"/>
    <xdr:sp macro="" textlink="">
      <xdr:nvSpPr>
        <xdr:cNvPr id="47" name="TextBox 46">
          <a:extLst>
            <a:ext uri="{FF2B5EF4-FFF2-40B4-BE49-F238E27FC236}">
              <a16:creationId xmlns:a16="http://schemas.microsoft.com/office/drawing/2014/main" id="{C5D958BC-2A0C-4084-B7E9-5A2A003BC42D}"/>
            </a:ext>
          </a:extLst>
        </xdr:cNvPr>
        <xdr:cNvSpPr txBox="1"/>
      </xdr:nvSpPr>
      <xdr:spPr>
        <a:xfrm>
          <a:off x="66351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33</xdr:row>
      <xdr:rowOff>0</xdr:rowOff>
    </xdr:from>
    <xdr:ext cx="183125" cy="264560"/>
    <xdr:sp macro="" textlink="">
      <xdr:nvSpPr>
        <xdr:cNvPr id="48" name="TextBox 47">
          <a:extLst>
            <a:ext uri="{FF2B5EF4-FFF2-40B4-BE49-F238E27FC236}">
              <a16:creationId xmlns:a16="http://schemas.microsoft.com/office/drawing/2014/main" id="{5DB6EF75-552B-410F-9EE9-F04E39AD8905}"/>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33</xdr:row>
      <xdr:rowOff>0</xdr:rowOff>
    </xdr:from>
    <xdr:ext cx="184731" cy="271710"/>
    <xdr:sp macro="" textlink="">
      <xdr:nvSpPr>
        <xdr:cNvPr id="49" name="TextBox 48">
          <a:extLst>
            <a:ext uri="{FF2B5EF4-FFF2-40B4-BE49-F238E27FC236}">
              <a16:creationId xmlns:a16="http://schemas.microsoft.com/office/drawing/2014/main" id="{6E936B37-2403-4289-B056-D5E0965051D7}"/>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xdr:col>
      <xdr:colOff>0</xdr:colOff>
      <xdr:row>57</xdr:row>
      <xdr:rowOff>19050</xdr:rowOff>
    </xdr:from>
    <xdr:to>
      <xdr:col>8</xdr:col>
      <xdr:colOff>419100</xdr:colOff>
      <xdr:row>63</xdr:row>
      <xdr:rowOff>28575</xdr:rowOff>
    </xdr:to>
    <xdr:sp macro="" textlink="">
      <xdr:nvSpPr>
        <xdr:cNvPr id="21507" name="Text Box 1070">
          <a:extLst>
            <a:ext uri="{FF2B5EF4-FFF2-40B4-BE49-F238E27FC236}">
              <a16:creationId xmlns:a16="http://schemas.microsoft.com/office/drawing/2014/main" id="{61D2412D-2A51-4ED9-A841-72AE661DC177}"/>
            </a:ext>
          </a:extLst>
        </xdr:cNvPr>
        <xdr:cNvSpPr txBox="1">
          <a:spLocks noChangeArrowheads="1"/>
        </xdr:cNvSpPr>
      </xdr:nvSpPr>
      <xdr:spPr bwMode="auto">
        <a:xfrm>
          <a:off x="914400" y="9982200"/>
          <a:ext cx="74295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ТАЙЛАН ГАРГАСАН: .......................................          ............................................         .............................................</a:t>
          </a:r>
          <a:endParaRPr lang="en-US" sz="1100" b="0" i="0" u="none" strike="noStrike" baseline="0">
            <a:solidFill>
              <a:srgbClr val="000000"/>
            </a:solidFill>
            <a:latin typeface="Calibri"/>
            <a:cs typeface="Calibri"/>
          </a:endParaRPr>
        </a:p>
        <a:p>
          <a:pPr algn="l" rtl="0">
            <a:defRPr sz="1000"/>
          </a:pPr>
          <a:r>
            <a:rPr lang="en-US" sz="1000" b="0" i="0" u="none" strike="noStrike" baseline="0">
              <a:solidFill>
                <a:srgbClr val="000000"/>
              </a:solidFill>
              <a:latin typeface="Times New Roman"/>
              <a:cs typeface="Times New Roman"/>
            </a:rPr>
            <a:t>(албан тушаал)</a:t>
          </a:r>
        </a:p>
      </xdr:txBody>
    </xdr:sp>
    <xdr:clientData/>
  </xdr:twoCellAnchor>
  <xdr:oneCellAnchor>
    <xdr:from>
      <xdr:col>0</xdr:col>
      <xdr:colOff>3143250</xdr:colOff>
      <xdr:row>42</xdr:row>
      <xdr:rowOff>95250</xdr:rowOff>
    </xdr:from>
    <xdr:ext cx="184731" cy="264560"/>
    <xdr:sp macro="" textlink="">
      <xdr:nvSpPr>
        <xdr:cNvPr id="5" name="TextBox 4">
          <a:extLst>
            <a:ext uri="{FF2B5EF4-FFF2-40B4-BE49-F238E27FC236}">
              <a16:creationId xmlns:a16="http://schemas.microsoft.com/office/drawing/2014/main" id="{A0FCB4F1-3BA4-44CE-BDCE-B98299E7309E}"/>
            </a:ext>
          </a:extLst>
        </xdr:cNvPr>
        <xdr:cNvSpPr txBox="1"/>
      </xdr:nvSpPr>
      <xdr:spPr>
        <a:xfrm>
          <a:off x="51435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95250</xdr:rowOff>
    </xdr:from>
    <xdr:ext cx="184731" cy="264560"/>
    <xdr:sp macro="" textlink="">
      <xdr:nvSpPr>
        <xdr:cNvPr id="6" name="TextBox 5">
          <a:extLst>
            <a:ext uri="{FF2B5EF4-FFF2-40B4-BE49-F238E27FC236}">
              <a16:creationId xmlns:a16="http://schemas.microsoft.com/office/drawing/2014/main" id="{3F1A27A7-4411-45F7-985A-FDBF62323D13}"/>
            </a:ext>
          </a:extLst>
        </xdr:cNvPr>
        <xdr:cNvSpPr txBox="1"/>
      </xdr:nvSpPr>
      <xdr:spPr>
        <a:xfrm>
          <a:off x="346710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42</xdr:row>
      <xdr:rowOff>95250</xdr:rowOff>
    </xdr:from>
    <xdr:ext cx="184731" cy="264560"/>
    <xdr:sp macro="" textlink="">
      <xdr:nvSpPr>
        <xdr:cNvPr id="7" name="TextBox 6">
          <a:extLst>
            <a:ext uri="{FF2B5EF4-FFF2-40B4-BE49-F238E27FC236}">
              <a16:creationId xmlns:a16="http://schemas.microsoft.com/office/drawing/2014/main" id="{1182D729-381D-46C4-A876-0D836190A54E}"/>
            </a:ext>
          </a:extLst>
        </xdr:cNvPr>
        <xdr:cNvSpPr txBox="1"/>
      </xdr:nvSpPr>
      <xdr:spPr>
        <a:xfrm>
          <a:off x="433197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35</xdr:row>
      <xdr:rowOff>0</xdr:rowOff>
    </xdr:from>
    <xdr:ext cx="192763" cy="264560"/>
    <xdr:sp macro="" textlink="">
      <xdr:nvSpPr>
        <xdr:cNvPr id="8" name="TextBox 7">
          <a:extLst>
            <a:ext uri="{FF2B5EF4-FFF2-40B4-BE49-F238E27FC236}">
              <a16:creationId xmlns:a16="http://schemas.microsoft.com/office/drawing/2014/main" id="{7C8232C3-F668-49A3-A86F-105587619063}"/>
            </a:ext>
          </a:extLst>
        </xdr:cNvPr>
        <xdr:cNvSpPr txBox="1"/>
      </xdr:nvSpPr>
      <xdr:spPr>
        <a:xfrm>
          <a:off x="112014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92763" cy="264560"/>
    <xdr:sp macro="" textlink="">
      <xdr:nvSpPr>
        <xdr:cNvPr id="9" name="TextBox 8">
          <a:extLst>
            <a:ext uri="{FF2B5EF4-FFF2-40B4-BE49-F238E27FC236}">
              <a16:creationId xmlns:a16="http://schemas.microsoft.com/office/drawing/2014/main" id="{74B752FC-AD28-4005-B415-2FEFCE4586E4}"/>
            </a:ext>
          </a:extLst>
        </xdr:cNvPr>
        <xdr:cNvSpPr txBox="1"/>
      </xdr:nvSpPr>
      <xdr:spPr>
        <a:xfrm>
          <a:off x="1120140" y="542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37</xdr:row>
      <xdr:rowOff>0</xdr:rowOff>
    </xdr:from>
    <xdr:ext cx="192763" cy="303466"/>
    <xdr:sp macro="" textlink="">
      <xdr:nvSpPr>
        <xdr:cNvPr id="10" name="TextBox 9">
          <a:extLst>
            <a:ext uri="{FF2B5EF4-FFF2-40B4-BE49-F238E27FC236}">
              <a16:creationId xmlns:a16="http://schemas.microsoft.com/office/drawing/2014/main" id="{1134781A-BE4C-4F06-AD27-59BBA02D2BF9}"/>
            </a:ext>
          </a:extLst>
        </xdr:cNvPr>
        <xdr:cNvSpPr txBox="1"/>
      </xdr:nvSpPr>
      <xdr:spPr>
        <a:xfrm>
          <a:off x="1120140" y="55911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38</xdr:row>
      <xdr:rowOff>0</xdr:rowOff>
    </xdr:from>
    <xdr:ext cx="192763" cy="264560"/>
    <xdr:sp macro="" textlink="">
      <xdr:nvSpPr>
        <xdr:cNvPr id="11" name="TextBox 10">
          <a:extLst>
            <a:ext uri="{FF2B5EF4-FFF2-40B4-BE49-F238E27FC236}">
              <a16:creationId xmlns:a16="http://schemas.microsoft.com/office/drawing/2014/main" id="{FEAD3C62-1D68-4CDA-86BC-44BC04EA8383}"/>
            </a:ext>
          </a:extLst>
        </xdr:cNvPr>
        <xdr:cNvSpPr txBox="1"/>
      </xdr:nvSpPr>
      <xdr:spPr>
        <a:xfrm>
          <a:off x="1120140" y="5753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38</xdr:row>
      <xdr:rowOff>0</xdr:rowOff>
    </xdr:from>
    <xdr:ext cx="192763" cy="264560"/>
    <xdr:sp macro="" textlink="">
      <xdr:nvSpPr>
        <xdr:cNvPr id="12" name="TextBox 11">
          <a:extLst>
            <a:ext uri="{FF2B5EF4-FFF2-40B4-BE49-F238E27FC236}">
              <a16:creationId xmlns:a16="http://schemas.microsoft.com/office/drawing/2014/main" id="{E485BC87-13EF-486A-9C2F-57CC05523CA8}"/>
            </a:ext>
          </a:extLst>
        </xdr:cNvPr>
        <xdr:cNvSpPr txBox="1"/>
      </xdr:nvSpPr>
      <xdr:spPr>
        <a:xfrm>
          <a:off x="1120140" y="5753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39</xdr:row>
      <xdr:rowOff>0</xdr:rowOff>
    </xdr:from>
    <xdr:ext cx="192763" cy="264560"/>
    <xdr:sp macro="" textlink="">
      <xdr:nvSpPr>
        <xdr:cNvPr id="13" name="TextBox 12">
          <a:extLst>
            <a:ext uri="{FF2B5EF4-FFF2-40B4-BE49-F238E27FC236}">
              <a16:creationId xmlns:a16="http://schemas.microsoft.com/office/drawing/2014/main" id="{F6311A0A-D3A2-4871-B040-B6F884D9839C}"/>
            </a:ext>
          </a:extLst>
        </xdr:cNvPr>
        <xdr:cNvSpPr txBox="1"/>
      </xdr:nvSpPr>
      <xdr:spPr>
        <a:xfrm>
          <a:off x="2596515" y="6238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39</xdr:row>
      <xdr:rowOff>0</xdr:rowOff>
    </xdr:from>
    <xdr:ext cx="192763" cy="264560"/>
    <xdr:sp macro="" textlink="">
      <xdr:nvSpPr>
        <xdr:cNvPr id="14" name="TextBox 13">
          <a:extLst>
            <a:ext uri="{FF2B5EF4-FFF2-40B4-BE49-F238E27FC236}">
              <a16:creationId xmlns:a16="http://schemas.microsoft.com/office/drawing/2014/main" id="{8C71C59D-6252-4952-A44E-FD88C2D2A556}"/>
            </a:ext>
          </a:extLst>
        </xdr:cNvPr>
        <xdr:cNvSpPr txBox="1"/>
      </xdr:nvSpPr>
      <xdr:spPr>
        <a:xfrm>
          <a:off x="2596515" y="6238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40</xdr:row>
      <xdr:rowOff>0</xdr:rowOff>
    </xdr:from>
    <xdr:ext cx="192763" cy="264560"/>
    <xdr:sp macro="" textlink="">
      <xdr:nvSpPr>
        <xdr:cNvPr id="15" name="TextBox 14">
          <a:extLst>
            <a:ext uri="{FF2B5EF4-FFF2-40B4-BE49-F238E27FC236}">
              <a16:creationId xmlns:a16="http://schemas.microsoft.com/office/drawing/2014/main" id="{F285FAC1-0796-4694-8216-5EFCEE642E02}"/>
            </a:ext>
          </a:extLst>
        </xdr:cNvPr>
        <xdr:cNvSpPr txBox="1"/>
      </xdr:nvSpPr>
      <xdr:spPr>
        <a:xfrm>
          <a:off x="2596515" y="640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40</xdr:row>
      <xdr:rowOff>0</xdr:rowOff>
    </xdr:from>
    <xdr:ext cx="192763" cy="264560"/>
    <xdr:sp macro="" textlink="">
      <xdr:nvSpPr>
        <xdr:cNvPr id="16" name="TextBox 15">
          <a:extLst>
            <a:ext uri="{FF2B5EF4-FFF2-40B4-BE49-F238E27FC236}">
              <a16:creationId xmlns:a16="http://schemas.microsoft.com/office/drawing/2014/main" id="{25332122-A092-42AC-938D-1A51BACCFD86}"/>
            </a:ext>
          </a:extLst>
        </xdr:cNvPr>
        <xdr:cNvSpPr txBox="1"/>
      </xdr:nvSpPr>
      <xdr:spPr>
        <a:xfrm>
          <a:off x="2596515" y="640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41</xdr:row>
      <xdr:rowOff>0</xdr:rowOff>
    </xdr:from>
    <xdr:ext cx="192763" cy="264560"/>
    <xdr:sp macro="" textlink="">
      <xdr:nvSpPr>
        <xdr:cNvPr id="17" name="TextBox 16">
          <a:extLst>
            <a:ext uri="{FF2B5EF4-FFF2-40B4-BE49-F238E27FC236}">
              <a16:creationId xmlns:a16="http://schemas.microsoft.com/office/drawing/2014/main" id="{8A72C0E7-9612-4044-BFFA-CF06B8220D1B}"/>
            </a:ext>
          </a:extLst>
        </xdr:cNvPr>
        <xdr:cNvSpPr txBox="1"/>
      </xdr:nvSpPr>
      <xdr:spPr>
        <a:xfrm>
          <a:off x="2596515" y="6562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41</xdr:row>
      <xdr:rowOff>0</xdr:rowOff>
    </xdr:from>
    <xdr:ext cx="192763" cy="264560"/>
    <xdr:sp macro="" textlink="">
      <xdr:nvSpPr>
        <xdr:cNvPr id="18" name="TextBox 17">
          <a:extLst>
            <a:ext uri="{FF2B5EF4-FFF2-40B4-BE49-F238E27FC236}">
              <a16:creationId xmlns:a16="http://schemas.microsoft.com/office/drawing/2014/main" id="{8BD6168B-4624-4A84-BAA9-891E34E81519}"/>
            </a:ext>
          </a:extLst>
        </xdr:cNvPr>
        <xdr:cNvSpPr txBox="1"/>
      </xdr:nvSpPr>
      <xdr:spPr>
        <a:xfrm>
          <a:off x="2596515" y="6562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42</xdr:row>
      <xdr:rowOff>0</xdr:rowOff>
    </xdr:from>
    <xdr:ext cx="192763" cy="264560"/>
    <xdr:sp macro="" textlink="">
      <xdr:nvSpPr>
        <xdr:cNvPr id="19" name="TextBox 18">
          <a:extLst>
            <a:ext uri="{FF2B5EF4-FFF2-40B4-BE49-F238E27FC236}">
              <a16:creationId xmlns:a16="http://schemas.microsoft.com/office/drawing/2014/main" id="{1DC4E089-4393-42E5-B8E0-FAD43E8328C3}"/>
            </a:ext>
          </a:extLst>
        </xdr:cNvPr>
        <xdr:cNvSpPr txBox="1"/>
      </xdr:nvSpPr>
      <xdr:spPr>
        <a:xfrm>
          <a:off x="2596515" y="6724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42</xdr:row>
      <xdr:rowOff>0</xdr:rowOff>
    </xdr:from>
    <xdr:ext cx="192763" cy="264560"/>
    <xdr:sp macro="" textlink="">
      <xdr:nvSpPr>
        <xdr:cNvPr id="20" name="TextBox 19">
          <a:extLst>
            <a:ext uri="{FF2B5EF4-FFF2-40B4-BE49-F238E27FC236}">
              <a16:creationId xmlns:a16="http://schemas.microsoft.com/office/drawing/2014/main" id="{DDD365ED-5002-4FE1-92E4-C0253D154C5D}"/>
            </a:ext>
          </a:extLst>
        </xdr:cNvPr>
        <xdr:cNvSpPr txBox="1"/>
      </xdr:nvSpPr>
      <xdr:spPr>
        <a:xfrm>
          <a:off x="2596515" y="6724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35</xdr:row>
      <xdr:rowOff>0</xdr:rowOff>
    </xdr:from>
    <xdr:ext cx="184731" cy="264560"/>
    <xdr:sp macro="" textlink="">
      <xdr:nvSpPr>
        <xdr:cNvPr id="21" name="TextBox 20">
          <a:extLst>
            <a:ext uri="{FF2B5EF4-FFF2-40B4-BE49-F238E27FC236}">
              <a16:creationId xmlns:a16="http://schemas.microsoft.com/office/drawing/2014/main" id="{257A4D01-9B61-4E8D-B319-5D68F3457E7C}"/>
            </a:ext>
          </a:extLst>
        </xdr:cNvPr>
        <xdr:cNvSpPr txBox="1"/>
      </xdr:nvSpPr>
      <xdr:spPr>
        <a:xfrm>
          <a:off x="173355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36</xdr:row>
      <xdr:rowOff>0</xdr:rowOff>
    </xdr:from>
    <xdr:ext cx="184731" cy="264560"/>
    <xdr:sp macro="" textlink="">
      <xdr:nvSpPr>
        <xdr:cNvPr id="22" name="TextBox 21">
          <a:extLst>
            <a:ext uri="{FF2B5EF4-FFF2-40B4-BE49-F238E27FC236}">
              <a16:creationId xmlns:a16="http://schemas.microsoft.com/office/drawing/2014/main" id="{2954EA84-D034-4995-8558-9F00B1A4AF09}"/>
            </a:ext>
          </a:extLst>
        </xdr:cNvPr>
        <xdr:cNvSpPr txBox="1"/>
      </xdr:nvSpPr>
      <xdr:spPr>
        <a:xfrm>
          <a:off x="1733550"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23" name="TextBox 22">
          <a:extLst>
            <a:ext uri="{FF2B5EF4-FFF2-40B4-BE49-F238E27FC236}">
              <a16:creationId xmlns:a16="http://schemas.microsoft.com/office/drawing/2014/main" id="{2483DBA7-8F4D-4BD5-B867-0891F910960C}"/>
            </a:ext>
          </a:extLst>
        </xdr:cNvPr>
        <xdr:cNvSpPr txBox="1"/>
      </xdr:nvSpPr>
      <xdr:spPr>
        <a:xfrm>
          <a:off x="1733550" y="5591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24" name="TextBox 23">
          <a:extLst>
            <a:ext uri="{FF2B5EF4-FFF2-40B4-BE49-F238E27FC236}">
              <a16:creationId xmlns:a16="http://schemas.microsoft.com/office/drawing/2014/main" id="{07E460D9-A582-4383-8CD2-59BD94822AA3}"/>
            </a:ext>
          </a:extLst>
        </xdr:cNvPr>
        <xdr:cNvSpPr txBox="1"/>
      </xdr:nvSpPr>
      <xdr:spPr>
        <a:xfrm>
          <a:off x="1733550"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25" name="TextBox 24">
          <a:extLst>
            <a:ext uri="{FF2B5EF4-FFF2-40B4-BE49-F238E27FC236}">
              <a16:creationId xmlns:a16="http://schemas.microsoft.com/office/drawing/2014/main" id="{A612BC31-8E0C-4A05-8761-EA66228BCA13}"/>
            </a:ext>
          </a:extLst>
        </xdr:cNvPr>
        <xdr:cNvSpPr txBox="1"/>
      </xdr:nvSpPr>
      <xdr:spPr>
        <a:xfrm>
          <a:off x="1733550"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26" name="TextBox 25">
          <a:extLst>
            <a:ext uri="{FF2B5EF4-FFF2-40B4-BE49-F238E27FC236}">
              <a16:creationId xmlns:a16="http://schemas.microsoft.com/office/drawing/2014/main" id="{4EE5AAAE-5F85-4698-95CE-B46C57D640D8}"/>
            </a:ext>
          </a:extLst>
        </xdr:cNvPr>
        <xdr:cNvSpPr txBox="1"/>
      </xdr:nvSpPr>
      <xdr:spPr>
        <a:xfrm>
          <a:off x="346710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27" name="TextBox 26">
          <a:extLst>
            <a:ext uri="{FF2B5EF4-FFF2-40B4-BE49-F238E27FC236}">
              <a16:creationId xmlns:a16="http://schemas.microsoft.com/office/drawing/2014/main" id="{F1C7D0BE-5CFA-4D54-981E-30BF0D6C9621}"/>
            </a:ext>
          </a:extLst>
        </xdr:cNvPr>
        <xdr:cNvSpPr txBox="1"/>
      </xdr:nvSpPr>
      <xdr:spPr>
        <a:xfrm>
          <a:off x="346710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28" name="TextBox 27">
          <a:extLst>
            <a:ext uri="{FF2B5EF4-FFF2-40B4-BE49-F238E27FC236}">
              <a16:creationId xmlns:a16="http://schemas.microsoft.com/office/drawing/2014/main" id="{AD65CAF8-0864-40DD-8290-9B6F78BB968D}"/>
            </a:ext>
          </a:extLst>
        </xdr:cNvPr>
        <xdr:cNvSpPr txBox="1"/>
      </xdr:nvSpPr>
      <xdr:spPr>
        <a:xfrm>
          <a:off x="34671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29" name="TextBox 28">
          <a:extLst>
            <a:ext uri="{FF2B5EF4-FFF2-40B4-BE49-F238E27FC236}">
              <a16:creationId xmlns:a16="http://schemas.microsoft.com/office/drawing/2014/main" id="{5A5A4D14-2B80-4016-B64E-76B6E7D53B34}"/>
            </a:ext>
          </a:extLst>
        </xdr:cNvPr>
        <xdr:cNvSpPr txBox="1"/>
      </xdr:nvSpPr>
      <xdr:spPr>
        <a:xfrm>
          <a:off x="34671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30" name="TextBox 29">
          <a:extLst>
            <a:ext uri="{FF2B5EF4-FFF2-40B4-BE49-F238E27FC236}">
              <a16:creationId xmlns:a16="http://schemas.microsoft.com/office/drawing/2014/main" id="{FB0308CD-06E4-409A-BED5-0F7914193BA3}"/>
            </a:ext>
          </a:extLst>
        </xdr:cNvPr>
        <xdr:cNvSpPr txBox="1"/>
      </xdr:nvSpPr>
      <xdr:spPr>
        <a:xfrm>
          <a:off x="34671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31" name="TextBox 30">
          <a:extLst>
            <a:ext uri="{FF2B5EF4-FFF2-40B4-BE49-F238E27FC236}">
              <a16:creationId xmlns:a16="http://schemas.microsoft.com/office/drawing/2014/main" id="{F014CB5F-FEFE-41CB-868A-7C494ED478BD}"/>
            </a:ext>
          </a:extLst>
        </xdr:cNvPr>
        <xdr:cNvSpPr txBox="1"/>
      </xdr:nvSpPr>
      <xdr:spPr>
        <a:xfrm>
          <a:off x="34671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32" name="TextBox 31">
          <a:extLst>
            <a:ext uri="{FF2B5EF4-FFF2-40B4-BE49-F238E27FC236}">
              <a16:creationId xmlns:a16="http://schemas.microsoft.com/office/drawing/2014/main" id="{FBB04FDC-FB2C-4760-BC84-2F6CEAA6DCE7}"/>
            </a:ext>
          </a:extLst>
        </xdr:cNvPr>
        <xdr:cNvSpPr txBox="1"/>
      </xdr:nvSpPr>
      <xdr:spPr>
        <a:xfrm>
          <a:off x="3467100"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33" name="TextBox 32">
          <a:extLst>
            <a:ext uri="{FF2B5EF4-FFF2-40B4-BE49-F238E27FC236}">
              <a16:creationId xmlns:a16="http://schemas.microsoft.com/office/drawing/2014/main" id="{CBF57DF3-0313-42E3-A923-87EF2B4A026C}"/>
            </a:ext>
          </a:extLst>
        </xdr:cNvPr>
        <xdr:cNvSpPr txBox="1"/>
      </xdr:nvSpPr>
      <xdr:spPr>
        <a:xfrm>
          <a:off x="3467100"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34" name="TextBox 33">
          <a:extLst>
            <a:ext uri="{FF2B5EF4-FFF2-40B4-BE49-F238E27FC236}">
              <a16:creationId xmlns:a16="http://schemas.microsoft.com/office/drawing/2014/main" id="{EE5D5437-0F8A-4EAF-B298-24D58F4C81CA}"/>
            </a:ext>
          </a:extLst>
        </xdr:cNvPr>
        <xdr:cNvSpPr txBox="1"/>
      </xdr:nvSpPr>
      <xdr:spPr>
        <a:xfrm>
          <a:off x="2600325"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36</xdr:row>
      <xdr:rowOff>0</xdr:rowOff>
    </xdr:from>
    <xdr:ext cx="184731" cy="264560"/>
    <xdr:sp macro="" textlink="">
      <xdr:nvSpPr>
        <xdr:cNvPr id="35" name="TextBox 34">
          <a:extLst>
            <a:ext uri="{FF2B5EF4-FFF2-40B4-BE49-F238E27FC236}">
              <a16:creationId xmlns:a16="http://schemas.microsoft.com/office/drawing/2014/main" id="{170E1794-8522-4D7A-B273-564F9F028177}"/>
            </a:ext>
          </a:extLst>
        </xdr:cNvPr>
        <xdr:cNvSpPr txBox="1"/>
      </xdr:nvSpPr>
      <xdr:spPr>
        <a:xfrm>
          <a:off x="2600325"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36" name="TextBox 35">
          <a:extLst>
            <a:ext uri="{FF2B5EF4-FFF2-40B4-BE49-F238E27FC236}">
              <a16:creationId xmlns:a16="http://schemas.microsoft.com/office/drawing/2014/main" id="{F1E15A28-0547-43D1-953E-D3D1B4EE6B97}"/>
            </a:ext>
          </a:extLst>
        </xdr:cNvPr>
        <xdr:cNvSpPr txBox="1"/>
      </xdr:nvSpPr>
      <xdr:spPr>
        <a:xfrm>
          <a:off x="2600325" y="5591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37" name="TextBox 36">
          <a:extLst>
            <a:ext uri="{FF2B5EF4-FFF2-40B4-BE49-F238E27FC236}">
              <a16:creationId xmlns:a16="http://schemas.microsoft.com/office/drawing/2014/main" id="{8587568F-F39E-4746-BD9D-BA10675443F9}"/>
            </a:ext>
          </a:extLst>
        </xdr:cNvPr>
        <xdr:cNvSpPr txBox="1"/>
      </xdr:nvSpPr>
      <xdr:spPr>
        <a:xfrm>
          <a:off x="260032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38" name="TextBox 37">
          <a:extLst>
            <a:ext uri="{FF2B5EF4-FFF2-40B4-BE49-F238E27FC236}">
              <a16:creationId xmlns:a16="http://schemas.microsoft.com/office/drawing/2014/main" id="{78CD3BF0-4083-4BAE-8DFA-80C99976A156}"/>
            </a:ext>
          </a:extLst>
        </xdr:cNvPr>
        <xdr:cNvSpPr txBox="1"/>
      </xdr:nvSpPr>
      <xdr:spPr>
        <a:xfrm>
          <a:off x="260032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9" name="TextBox 38">
          <a:extLst>
            <a:ext uri="{FF2B5EF4-FFF2-40B4-BE49-F238E27FC236}">
              <a16:creationId xmlns:a16="http://schemas.microsoft.com/office/drawing/2014/main" id="{B4ABF6AD-7618-4100-983E-4CA51EBA20DA}"/>
            </a:ext>
          </a:extLst>
        </xdr:cNvPr>
        <xdr:cNvSpPr txBox="1"/>
      </xdr:nvSpPr>
      <xdr:spPr>
        <a:xfrm>
          <a:off x="4333875"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40" name="TextBox 39">
          <a:extLst>
            <a:ext uri="{FF2B5EF4-FFF2-40B4-BE49-F238E27FC236}">
              <a16:creationId xmlns:a16="http://schemas.microsoft.com/office/drawing/2014/main" id="{0D28091E-9707-43F1-A52B-8C1D1EFD18E4}"/>
            </a:ext>
          </a:extLst>
        </xdr:cNvPr>
        <xdr:cNvSpPr txBox="1"/>
      </xdr:nvSpPr>
      <xdr:spPr>
        <a:xfrm>
          <a:off x="4333875"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41" name="TextBox 40">
          <a:extLst>
            <a:ext uri="{FF2B5EF4-FFF2-40B4-BE49-F238E27FC236}">
              <a16:creationId xmlns:a16="http://schemas.microsoft.com/office/drawing/2014/main" id="{FD5CA306-C3C8-471A-B146-801960BC70F6}"/>
            </a:ext>
          </a:extLst>
        </xdr:cNvPr>
        <xdr:cNvSpPr txBox="1"/>
      </xdr:nvSpPr>
      <xdr:spPr>
        <a:xfrm>
          <a:off x="4333875"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42" name="TextBox 41">
          <a:extLst>
            <a:ext uri="{FF2B5EF4-FFF2-40B4-BE49-F238E27FC236}">
              <a16:creationId xmlns:a16="http://schemas.microsoft.com/office/drawing/2014/main" id="{E13BF991-DB17-4E3C-8F82-0159BA8BA4BE}"/>
            </a:ext>
          </a:extLst>
        </xdr:cNvPr>
        <xdr:cNvSpPr txBox="1"/>
      </xdr:nvSpPr>
      <xdr:spPr>
        <a:xfrm>
          <a:off x="4333875"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43" name="TextBox 42">
          <a:extLst>
            <a:ext uri="{FF2B5EF4-FFF2-40B4-BE49-F238E27FC236}">
              <a16:creationId xmlns:a16="http://schemas.microsoft.com/office/drawing/2014/main" id="{87A83364-E7CC-47E8-AF7E-C068EF77BBAA}"/>
            </a:ext>
          </a:extLst>
        </xdr:cNvPr>
        <xdr:cNvSpPr txBox="1"/>
      </xdr:nvSpPr>
      <xdr:spPr>
        <a:xfrm>
          <a:off x="4333875"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44" name="TextBox 43">
          <a:extLst>
            <a:ext uri="{FF2B5EF4-FFF2-40B4-BE49-F238E27FC236}">
              <a16:creationId xmlns:a16="http://schemas.microsoft.com/office/drawing/2014/main" id="{DFFD0077-1051-46A0-999F-C96C420C29E1}"/>
            </a:ext>
          </a:extLst>
        </xdr:cNvPr>
        <xdr:cNvSpPr txBox="1"/>
      </xdr:nvSpPr>
      <xdr:spPr>
        <a:xfrm>
          <a:off x="4333875"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45" name="TextBox 44">
          <a:extLst>
            <a:ext uri="{FF2B5EF4-FFF2-40B4-BE49-F238E27FC236}">
              <a16:creationId xmlns:a16="http://schemas.microsoft.com/office/drawing/2014/main" id="{7542381F-98B1-4F31-913A-AB26486C7E9D}"/>
            </a:ext>
          </a:extLst>
        </xdr:cNvPr>
        <xdr:cNvSpPr txBox="1"/>
      </xdr:nvSpPr>
      <xdr:spPr>
        <a:xfrm>
          <a:off x="4333875"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46" name="TextBox 45">
          <a:extLst>
            <a:ext uri="{FF2B5EF4-FFF2-40B4-BE49-F238E27FC236}">
              <a16:creationId xmlns:a16="http://schemas.microsoft.com/office/drawing/2014/main" id="{178FDF6D-3BD5-48C1-A6B1-C14F4517E0C2}"/>
            </a:ext>
          </a:extLst>
        </xdr:cNvPr>
        <xdr:cNvSpPr txBox="1"/>
      </xdr:nvSpPr>
      <xdr:spPr>
        <a:xfrm>
          <a:off x="4333875"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47" name="TextBox 46">
          <a:extLst>
            <a:ext uri="{FF2B5EF4-FFF2-40B4-BE49-F238E27FC236}">
              <a16:creationId xmlns:a16="http://schemas.microsoft.com/office/drawing/2014/main" id="{9F7FEE6C-FA99-4240-9981-91814B3CA33F}"/>
            </a:ext>
          </a:extLst>
        </xdr:cNvPr>
        <xdr:cNvSpPr txBox="1"/>
      </xdr:nvSpPr>
      <xdr:spPr>
        <a:xfrm>
          <a:off x="172974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92763" cy="264560"/>
    <xdr:sp macro="" textlink="">
      <xdr:nvSpPr>
        <xdr:cNvPr id="48" name="TextBox 47">
          <a:extLst>
            <a:ext uri="{FF2B5EF4-FFF2-40B4-BE49-F238E27FC236}">
              <a16:creationId xmlns:a16="http://schemas.microsoft.com/office/drawing/2014/main" id="{EB70B31D-7741-441C-B089-75F68355FF31}"/>
            </a:ext>
          </a:extLst>
        </xdr:cNvPr>
        <xdr:cNvSpPr txBox="1"/>
      </xdr:nvSpPr>
      <xdr:spPr>
        <a:xfrm>
          <a:off x="2596515"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xdr:row>
      <xdr:rowOff>0</xdr:rowOff>
    </xdr:from>
    <xdr:ext cx="192763" cy="264560"/>
    <xdr:sp macro="" textlink="">
      <xdr:nvSpPr>
        <xdr:cNvPr id="49" name="TextBox 48">
          <a:extLst>
            <a:ext uri="{FF2B5EF4-FFF2-40B4-BE49-F238E27FC236}">
              <a16:creationId xmlns:a16="http://schemas.microsoft.com/office/drawing/2014/main" id="{C5656CBA-51B9-43D6-AE3A-2469298CD02E}"/>
            </a:ext>
          </a:extLst>
        </xdr:cNvPr>
        <xdr:cNvSpPr txBox="1"/>
      </xdr:nvSpPr>
      <xdr:spPr>
        <a:xfrm>
          <a:off x="346329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83125" cy="264560"/>
    <xdr:sp macro="" textlink="">
      <xdr:nvSpPr>
        <xdr:cNvPr id="50" name="TextBox 49">
          <a:extLst>
            <a:ext uri="{FF2B5EF4-FFF2-40B4-BE49-F238E27FC236}">
              <a16:creationId xmlns:a16="http://schemas.microsoft.com/office/drawing/2014/main" id="{C65CD583-1FEB-4ED6-A708-86C4630236F6}"/>
            </a:ext>
          </a:extLst>
        </xdr:cNvPr>
        <xdr:cNvSpPr txBox="1"/>
      </xdr:nvSpPr>
      <xdr:spPr>
        <a:xfrm>
          <a:off x="1120140" y="5429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84731" cy="271710"/>
    <xdr:sp macro="" textlink="">
      <xdr:nvSpPr>
        <xdr:cNvPr id="51" name="TextBox 50">
          <a:extLst>
            <a:ext uri="{FF2B5EF4-FFF2-40B4-BE49-F238E27FC236}">
              <a16:creationId xmlns:a16="http://schemas.microsoft.com/office/drawing/2014/main" id="{7A2B6B23-3361-4A9A-B178-D539E29FB6BA}"/>
            </a:ext>
          </a:extLst>
        </xdr:cNvPr>
        <xdr:cNvSpPr txBox="1"/>
      </xdr:nvSpPr>
      <xdr:spPr>
        <a:xfrm>
          <a:off x="845820" y="5429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42</xdr:row>
      <xdr:rowOff>95250</xdr:rowOff>
    </xdr:from>
    <xdr:ext cx="184731" cy="264560"/>
    <xdr:sp macro="" textlink="">
      <xdr:nvSpPr>
        <xdr:cNvPr id="52" name="TextBox 51">
          <a:extLst>
            <a:ext uri="{FF2B5EF4-FFF2-40B4-BE49-F238E27FC236}">
              <a16:creationId xmlns:a16="http://schemas.microsoft.com/office/drawing/2014/main" id="{7933AE6E-ACF4-45DF-8922-B2ED5A3E8C1A}"/>
            </a:ext>
          </a:extLst>
        </xdr:cNvPr>
        <xdr:cNvSpPr txBox="1"/>
      </xdr:nvSpPr>
      <xdr:spPr>
        <a:xfrm>
          <a:off x="23812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95250</xdr:rowOff>
    </xdr:from>
    <xdr:ext cx="184731" cy="264560"/>
    <xdr:sp macro="" textlink="">
      <xdr:nvSpPr>
        <xdr:cNvPr id="53" name="TextBox 52">
          <a:extLst>
            <a:ext uri="{FF2B5EF4-FFF2-40B4-BE49-F238E27FC236}">
              <a16:creationId xmlns:a16="http://schemas.microsoft.com/office/drawing/2014/main" id="{F3E586DF-F97C-4CFC-99F8-755B00E586F4}"/>
            </a:ext>
          </a:extLst>
        </xdr:cNvPr>
        <xdr:cNvSpPr txBox="1"/>
      </xdr:nvSpPr>
      <xdr:spPr>
        <a:xfrm>
          <a:off x="258127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1102995</xdr:colOff>
      <xdr:row>42</xdr:row>
      <xdr:rowOff>95250</xdr:rowOff>
    </xdr:from>
    <xdr:ext cx="184731" cy="264560"/>
    <xdr:sp macro="" textlink="">
      <xdr:nvSpPr>
        <xdr:cNvPr id="54" name="TextBox 53">
          <a:extLst>
            <a:ext uri="{FF2B5EF4-FFF2-40B4-BE49-F238E27FC236}">
              <a16:creationId xmlns:a16="http://schemas.microsoft.com/office/drawing/2014/main" id="{7F64C7BE-9C55-475B-92FB-727DC0BA2336}"/>
            </a:ext>
          </a:extLst>
        </xdr:cNvPr>
        <xdr:cNvSpPr txBox="1"/>
      </xdr:nvSpPr>
      <xdr:spPr>
        <a:xfrm>
          <a:off x="344614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36</xdr:row>
      <xdr:rowOff>0</xdr:rowOff>
    </xdr:from>
    <xdr:ext cx="192763" cy="264560"/>
    <xdr:sp macro="" textlink="">
      <xdr:nvSpPr>
        <xdr:cNvPr id="55" name="TextBox 54">
          <a:extLst>
            <a:ext uri="{FF2B5EF4-FFF2-40B4-BE49-F238E27FC236}">
              <a16:creationId xmlns:a16="http://schemas.microsoft.com/office/drawing/2014/main" id="{17699146-AAA9-4930-B2A3-BB86CEC2E97C}"/>
            </a:ext>
          </a:extLst>
        </xdr:cNvPr>
        <xdr:cNvSpPr txBox="1"/>
      </xdr:nvSpPr>
      <xdr:spPr>
        <a:xfrm>
          <a:off x="843915" y="6248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303466"/>
    <xdr:sp macro="" textlink="">
      <xdr:nvSpPr>
        <xdr:cNvPr id="56" name="TextBox 55">
          <a:extLst>
            <a:ext uri="{FF2B5EF4-FFF2-40B4-BE49-F238E27FC236}">
              <a16:creationId xmlns:a16="http://schemas.microsoft.com/office/drawing/2014/main" id="{62C0A716-EA0A-4A69-A066-E519E52E7D99}"/>
            </a:ext>
          </a:extLst>
        </xdr:cNvPr>
        <xdr:cNvSpPr txBox="1"/>
      </xdr:nvSpPr>
      <xdr:spPr>
        <a:xfrm>
          <a:off x="843915" y="64103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57" name="TextBox 56">
          <a:extLst>
            <a:ext uri="{FF2B5EF4-FFF2-40B4-BE49-F238E27FC236}">
              <a16:creationId xmlns:a16="http://schemas.microsoft.com/office/drawing/2014/main" id="{674F84DF-4533-402E-8976-EA1FAA1294E8}"/>
            </a:ext>
          </a:extLst>
        </xdr:cNvPr>
        <xdr:cNvSpPr txBox="1"/>
      </xdr:nvSpPr>
      <xdr:spPr>
        <a:xfrm>
          <a:off x="843915" y="657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58" name="TextBox 57">
          <a:extLst>
            <a:ext uri="{FF2B5EF4-FFF2-40B4-BE49-F238E27FC236}">
              <a16:creationId xmlns:a16="http://schemas.microsoft.com/office/drawing/2014/main" id="{16ECD5D0-CAE9-4720-9DE2-82617D958CA7}"/>
            </a:ext>
          </a:extLst>
        </xdr:cNvPr>
        <xdr:cNvSpPr txBox="1"/>
      </xdr:nvSpPr>
      <xdr:spPr>
        <a:xfrm>
          <a:off x="843915" y="657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59" name="TextBox 58">
          <a:extLst>
            <a:ext uri="{FF2B5EF4-FFF2-40B4-BE49-F238E27FC236}">
              <a16:creationId xmlns:a16="http://schemas.microsoft.com/office/drawing/2014/main" id="{9D44A831-2B95-4CED-AFBE-BF4A1CAAB5E6}"/>
            </a:ext>
          </a:extLst>
        </xdr:cNvPr>
        <xdr:cNvSpPr txBox="1"/>
      </xdr:nvSpPr>
      <xdr:spPr>
        <a:xfrm>
          <a:off x="1710690" y="705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60" name="TextBox 59">
          <a:extLst>
            <a:ext uri="{FF2B5EF4-FFF2-40B4-BE49-F238E27FC236}">
              <a16:creationId xmlns:a16="http://schemas.microsoft.com/office/drawing/2014/main" id="{A62FD8A1-39C3-4563-B6C4-783E9595335A}"/>
            </a:ext>
          </a:extLst>
        </xdr:cNvPr>
        <xdr:cNvSpPr txBox="1"/>
      </xdr:nvSpPr>
      <xdr:spPr>
        <a:xfrm>
          <a:off x="1710690" y="705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61" name="TextBox 60">
          <a:extLst>
            <a:ext uri="{FF2B5EF4-FFF2-40B4-BE49-F238E27FC236}">
              <a16:creationId xmlns:a16="http://schemas.microsoft.com/office/drawing/2014/main" id="{2EA73EB4-DDD6-4802-B6DB-A805FEE28026}"/>
            </a:ext>
          </a:extLst>
        </xdr:cNvPr>
        <xdr:cNvSpPr txBox="1"/>
      </xdr:nvSpPr>
      <xdr:spPr>
        <a:xfrm>
          <a:off x="1710690" y="721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62" name="TextBox 61">
          <a:extLst>
            <a:ext uri="{FF2B5EF4-FFF2-40B4-BE49-F238E27FC236}">
              <a16:creationId xmlns:a16="http://schemas.microsoft.com/office/drawing/2014/main" id="{2C3EC4F9-7B83-4783-B54F-D35B0C0AC38D}"/>
            </a:ext>
          </a:extLst>
        </xdr:cNvPr>
        <xdr:cNvSpPr txBox="1"/>
      </xdr:nvSpPr>
      <xdr:spPr>
        <a:xfrm>
          <a:off x="1710690" y="721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63" name="TextBox 62">
          <a:extLst>
            <a:ext uri="{FF2B5EF4-FFF2-40B4-BE49-F238E27FC236}">
              <a16:creationId xmlns:a16="http://schemas.microsoft.com/office/drawing/2014/main" id="{15234D9F-D367-4DC8-82C3-1CF7BC1012CE}"/>
            </a:ext>
          </a:extLst>
        </xdr:cNvPr>
        <xdr:cNvSpPr txBox="1"/>
      </xdr:nvSpPr>
      <xdr:spPr>
        <a:xfrm>
          <a:off x="1710690" y="738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64" name="TextBox 63">
          <a:extLst>
            <a:ext uri="{FF2B5EF4-FFF2-40B4-BE49-F238E27FC236}">
              <a16:creationId xmlns:a16="http://schemas.microsoft.com/office/drawing/2014/main" id="{0FFEE9DF-7FF7-41DA-8411-AFDE14A978AC}"/>
            </a:ext>
          </a:extLst>
        </xdr:cNvPr>
        <xdr:cNvSpPr txBox="1"/>
      </xdr:nvSpPr>
      <xdr:spPr>
        <a:xfrm>
          <a:off x="1710690" y="738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65" name="TextBox 64">
          <a:extLst>
            <a:ext uri="{FF2B5EF4-FFF2-40B4-BE49-F238E27FC236}">
              <a16:creationId xmlns:a16="http://schemas.microsoft.com/office/drawing/2014/main" id="{BA699A50-5AE7-4BB2-8435-8EE1D6F652CA}"/>
            </a:ext>
          </a:extLst>
        </xdr:cNvPr>
        <xdr:cNvSpPr txBox="1"/>
      </xdr:nvSpPr>
      <xdr:spPr>
        <a:xfrm>
          <a:off x="1710690" y="754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66" name="TextBox 65">
          <a:extLst>
            <a:ext uri="{FF2B5EF4-FFF2-40B4-BE49-F238E27FC236}">
              <a16:creationId xmlns:a16="http://schemas.microsoft.com/office/drawing/2014/main" id="{C0EDE8D6-27AD-49B0-991C-4B2A84E5E7E0}"/>
            </a:ext>
          </a:extLst>
        </xdr:cNvPr>
        <xdr:cNvSpPr txBox="1"/>
      </xdr:nvSpPr>
      <xdr:spPr>
        <a:xfrm>
          <a:off x="1710690" y="754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36</xdr:row>
      <xdr:rowOff>0</xdr:rowOff>
    </xdr:from>
    <xdr:ext cx="184731" cy="264560"/>
    <xdr:sp macro="" textlink="">
      <xdr:nvSpPr>
        <xdr:cNvPr id="67" name="TextBox 66">
          <a:extLst>
            <a:ext uri="{FF2B5EF4-FFF2-40B4-BE49-F238E27FC236}">
              <a16:creationId xmlns:a16="http://schemas.microsoft.com/office/drawing/2014/main" id="{9D0A492E-64EC-4638-9733-18A78F4DA0A2}"/>
            </a:ext>
          </a:extLst>
        </xdr:cNvPr>
        <xdr:cNvSpPr txBox="1"/>
      </xdr:nvSpPr>
      <xdr:spPr>
        <a:xfrm>
          <a:off x="847725"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68" name="TextBox 67">
          <a:extLst>
            <a:ext uri="{FF2B5EF4-FFF2-40B4-BE49-F238E27FC236}">
              <a16:creationId xmlns:a16="http://schemas.microsoft.com/office/drawing/2014/main" id="{D1BE6D04-C3C4-4FCB-A078-3F8A936FF346}"/>
            </a:ext>
          </a:extLst>
        </xdr:cNvPr>
        <xdr:cNvSpPr txBox="1"/>
      </xdr:nvSpPr>
      <xdr:spPr>
        <a:xfrm>
          <a:off x="847725" y="64103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69" name="TextBox 68">
          <a:extLst>
            <a:ext uri="{FF2B5EF4-FFF2-40B4-BE49-F238E27FC236}">
              <a16:creationId xmlns:a16="http://schemas.microsoft.com/office/drawing/2014/main" id="{F988D608-FC7D-4395-8E4C-BD7269D354D9}"/>
            </a:ext>
          </a:extLst>
        </xdr:cNvPr>
        <xdr:cNvSpPr txBox="1"/>
      </xdr:nvSpPr>
      <xdr:spPr>
        <a:xfrm>
          <a:off x="847725"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70" name="TextBox 69">
          <a:extLst>
            <a:ext uri="{FF2B5EF4-FFF2-40B4-BE49-F238E27FC236}">
              <a16:creationId xmlns:a16="http://schemas.microsoft.com/office/drawing/2014/main" id="{2EA93AA0-2694-4039-BF34-1265AF0DCE06}"/>
            </a:ext>
          </a:extLst>
        </xdr:cNvPr>
        <xdr:cNvSpPr txBox="1"/>
      </xdr:nvSpPr>
      <xdr:spPr>
        <a:xfrm>
          <a:off x="847725"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1" name="TextBox 70">
          <a:extLst>
            <a:ext uri="{FF2B5EF4-FFF2-40B4-BE49-F238E27FC236}">
              <a16:creationId xmlns:a16="http://schemas.microsoft.com/office/drawing/2014/main" id="{5261DBAE-6CAA-4AAD-9463-6B50D82F793A}"/>
            </a:ext>
          </a:extLst>
        </xdr:cNvPr>
        <xdr:cNvSpPr txBox="1"/>
      </xdr:nvSpPr>
      <xdr:spPr>
        <a:xfrm>
          <a:off x="2581275"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2" name="TextBox 71">
          <a:extLst>
            <a:ext uri="{FF2B5EF4-FFF2-40B4-BE49-F238E27FC236}">
              <a16:creationId xmlns:a16="http://schemas.microsoft.com/office/drawing/2014/main" id="{197F4908-30CB-4B76-953F-0AF0B75630D7}"/>
            </a:ext>
          </a:extLst>
        </xdr:cNvPr>
        <xdr:cNvSpPr txBox="1"/>
      </xdr:nvSpPr>
      <xdr:spPr>
        <a:xfrm>
          <a:off x="2581275"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3" name="TextBox 72">
          <a:extLst>
            <a:ext uri="{FF2B5EF4-FFF2-40B4-BE49-F238E27FC236}">
              <a16:creationId xmlns:a16="http://schemas.microsoft.com/office/drawing/2014/main" id="{492579B3-BECE-425C-BE67-B2D26EC74237}"/>
            </a:ext>
          </a:extLst>
        </xdr:cNvPr>
        <xdr:cNvSpPr txBox="1"/>
      </xdr:nvSpPr>
      <xdr:spPr>
        <a:xfrm>
          <a:off x="2581275"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4" name="TextBox 73">
          <a:extLst>
            <a:ext uri="{FF2B5EF4-FFF2-40B4-BE49-F238E27FC236}">
              <a16:creationId xmlns:a16="http://schemas.microsoft.com/office/drawing/2014/main" id="{7158C9E5-57FB-4287-B669-1725F56DDE3C}"/>
            </a:ext>
          </a:extLst>
        </xdr:cNvPr>
        <xdr:cNvSpPr txBox="1"/>
      </xdr:nvSpPr>
      <xdr:spPr>
        <a:xfrm>
          <a:off x="2581275"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5" name="TextBox 74">
          <a:extLst>
            <a:ext uri="{FF2B5EF4-FFF2-40B4-BE49-F238E27FC236}">
              <a16:creationId xmlns:a16="http://schemas.microsoft.com/office/drawing/2014/main" id="{C78902D1-F72D-43F8-B65F-8CEDB71F7A2E}"/>
            </a:ext>
          </a:extLst>
        </xdr:cNvPr>
        <xdr:cNvSpPr txBox="1"/>
      </xdr:nvSpPr>
      <xdr:spPr>
        <a:xfrm>
          <a:off x="25812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6" name="TextBox 75">
          <a:extLst>
            <a:ext uri="{FF2B5EF4-FFF2-40B4-BE49-F238E27FC236}">
              <a16:creationId xmlns:a16="http://schemas.microsoft.com/office/drawing/2014/main" id="{313598AB-23D1-4DC7-851D-FC72AB0217E8}"/>
            </a:ext>
          </a:extLst>
        </xdr:cNvPr>
        <xdr:cNvSpPr txBox="1"/>
      </xdr:nvSpPr>
      <xdr:spPr>
        <a:xfrm>
          <a:off x="25812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77" name="TextBox 76">
          <a:extLst>
            <a:ext uri="{FF2B5EF4-FFF2-40B4-BE49-F238E27FC236}">
              <a16:creationId xmlns:a16="http://schemas.microsoft.com/office/drawing/2014/main" id="{8CE0D544-AC22-4CD0-94FF-2800B77ABC1F}"/>
            </a:ext>
          </a:extLst>
        </xdr:cNvPr>
        <xdr:cNvSpPr txBox="1"/>
      </xdr:nvSpPr>
      <xdr:spPr>
        <a:xfrm>
          <a:off x="2581275"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78" name="TextBox 77">
          <a:extLst>
            <a:ext uri="{FF2B5EF4-FFF2-40B4-BE49-F238E27FC236}">
              <a16:creationId xmlns:a16="http://schemas.microsoft.com/office/drawing/2014/main" id="{288D4A9E-77AC-4609-BA84-8F44BF11027F}"/>
            </a:ext>
          </a:extLst>
        </xdr:cNvPr>
        <xdr:cNvSpPr txBox="1"/>
      </xdr:nvSpPr>
      <xdr:spPr>
        <a:xfrm>
          <a:off x="2581275"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36</xdr:row>
      <xdr:rowOff>0</xdr:rowOff>
    </xdr:from>
    <xdr:ext cx="184731" cy="264560"/>
    <xdr:sp macro="" textlink="">
      <xdr:nvSpPr>
        <xdr:cNvPr id="79" name="TextBox 78">
          <a:extLst>
            <a:ext uri="{FF2B5EF4-FFF2-40B4-BE49-F238E27FC236}">
              <a16:creationId xmlns:a16="http://schemas.microsoft.com/office/drawing/2014/main" id="{49AF6076-B8E0-4242-ADFC-77D984A0FAAC}"/>
            </a:ext>
          </a:extLst>
        </xdr:cNvPr>
        <xdr:cNvSpPr txBox="1"/>
      </xdr:nvSpPr>
      <xdr:spPr>
        <a:xfrm>
          <a:off x="1714500"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303466"/>
    <xdr:sp macro="" textlink="">
      <xdr:nvSpPr>
        <xdr:cNvPr id="80" name="TextBox 79">
          <a:extLst>
            <a:ext uri="{FF2B5EF4-FFF2-40B4-BE49-F238E27FC236}">
              <a16:creationId xmlns:a16="http://schemas.microsoft.com/office/drawing/2014/main" id="{C11BE4BB-43F7-4808-8D9B-08A1FD73868D}"/>
            </a:ext>
          </a:extLst>
        </xdr:cNvPr>
        <xdr:cNvSpPr txBox="1"/>
      </xdr:nvSpPr>
      <xdr:spPr>
        <a:xfrm>
          <a:off x="1714500" y="64103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38</xdr:row>
      <xdr:rowOff>0</xdr:rowOff>
    </xdr:from>
    <xdr:ext cx="184731" cy="264560"/>
    <xdr:sp macro="" textlink="">
      <xdr:nvSpPr>
        <xdr:cNvPr id="81" name="TextBox 80">
          <a:extLst>
            <a:ext uri="{FF2B5EF4-FFF2-40B4-BE49-F238E27FC236}">
              <a16:creationId xmlns:a16="http://schemas.microsoft.com/office/drawing/2014/main" id="{4ABDDBE7-47D6-4252-BC61-C86FA507449F}"/>
            </a:ext>
          </a:extLst>
        </xdr:cNvPr>
        <xdr:cNvSpPr txBox="1"/>
      </xdr:nvSpPr>
      <xdr:spPr>
        <a:xfrm>
          <a:off x="1714500"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38</xdr:row>
      <xdr:rowOff>0</xdr:rowOff>
    </xdr:from>
    <xdr:ext cx="184731" cy="264560"/>
    <xdr:sp macro="" textlink="">
      <xdr:nvSpPr>
        <xdr:cNvPr id="82" name="TextBox 81">
          <a:extLst>
            <a:ext uri="{FF2B5EF4-FFF2-40B4-BE49-F238E27FC236}">
              <a16:creationId xmlns:a16="http://schemas.microsoft.com/office/drawing/2014/main" id="{B1F55BCD-2B1B-4CAF-9A4B-851D8D691223}"/>
            </a:ext>
          </a:extLst>
        </xdr:cNvPr>
        <xdr:cNvSpPr txBox="1"/>
      </xdr:nvSpPr>
      <xdr:spPr>
        <a:xfrm>
          <a:off x="1714500"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83" name="TextBox 82">
          <a:extLst>
            <a:ext uri="{FF2B5EF4-FFF2-40B4-BE49-F238E27FC236}">
              <a16:creationId xmlns:a16="http://schemas.microsoft.com/office/drawing/2014/main" id="{1445A959-D581-4F9C-98B2-A9288DFE2F2E}"/>
            </a:ext>
          </a:extLst>
        </xdr:cNvPr>
        <xdr:cNvSpPr txBox="1"/>
      </xdr:nvSpPr>
      <xdr:spPr>
        <a:xfrm>
          <a:off x="34480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84" name="TextBox 83">
          <a:extLst>
            <a:ext uri="{FF2B5EF4-FFF2-40B4-BE49-F238E27FC236}">
              <a16:creationId xmlns:a16="http://schemas.microsoft.com/office/drawing/2014/main" id="{2A974E78-D5DF-4A34-ACBA-E13F099997C1}"/>
            </a:ext>
          </a:extLst>
        </xdr:cNvPr>
        <xdr:cNvSpPr txBox="1"/>
      </xdr:nvSpPr>
      <xdr:spPr>
        <a:xfrm>
          <a:off x="34480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40</xdr:row>
      <xdr:rowOff>0</xdr:rowOff>
    </xdr:from>
    <xdr:ext cx="184731" cy="264560"/>
    <xdr:sp macro="" textlink="">
      <xdr:nvSpPr>
        <xdr:cNvPr id="85" name="TextBox 84">
          <a:extLst>
            <a:ext uri="{FF2B5EF4-FFF2-40B4-BE49-F238E27FC236}">
              <a16:creationId xmlns:a16="http://schemas.microsoft.com/office/drawing/2014/main" id="{C6ADEF13-41A2-4361-B1F1-C9B09A3179A5}"/>
            </a:ext>
          </a:extLst>
        </xdr:cNvPr>
        <xdr:cNvSpPr txBox="1"/>
      </xdr:nvSpPr>
      <xdr:spPr>
        <a:xfrm>
          <a:off x="3448050"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40</xdr:row>
      <xdr:rowOff>0</xdr:rowOff>
    </xdr:from>
    <xdr:ext cx="184731" cy="264560"/>
    <xdr:sp macro="" textlink="">
      <xdr:nvSpPr>
        <xdr:cNvPr id="86" name="TextBox 85">
          <a:extLst>
            <a:ext uri="{FF2B5EF4-FFF2-40B4-BE49-F238E27FC236}">
              <a16:creationId xmlns:a16="http://schemas.microsoft.com/office/drawing/2014/main" id="{9BFFA9DE-9734-4A8C-9C71-B3231E475605}"/>
            </a:ext>
          </a:extLst>
        </xdr:cNvPr>
        <xdr:cNvSpPr txBox="1"/>
      </xdr:nvSpPr>
      <xdr:spPr>
        <a:xfrm>
          <a:off x="3448050"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41</xdr:row>
      <xdr:rowOff>0</xdr:rowOff>
    </xdr:from>
    <xdr:ext cx="184731" cy="264560"/>
    <xdr:sp macro="" textlink="">
      <xdr:nvSpPr>
        <xdr:cNvPr id="87" name="TextBox 86">
          <a:extLst>
            <a:ext uri="{FF2B5EF4-FFF2-40B4-BE49-F238E27FC236}">
              <a16:creationId xmlns:a16="http://schemas.microsoft.com/office/drawing/2014/main" id="{EBE5E8BF-6DBD-47A6-BD74-8756C3D0AEC6}"/>
            </a:ext>
          </a:extLst>
        </xdr:cNvPr>
        <xdr:cNvSpPr txBox="1"/>
      </xdr:nvSpPr>
      <xdr:spPr>
        <a:xfrm>
          <a:off x="3448050"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41</xdr:row>
      <xdr:rowOff>0</xdr:rowOff>
    </xdr:from>
    <xdr:ext cx="184731" cy="264560"/>
    <xdr:sp macro="" textlink="">
      <xdr:nvSpPr>
        <xdr:cNvPr id="88" name="TextBox 87">
          <a:extLst>
            <a:ext uri="{FF2B5EF4-FFF2-40B4-BE49-F238E27FC236}">
              <a16:creationId xmlns:a16="http://schemas.microsoft.com/office/drawing/2014/main" id="{939F0E48-74E1-4CEF-AF44-D5F615E302BD}"/>
            </a:ext>
          </a:extLst>
        </xdr:cNvPr>
        <xdr:cNvSpPr txBox="1"/>
      </xdr:nvSpPr>
      <xdr:spPr>
        <a:xfrm>
          <a:off x="3448050"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42</xdr:row>
      <xdr:rowOff>0</xdr:rowOff>
    </xdr:from>
    <xdr:ext cx="184731" cy="264560"/>
    <xdr:sp macro="" textlink="">
      <xdr:nvSpPr>
        <xdr:cNvPr id="89" name="TextBox 88">
          <a:extLst>
            <a:ext uri="{FF2B5EF4-FFF2-40B4-BE49-F238E27FC236}">
              <a16:creationId xmlns:a16="http://schemas.microsoft.com/office/drawing/2014/main" id="{34951E36-87E2-4065-BB12-581D198F5DD5}"/>
            </a:ext>
          </a:extLst>
        </xdr:cNvPr>
        <xdr:cNvSpPr txBox="1"/>
      </xdr:nvSpPr>
      <xdr:spPr>
        <a:xfrm>
          <a:off x="3448050"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42</xdr:row>
      <xdr:rowOff>0</xdr:rowOff>
    </xdr:from>
    <xdr:ext cx="184731" cy="264560"/>
    <xdr:sp macro="" textlink="">
      <xdr:nvSpPr>
        <xdr:cNvPr id="90" name="TextBox 89">
          <a:extLst>
            <a:ext uri="{FF2B5EF4-FFF2-40B4-BE49-F238E27FC236}">
              <a16:creationId xmlns:a16="http://schemas.microsoft.com/office/drawing/2014/main" id="{23743493-2818-43EE-9C69-99C3D0DD7ACD}"/>
            </a:ext>
          </a:extLst>
        </xdr:cNvPr>
        <xdr:cNvSpPr txBox="1"/>
      </xdr:nvSpPr>
      <xdr:spPr>
        <a:xfrm>
          <a:off x="3448050"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36</xdr:row>
      <xdr:rowOff>0</xdr:rowOff>
    </xdr:from>
    <xdr:ext cx="183125" cy="264560"/>
    <xdr:sp macro="" textlink="">
      <xdr:nvSpPr>
        <xdr:cNvPr id="91" name="TextBox 90">
          <a:extLst>
            <a:ext uri="{FF2B5EF4-FFF2-40B4-BE49-F238E27FC236}">
              <a16:creationId xmlns:a16="http://schemas.microsoft.com/office/drawing/2014/main" id="{E4D9B551-3251-49FB-866A-5948FEF24C55}"/>
            </a:ext>
          </a:extLst>
        </xdr:cNvPr>
        <xdr:cNvSpPr txBox="1"/>
      </xdr:nvSpPr>
      <xdr:spPr>
        <a:xfrm>
          <a:off x="843915" y="6248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36</xdr:row>
      <xdr:rowOff>0</xdr:rowOff>
    </xdr:from>
    <xdr:ext cx="184731" cy="271710"/>
    <xdr:sp macro="" textlink="">
      <xdr:nvSpPr>
        <xdr:cNvPr id="92" name="TextBox 91">
          <a:extLst>
            <a:ext uri="{FF2B5EF4-FFF2-40B4-BE49-F238E27FC236}">
              <a16:creationId xmlns:a16="http://schemas.microsoft.com/office/drawing/2014/main" id="{4E7CCC29-3E5C-428F-A92B-8C4E9CAFCB22}"/>
            </a:ext>
          </a:extLst>
        </xdr:cNvPr>
        <xdr:cNvSpPr txBox="1"/>
      </xdr:nvSpPr>
      <xdr:spPr>
        <a:xfrm>
          <a:off x="569595" y="6248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3143250</xdr:colOff>
      <xdr:row>352</xdr:row>
      <xdr:rowOff>0</xdr:rowOff>
    </xdr:from>
    <xdr:ext cx="184731" cy="264560"/>
    <xdr:sp macro="" textlink="">
      <xdr:nvSpPr>
        <xdr:cNvPr id="2" name="TextBox 1">
          <a:extLst>
            <a:ext uri="{FF2B5EF4-FFF2-40B4-BE49-F238E27FC236}">
              <a16:creationId xmlns:a16="http://schemas.microsoft.com/office/drawing/2014/main" id="{66EFAB2D-BB42-4030-9994-C6D03EB3A5D0}"/>
            </a:ext>
          </a:extLst>
        </xdr:cNvPr>
        <xdr:cNvSpPr txBox="1"/>
      </xdr:nvSpPr>
      <xdr:spPr>
        <a:xfrm>
          <a:off x="38100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3" name="TextBox 2">
          <a:extLst>
            <a:ext uri="{FF2B5EF4-FFF2-40B4-BE49-F238E27FC236}">
              <a16:creationId xmlns:a16="http://schemas.microsoft.com/office/drawing/2014/main" id="{5DE2F6AC-566F-4C3F-87DA-C2EDD2D63D52}"/>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4" name="TextBox 3">
          <a:extLst>
            <a:ext uri="{FF2B5EF4-FFF2-40B4-BE49-F238E27FC236}">
              <a16:creationId xmlns:a16="http://schemas.microsoft.com/office/drawing/2014/main" id="{B13BB839-FC4E-48E5-B1A9-6A9ADC311D31}"/>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5" name="TextBox 4">
          <a:extLst>
            <a:ext uri="{FF2B5EF4-FFF2-40B4-BE49-F238E27FC236}">
              <a16:creationId xmlns:a16="http://schemas.microsoft.com/office/drawing/2014/main" id="{7F8A4AEA-B042-4061-92E5-24F61C6D7F3F}"/>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6" name="TextBox 5">
          <a:extLst>
            <a:ext uri="{FF2B5EF4-FFF2-40B4-BE49-F238E27FC236}">
              <a16:creationId xmlns:a16="http://schemas.microsoft.com/office/drawing/2014/main" id="{3CBDF804-8399-4AA5-A894-D9D086EE4862}"/>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7" name="TextBox 6">
          <a:extLst>
            <a:ext uri="{FF2B5EF4-FFF2-40B4-BE49-F238E27FC236}">
              <a16:creationId xmlns:a16="http://schemas.microsoft.com/office/drawing/2014/main" id="{B82AD3BA-F293-471D-B2CE-657EF501B792}"/>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8" name="TextBox 7">
          <a:extLst>
            <a:ext uri="{FF2B5EF4-FFF2-40B4-BE49-F238E27FC236}">
              <a16:creationId xmlns:a16="http://schemas.microsoft.com/office/drawing/2014/main" id="{1559AFB0-E23C-4988-B1BD-FCA15DD00FD9}"/>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9" name="TextBox 8">
          <a:extLst>
            <a:ext uri="{FF2B5EF4-FFF2-40B4-BE49-F238E27FC236}">
              <a16:creationId xmlns:a16="http://schemas.microsoft.com/office/drawing/2014/main" id="{015EC577-4488-44FA-B62F-3A7645F908CF}"/>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10" name="TextBox 9">
          <a:extLst>
            <a:ext uri="{FF2B5EF4-FFF2-40B4-BE49-F238E27FC236}">
              <a16:creationId xmlns:a16="http://schemas.microsoft.com/office/drawing/2014/main" id="{4F2037B0-C4D0-4490-BC63-6781D040A18E}"/>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1" name="TextBox 10">
          <a:extLst>
            <a:ext uri="{FF2B5EF4-FFF2-40B4-BE49-F238E27FC236}">
              <a16:creationId xmlns:a16="http://schemas.microsoft.com/office/drawing/2014/main" id="{B509EF67-FF2C-4647-8214-E7329C4B4215}"/>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2" name="TextBox 11">
          <a:extLst>
            <a:ext uri="{FF2B5EF4-FFF2-40B4-BE49-F238E27FC236}">
              <a16:creationId xmlns:a16="http://schemas.microsoft.com/office/drawing/2014/main" id="{D0463186-2F18-412B-93C5-C432EE350846}"/>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3" name="TextBox 12">
          <a:extLst>
            <a:ext uri="{FF2B5EF4-FFF2-40B4-BE49-F238E27FC236}">
              <a16:creationId xmlns:a16="http://schemas.microsoft.com/office/drawing/2014/main" id="{A32C9392-A773-4FD2-8774-EFD7360670F2}"/>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4" name="TextBox 13">
          <a:extLst>
            <a:ext uri="{FF2B5EF4-FFF2-40B4-BE49-F238E27FC236}">
              <a16:creationId xmlns:a16="http://schemas.microsoft.com/office/drawing/2014/main" id="{A7940608-316B-4D12-8D10-7DDF38CA3457}"/>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5" name="TextBox 14">
          <a:extLst>
            <a:ext uri="{FF2B5EF4-FFF2-40B4-BE49-F238E27FC236}">
              <a16:creationId xmlns:a16="http://schemas.microsoft.com/office/drawing/2014/main" id="{F8E25B59-B98F-4004-8C1C-ED5BE798B44F}"/>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6" name="TextBox 15">
          <a:extLst>
            <a:ext uri="{FF2B5EF4-FFF2-40B4-BE49-F238E27FC236}">
              <a16:creationId xmlns:a16="http://schemas.microsoft.com/office/drawing/2014/main" id="{D3D20C72-3A6C-4A35-932D-C2C6F028B420}"/>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7" name="TextBox 16">
          <a:extLst>
            <a:ext uri="{FF2B5EF4-FFF2-40B4-BE49-F238E27FC236}">
              <a16:creationId xmlns:a16="http://schemas.microsoft.com/office/drawing/2014/main" id="{21EB422B-2FF3-443E-9530-AB78C3316423}"/>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352</xdr:row>
      <xdr:rowOff>0</xdr:rowOff>
    </xdr:from>
    <xdr:ext cx="184731" cy="264560"/>
    <xdr:sp macro="" textlink="">
      <xdr:nvSpPr>
        <xdr:cNvPr id="18" name="TextBox 17">
          <a:extLst>
            <a:ext uri="{FF2B5EF4-FFF2-40B4-BE49-F238E27FC236}">
              <a16:creationId xmlns:a16="http://schemas.microsoft.com/office/drawing/2014/main" id="{D9620A5C-EB72-46D9-85E0-05ED8373E172}"/>
            </a:ext>
          </a:extLst>
        </xdr:cNvPr>
        <xdr:cNvSpPr txBox="1"/>
      </xdr:nvSpPr>
      <xdr:spPr>
        <a:xfrm>
          <a:off x="2840355"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352</xdr:row>
      <xdr:rowOff>0</xdr:rowOff>
    </xdr:from>
    <xdr:ext cx="184731" cy="264560"/>
    <xdr:sp macro="" textlink="">
      <xdr:nvSpPr>
        <xdr:cNvPr id="19" name="TextBox 18">
          <a:extLst>
            <a:ext uri="{FF2B5EF4-FFF2-40B4-BE49-F238E27FC236}">
              <a16:creationId xmlns:a16="http://schemas.microsoft.com/office/drawing/2014/main" id="{AC2271EC-AB79-4E54-808D-37F98CA82C87}"/>
            </a:ext>
          </a:extLst>
        </xdr:cNvPr>
        <xdr:cNvSpPr txBox="1"/>
      </xdr:nvSpPr>
      <xdr:spPr>
        <a:xfrm>
          <a:off x="4032885"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352</xdr:row>
      <xdr:rowOff>0</xdr:rowOff>
    </xdr:from>
    <xdr:ext cx="184731" cy="264560"/>
    <xdr:sp macro="" textlink="">
      <xdr:nvSpPr>
        <xdr:cNvPr id="20" name="TextBox 19">
          <a:extLst>
            <a:ext uri="{FF2B5EF4-FFF2-40B4-BE49-F238E27FC236}">
              <a16:creationId xmlns:a16="http://schemas.microsoft.com/office/drawing/2014/main" id="{151351FA-5A47-4FE5-AAEF-772FE64E1BB4}"/>
            </a:ext>
          </a:extLst>
        </xdr:cNvPr>
        <xdr:cNvSpPr txBox="1"/>
      </xdr:nvSpPr>
      <xdr:spPr>
        <a:xfrm>
          <a:off x="522351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21" name="TextBox 20">
          <a:extLst>
            <a:ext uri="{FF2B5EF4-FFF2-40B4-BE49-F238E27FC236}">
              <a16:creationId xmlns:a16="http://schemas.microsoft.com/office/drawing/2014/main" id="{F58CAD2F-7344-4FE8-8BF0-E97CEC853923}"/>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353</xdr:row>
      <xdr:rowOff>0</xdr:rowOff>
    </xdr:from>
    <xdr:ext cx="184731" cy="264560"/>
    <xdr:sp macro="" textlink="">
      <xdr:nvSpPr>
        <xdr:cNvPr id="22" name="TextBox 21">
          <a:extLst>
            <a:ext uri="{FF2B5EF4-FFF2-40B4-BE49-F238E27FC236}">
              <a16:creationId xmlns:a16="http://schemas.microsoft.com/office/drawing/2014/main" id="{E6841DB9-EE2C-41D5-B184-7E13D4A3723D}"/>
            </a:ext>
          </a:extLst>
        </xdr:cNvPr>
        <xdr:cNvSpPr txBox="1"/>
      </xdr:nvSpPr>
      <xdr:spPr>
        <a:xfrm>
          <a:off x="2840355"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353</xdr:row>
      <xdr:rowOff>0</xdr:rowOff>
    </xdr:from>
    <xdr:ext cx="184731" cy="264560"/>
    <xdr:sp macro="" textlink="">
      <xdr:nvSpPr>
        <xdr:cNvPr id="23" name="TextBox 22">
          <a:extLst>
            <a:ext uri="{FF2B5EF4-FFF2-40B4-BE49-F238E27FC236}">
              <a16:creationId xmlns:a16="http://schemas.microsoft.com/office/drawing/2014/main" id="{EF560D71-297A-4CEC-B7B4-E2DCD0C54DD0}"/>
            </a:ext>
          </a:extLst>
        </xdr:cNvPr>
        <xdr:cNvSpPr txBox="1"/>
      </xdr:nvSpPr>
      <xdr:spPr>
        <a:xfrm>
          <a:off x="4032885"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353</xdr:row>
      <xdr:rowOff>0</xdr:rowOff>
    </xdr:from>
    <xdr:ext cx="184731" cy="264560"/>
    <xdr:sp macro="" textlink="">
      <xdr:nvSpPr>
        <xdr:cNvPr id="24" name="TextBox 23">
          <a:extLst>
            <a:ext uri="{FF2B5EF4-FFF2-40B4-BE49-F238E27FC236}">
              <a16:creationId xmlns:a16="http://schemas.microsoft.com/office/drawing/2014/main" id="{46F55B7E-D607-4059-98C7-C51BF58D4749}"/>
            </a:ext>
          </a:extLst>
        </xdr:cNvPr>
        <xdr:cNvSpPr txBox="1"/>
      </xdr:nvSpPr>
      <xdr:spPr>
        <a:xfrm>
          <a:off x="522351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25" name="TextBox 24">
          <a:extLst>
            <a:ext uri="{FF2B5EF4-FFF2-40B4-BE49-F238E27FC236}">
              <a16:creationId xmlns:a16="http://schemas.microsoft.com/office/drawing/2014/main" id="{A4F02AF0-9D76-4D19-8984-14400EAAE7DE}"/>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354</xdr:row>
      <xdr:rowOff>0</xdr:rowOff>
    </xdr:from>
    <xdr:ext cx="184731" cy="264560"/>
    <xdr:sp macro="" textlink="">
      <xdr:nvSpPr>
        <xdr:cNvPr id="26" name="TextBox 25">
          <a:extLst>
            <a:ext uri="{FF2B5EF4-FFF2-40B4-BE49-F238E27FC236}">
              <a16:creationId xmlns:a16="http://schemas.microsoft.com/office/drawing/2014/main" id="{84F8284E-CE45-4589-A6DE-CC84A692E141}"/>
            </a:ext>
          </a:extLst>
        </xdr:cNvPr>
        <xdr:cNvSpPr txBox="1"/>
      </xdr:nvSpPr>
      <xdr:spPr>
        <a:xfrm>
          <a:off x="2840355"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354</xdr:row>
      <xdr:rowOff>0</xdr:rowOff>
    </xdr:from>
    <xdr:ext cx="184731" cy="264560"/>
    <xdr:sp macro="" textlink="">
      <xdr:nvSpPr>
        <xdr:cNvPr id="27" name="TextBox 26">
          <a:extLst>
            <a:ext uri="{FF2B5EF4-FFF2-40B4-BE49-F238E27FC236}">
              <a16:creationId xmlns:a16="http://schemas.microsoft.com/office/drawing/2014/main" id="{C04A5AB3-D5AB-4117-BCE2-895A0A2F0FB8}"/>
            </a:ext>
          </a:extLst>
        </xdr:cNvPr>
        <xdr:cNvSpPr txBox="1"/>
      </xdr:nvSpPr>
      <xdr:spPr>
        <a:xfrm>
          <a:off x="4032885"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354</xdr:row>
      <xdr:rowOff>0</xdr:rowOff>
    </xdr:from>
    <xdr:ext cx="184731" cy="264560"/>
    <xdr:sp macro="" textlink="">
      <xdr:nvSpPr>
        <xdr:cNvPr id="28" name="TextBox 27">
          <a:extLst>
            <a:ext uri="{FF2B5EF4-FFF2-40B4-BE49-F238E27FC236}">
              <a16:creationId xmlns:a16="http://schemas.microsoft.com/office/drawing/2014/main" id="{5AFF323D-14FC-4EEB-9B5F-99D15AB0FD2D}"/>
            </a:ext>
          </a:extLst>
        </xdr:cNvPr>
        <xdr:cNvSpPr txBox="1"/>
      </xdr:nvSpPr>
      <xdr:spPr>
        <a:xfrm>
          <a:off x="522351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29" name="TextBox 28">
          <a:extLst>
            <a:ext uri="{FF2B5EF4-FFF2-40B4-BE49-F238E27FC236}">
              <a16:creationId xmlns:a16="http://schemas.microsoft.com/office/drawing/2014/main" id="{AF8D0327-C083-4630-BD13-C80BF38B8E9F}"/>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355</xdr:row>
      <xdr:rowOff>0</xdr:rowOff>
    </xdr:from>
    <xdr:ext cx="184731" cy="264560"/>
    <xdr:sp macro="" textlink="">
      <xdr:nvSpPr>
        <xdr:cNvPr id="30" name="TextBox 29">
          <a:extLst>
            <a:ext uri="{FF2B5EF4-FFF2-40B4-BE49-F238E27FC236}">
              <a16:creationId xmlns:a16="http://schemas.microsoft.com/office/drawing/2014/main" id="{5C5AECA0-BDC3-4C64-AA57-BC0C3053236C}"/>
            </a:ext>
          </a:extLst>
        </xdr:cNvPr>
        <xdr:cNvSpPr txBox="1"/>
      </xdr:nvSpPr>
      <xdr:spPr>
        <a:xfrm>
          <a:off x="2840355"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355</xdr:row>
      <xdr:rowOff>0</xdr:rowOff>
    </xdr:from>
    <xdr:ext cx="184731" cy="264560"/>
    <xdr:sp macro="" textlink="">
      <xdr:nvSpPr>
        <xdr:cNvPr id="31" name="TextBox 30">
          <a:extLst>
            <a:ext uri="{FF2B5EF4-FFF2-40B4-BE49-F238E27FC236}">
              <a16:creationId xmlns:a16="http://schemas.microsoft.com/office/drawing/2014/main" id="{565FEFA8-2431-48E7-823A-7EA8AB732975}"/>
            </a:ext>
          </a:extLst>
        </xdr:cNvPr>
        <xdr:cNvSpPr txBox="1"/>
      </xdr:nvSpPr>
      <xdr:spPr>
        <a:xfrm>
          <a:off x="4032885"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355</xdr:row>
      <xdr:rowOff>0</xdr:rowOff>
    </xdr:from>
    <xdr:ext cx="184731" cy="264560"/>
    <xdr:sp macro="" textlink="">
      <xdr:nvSpPr>
        <xdr:cNvPr id="32" name="TextBox 31">
          <a:extLst>
            <a:ext uri="{FF2B5EF4-FFF2-40B4-BE49-F238E27FC236}">
              <a16:creationId xmlns:a16="http://schemas.microsoft.com/office/drawing/2014/main" id="{0F695B82-0E2B-4361-917A-979CDF891C89}"/>
            </a:ext>
          </a:extLst>
        </xdr:cNvPr>
        <xdr:cNvSpPr txBox="1"/>
      </xdr:nvSpPr>
      <xdr:spPr>
        <a:xfrm>
          <a:off x="522351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33" name="TextBox 32">
          <a:extLst>
            <a:ext uri="{FF2B5EF4-FFF2-40B4-BE49-F238E27FC236}">
              <a16:creationId xmlns:a16="http://schemas.microsoft.com/office/drawing/2014/main" id="{33FD803C-0DBC-4B0C-9346-FC4F4FAB1BBD}"/>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356</xdr:row>
      <xdr:rowOff>0</xdr:rowOff>
    </xdr:from>
    <xdr:ext cx="184731" cy="264560"/>
    <xdr:sp macro="" textlink="">
      <xdr:nvSpPr>
        <xdr:cNvPr id="34" name="TextBox 33">
          <a:extLst>
            <a:ext uri="{FF2B5EF4-FFF2-40B4-BE49-F238E27FC236}">
              <a16:creationId xmlns:a16="http://schemas.microsoft.com/office/drawing/2014/main" id="{D5A75CCA-EEFE-420A-99F7-157B1386B2CC}"/>
            </a:ext>
          </a:extLst>
        </xdr:cNvPr>
        <xdr:cNvSpPr txBox="1"/>
      </xdr:nvSpPr>
      <xdr:spPr>
        <a:xfrm>
          <a:off x="2840355"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356</xdr:row>
      <xdr:rowOff>0</xdr:rowOff>
    </xdr:from>
    <xdr:ext cx="184731" cy="264560"/>
    <xdr:sp macro="" textlink="">
      <xdr:nvSpPr>
        <xdr:cNvPr id="35" name="TextBox 34">
          <a:extLst>
            <a:ext uri="{FF2B5EF4-FFF2-40B4-BE49-F238E27FC236}">
              <a16:creationId xmlns:a16="http://schemas.microsoft.com/office/drawing/2014/main" id="{76B9FD12-18B5-4849-B5DC-434A9E05E9EB}"/>
            </a:ext>
          </a:extLst>
        </xdr:cNvPr>
        <xdr:cNvSpPr txBox="1"/>
      </xdr:nvSpPr>
      <xdr:spPr>
        <a:xfrm>
          <a:off x="4032885"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356</xdr:row>
      <xdr:rowOff>0</xdr:rowOff>
    </xdr:from>
    <xdr:ext cx="184731" cy="264560"/>
    <xdr:sp macro="" textlink="">
      <xdr:nvSpPr>
        <xdr:cNvPr id="36" name="TextBox 35">
          <a:extLst>
            <a:ext uri="{FF2B5EF4-FFF2-40B4-BE49-F238E27FC236}">
              <a16:creationId xmlns:a16="http://schemas.microsoft.com/office/drawing/2014/main" id="{D9E7FAD7-DFA0-4A56-9E3D-2E2003D8BE47}"/>
            </a:ext>
          </a:extLst>
        </xdr:cNvPr>
        <xdr:cNvSpPr txBox="1"/>
      </xdr:nvSpPr>
      <xdr:spPr>
        <a:xfrm>
          <a:off x="522351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357</xdr:row>
      <xdr:rowOff>0</xdr:rowOff>
    </xdr:from>
    <xdr:ext cx="184731" cy="264560"/>
    <xdr:sp macro="" textlink="">
      <xdr:nvSpPr>
        <xdr:cNvPr id="37" name="TextBox 36">
          <a:extLst>
            <a:ext uri="{FF2B5EF4-FFF2-40B4-BE49-F238E27FC236}">
              <a16:creationId xmlns:a16="http://schemas.microsoft.com/office/drawing/2014/main" id="{F654EFE2-7F8E-4C17-8B3A-0B919036EB3B}"/>
            </a:ext>
          </a:extLst>
        </xdr:cNvPr>
        <xdr:cNvSpPr txBox="1"/>
      </xdr:nvSpPr>
      <xdr:spPr>
        <a:xfrm>
          <a:off x="381000"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357</xdr:row>
      <xdr:rowOff>0</xdr:rowOff>
    </xdr:from>
    <xdr:ext cx="184731" cy="264560"/>
    <xdr:sp macro="" textlink="">
      <xdr:nvSpPr>
        <xdr:cNvPr id="38" name="TextBox 37">
          <a:extLst>
            <a:ext uri="{FF2B5EF4-FFF2-40B4-BE49-F238E27FC236}">
              <a16:creationId xmlns:a16="http://schemas.microsoft.com/office/drawing/2014/main" id="{4AE59974-5B79-4C98-8AFD-AB2C72CED2F2}"/>
            </a:ext>
          </a:extLst>
        </xdr:cNvPr>
        <xdr:cNvSpPr txBox="1"/>
      </xdr:nvSpPr>
      <xdr:spPr>
        <a:xfrm>
          <a:off x="2840355"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357</xdr:row>
      <xdr:rowOff>0</xdr:rowOff>
    </xdr:from>
    <xdr:ext cx="184731" cy="264560"/>
    <xdr:sp macro="" textlink="">
      <xdr:nvSpPr>
        <xdr:cNvPr id="39" name="TextBox 38">
          <a:extLst>
            <a:ext uri="{FF2B5EF4-FFF2-40B4-BE49-F238E27FC236}">
              <a16:creationId xmlns:a16="http://schemas.microsoft.com/office/drawing/2014/main" id="{384E2692-E48C-4BDB-A73C-BA2353C27FC9}"/>
            </a:ext>
          </a:extLst>
        </xdr:cNvPr>
        <xdr:cNvSpPr txBox="1"/>
      </xdr:nvSpPr>
      <xdr:spPr>
        <a:xfrm>
          <a:off x="4032885"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357</xdr:row>
      <xdr:rowOff>0</xdr:rowOff>
    </xdr:from>
    <xdr:ext cx="184731" cy="264560"/>
    <xdr:sp macro="" textlink="">
      <xdr:nvSpPr>
        <xdr:cNvPr id="40" name="TextBox 39">
          <a:extLst>
            <a:ext uri="{FF2B5EF4-FFF2-40B4-BE49-F238E27FC236}">
              <a16:creationId xmlns:a16="http://schemas.microsoft.com/office/drawing/2014/main" id="{A6957F5B-15FD-43CA-BF52-DC3E8CEBC89F}"/>
            </a:ext>
          </a:extLst>
        </xdr:cNvPr>
        <xdr:cNvSpPr txBox="1"/>
      </xdr:nvSpPr>
      <xdr:spPr>
        <a:xfrm>
          <a:off x="5223510"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358</xdr:row>
      <xdr:rowOff>0</xdr:rowOff>
    </xdr:from>
    <xdr:ext cx="184731" cy="264560"/>
    <xdr:sp macro="" textlink="">
      <xdr:nvSpPr>
        <xdr:cNvPr id="41" name="TextBox 40">
          <a:extLst>
            <a:ext uri="{FF2B5EF4-FFF2-40B4-BE49-F238E27FC236}">
              <a16:creationId xmlns:a16="http://schemas.microsoft.com/office/drawing/2014/main" id="{4B09B265-42F6-49E4-961F-857200E3B42D}"/>
            </a:ext>
          </a:extLst>
        </xdr:cNvPr>
        <xdr:cNvSpPr txBox="1"/>
      </xdr:nvSpPr>
      <xdr:spPr>
        <a:xfrm>
          <a:off x="381000"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358</xdr:row>
      <xdr:rowOff>0</xdr:rowOff>
    </xdr:from>
    <xdr:ext cx="184731" cy="264560"/>
    <xdr:sp macro="" textlink="">
      <xdr:nvSpPr>
        <xdr:cNvPr id="42" name="TextBox 41">
          <a:extLst>
            <a:ext uri="{FF2B5EF4-FFF2-40B4-BE49-F238E27FC236}">
              <a16:creationId xmlns:a16="http://schemas.microsoft.com/office/drawing/2014/main" id="{4A2ABAC6-DE64-49BE-8AE0-A3848C9D8EA1}"/>
            </a:ext>
          </a:extLst>
        </xdr:cNvPr>
        <xdr:cNvSpPr txBox="1"/>
      </xdr:nvSpPr>
      <xdr:spPr>
        <a:xfrm>
          <a:off x="2840355"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358</xdr:row>
      <xdr:rowOff>0</xdr:rowOff>
    </xdr:from>
    <xdr:ext cx="184731" cy="264560"/>
    <xdr:sp macro="" textlink="">
      <xdr:nvSpPr>
        <xdr:cNvPr id="43" name="TextBox 42">
          <a:extLst>
            <a:ext uri="{FF2B5EF4-FFF2-40B4-BE49-F238E27FC236}">
              <a16:creationId xmlns:a16="http://schemas.microsoft.com/office/drawing/2014/main" id="{E4D80A00-F91D-4EFE-A0F7-D6DABD5A8B16}"/>
            </a:ext>
          </a:extLst>
        </xdr:cNvPr>
        <xdr:cNvSpPr txBox="1"/>
      </xdr:nvSpPr>
      <xdr:spPr>
        <a:xfrm>
          <a:off x="4032885"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358</xdr:row>
      <xdr:rowOff>0</xdr:rowOff>
    </xdr:from>
    <xdr:ext cx="184731" cy="264560"/>
    <xdr:sp macro="" textlink="">
      <xdr:nvSpPr>
        <xdr:cNvPr id="44" name="TextBox 43">
          <a:extLst>
            <a:ext uri="{FF2B5EF4-FFF2-40B4-BE49-F238E27FC236}">
              <a16:creationId xmlns:a16="http://schemas.microsoft.com/office/drawing/2014/main" id="{13282AF7-FA5B-4F9C-A3D5-65402ADBF49F}"/>
            </a:ext>
          </a:extLst>
        </xdr:cNvPr>
        <xdr:cNvSpPr txBox="1"/>
      </xdr:nvSpPr>
      <xdr:spPr>
        <a:xfrm>
          <a:off x="5223510"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359</xdr:row>
      <xdr:rowOff>0</xdr:rowOff>
    </xdr:from>
    <xdr:ext cx="184731" cy="264560"/>
    <xdr:sp macro="" textlink="">
      <xdr:nvSpPr>
        <xdr:cNvPr id="45" name="TextBox 44">
          <a:extLst>
            <a:ext uri="{FF2B5EF4-FFF2-40B4-BE49-F238E27FC236}">
              <a16:creationId xmlns:a16="http://schemas.microsoft.com/office/drawing/2014/main" id="{C4A7DBE2-9298-4D18-8AFC-9DE6589D5528}"/>
            </a:ext>
          </a:extLst>
        </xdr:cNvPr>
        <xdr:cNvSpPr txBox="1"/>
      </xdr:nvSpPr>
      <xdr:spPr>
        <a:xfrm>
          <a:off x="381000"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359</xdr:row>
      <xdr:rowOff>0</xdr:rowOff>
    </xdr:from>
    <xdr:ext cx="184731" cy="264560"/>
    <xdr:sp macro="" textlink="">
      <xdr:nvSpPr>
        <xdr:cNvPr id="46" name="TextBox 45">
          <a:extLst>
            <a:ext uri="{FF2B5EF4-FFF2-40B4-BE49-F238E27FC236}">
              <a16:creationId xmlns:a16="http://schemas.microsoft.com/office/drawing/2014/main" id="{D0A7C762-F574-4684-A1A7-F353E1C56F37}"/>
            </a:ext>
          </a:extLst>
        </xdr:cNvPr>
        <xdr:cNvSpPr txBox="1"/>
      </xdr:nvSpPr>
      <xdr:spPr>
        <a:xfrm>
          <a:off x="2840355"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359</xdr:row>
      <xdr:rowOff>0</xdr:rowOff>
    </xdr:from>
    <xdr:ext cx="184731" cy="264560"/>
    <xdr:sp macro="" textlink="">
      <xdr:nvSpPr>
        <xdr:cNvPr id="47" name="TextBox 46">
          <a:extLst>
            <a:ext uri="{FF2B5EF4-FFF2-40B4-BE49-F238E27FC236}">
              <a16:creationId xmlns:a16="http://schemas.microsoft.com/office/drawing/2014/main" id="{79968359-6BCE-4A42-B445-5DF71655A42F}"/>
            </a:ext>
          </a:extLst>
        </xdr:cNvPr>
        <xdr:cNvSpPr txBox="1"/>
      </xdr:nvSpPr>
      <xdr:spPr>
        <a:xfrm>
          <a:off x="4032885"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359</xdr:row>
      <xdr:rowOff>0</xdr:rowOff>
    </xdr:from>
    <xdr:ext cx="184731" cy="264560"/>
    <xdr:sp macro="" textlink="">
      <xdr:nvSpPr>
        <xdr:cNvPr id="48" name="TextBox 47">
          <a:extLst>
            <a:ext uri="{FF2B5EF4-FFF2-40B4-BE49-F238E27FC236}">
              <a16:creationId xmlns:a16="http://schemas.microsoft.com/office/drawing/2014/main" id="{062509B2-E65B-4168-AAF3-9C0441D720BB}"/>
            </a:ext>
          </a:extLst>
        </xdr:cNvPr>
        <xdr:cNvSpPr txBox="1"/>
      </xdr:nvSpPr>
      <xdr:spPr>
        <a:xfrm>
          <a:off x="5223510"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360</xdr:row>
      <xdr:rowOff>0</xdr:rowOff>
    </xdr:from>
    <xdr:ext cx="184731" cy="264560"/>
    <xdr:sp macro="" textlink="">
      <xdr:nvSpPr>
        <xdr:cNvPr id="49" name="TextBox 48">
          <a:extLst>
            <a:ext uri="{FF2B5EF4-FFF2-40B4-BE49-F238E27FC236}">
              <a16:creationId xmlns:a16="http://schemas.microsoft.com/office/drawing/2014/main" id="{235E83AF-C944-4CB8-9822-A44C20A71A26}"/>
            </a:ext>
          </a:extLst>
        </xdr:cNvPr>
        <xdr:cNvSpPr txBox="1"/>
      </xdr:nvSpPr>
      <xdr:spPr>
        <a:xfrm>
          <a:off x="381000"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360</xdr:row>
      <xdr:rowOff>0</xdr:rowOff>
    </xdr:from>
    <xdr:ext cx="184731" cy="264560"/>
    <xdr:sp macro="" textlink="">
      <xdr:nvSpPr>
        <xdr:cNvPr id="50" name="TextBox 49">
          <a:extLst>
            <a:ext uri="{FF2B5EF4-FFF2-40B4-BE49-F238E27FC236}">
              <a16:creationId xmlns:a16="http://schemas.microsoft.com/office/drawing/2014/main" id="{EB9067DD-8D74-4A7E-9BCB-F4885E1A0833}"/>
            </a:ext>
          </a:extLst>
        </xdr:cNvPr>
        <xdr:cNvSpPr txBox="1"/>
      </xdr:nvSpPr>
      <xdr:spPr>
        <a:xfrm>
          <a:off x="2840355"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360</xdr:row>
      <xdr:rowOff>0</xdr:rowOff>
    </xdr:from>
    <xdr:ext cx="184731" cy="264560"/>
    <xdr:sp macro="" textlink="">
      <xdr:nvSpPr>
        <xdr:cNvPr id="51" name="TextBox 50">
          <a:extLst>
            <a:ext uri="{FF2B5EF4-FFF2-40B4-BE49-F238E27FC236}">
              <a16:creationId xmlns:a16="http://schemas.microsoft.com/office/drawing/2014/main" id="{DD41B956-8DA1-43D7-85A6-3E524BE2DA01}"/>
            </a:ext>
          </a:extLst>
        </xdr:cNvPr>
        <xdr:cNvSpPr txBox="1"/>
      </xdr:nvSpPr>
      <xdr:spPr>
        <a:xfrm>
          <a:off x="4032885"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360</xdr:row>
      <xdr:rowOff>0</xdr:rowOff>
    </xdr:from>
    <xdr:ext cx="184731" cy="264560"/>
    <xdr:sp macro="" textlink="">
      <xdr:nvSpPr>
        <xdr:cNvPr id="52" name="TextBox 51">
          <a:extLst>
            <a:ext uri="{FF2B5EF4-FFF2-40B4-BE49-F238E27FC236}">
              <a16:creationId xmlns:a16="http://schemas.microsoft.com/office/drawing/2014/main" id="{C45E99C6-08BC-4970-81C8-4B689392CBD9}"/>
            </a:ext>
          </a:extLst>
        </xdr:cNvPr>
        <xdr:cNvSpPr txBox="1"/>
      </xdr:nvSpPr>
      <xdr:spPr>
        <a:xfrm>
          <a:off x="5223510"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358</xdr:row>
      <xdr:rowOff>95250</xdr:rowOff>
    </xdr:from>
    <xdr:ext cx="184731" cy="264560"/>
    <xdr:sp macro="" textlink="">
      <xdr:nvSpPr>
        <xdr:cNvPr id="53" name="TextBox 52">
          <a:extLst>
            <a:ext uri="{FF2B5EF4-FFF2-40B4-BE49-F238E27FC236}">
              <a16:creationId xmlns:a16="http://schemas.microsoft.com/office/drawing/2014/main" id="{C02DE3EC-E911-4F53-84AB-F202CE830B44}"/>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95250</xdr:rowOff>
    </xdr:from>
    <xdr:ext cx="184731" cy="264560"/>
    <xdr:sp macro="" textlink="">
      <xdr:nvSpPr>
        <xdr:cNvPr id="54" name="TextBox 53">
          <a:extLst>
            <a:ext uri="{FF2B5EF4-FFF2-40B4-BE49-F238E27FC236}">
              <a16:creationId xmlns:a16="http://schemas.microsoft.com/office/drawing/2014/main" id="{C7E0015F-1CB8-42FF-AB9D-CB0A71690476}"/>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358</xdr:row>
      <xdr:rowOff>95250</xdr:rowOff>
    </xdr:from>
    <xdr:ext cx="184731" cy="264560"/>
    <xdr:sp macro="" textlink="">
      <xdr:nvSpPr>
        <xdr:cNvPr id="55" name="TextBox 54">
          <a:extLst>
            <a:ext uri="{FF2B5EF4-FFF2-40B4-BE49-F238E27FC236}">
              <a16:creationId xmlns:a16="http://schemas.microsoft.com/office/drawing/2014/main" id="{B7CD3DD4-3417-478D-9E17-9E8B0DF1AEA9}"/>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351</xdr:row>
      <xdr:rowOff>0</xdr:rowOff>
    </xdr:from>
    <xdr:ext cx="192763" cy="264560"/>
    <xdr:sp macro="" textlink="">
      <xdr:nvSpPr>
        <xdr:cNvPr id="56" name="TextBox 55">
          <a:extLst>
            <a:ext uri="{FF2B5EF4-FFF2-40B4-BE49-F238E27FC236}">
              <a16:creationId xmlns:a16="http://schemas.microsoft.com/office/drawing/2014/main" id="{BA73D7DF-56BA-4B7B-8E9B-E39AC2DEC511}"/>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352</xdr:row>
      <xdr:rowOff>0</xdr:rowOff>
    </xdr:from>
    <xdr:ext cx="192763" cy="264560"/>
    <xdr:sp macro="" textlink="">
      <xdr:nvSpPr>
        <xdr:cNvPr id="57" name="TextBox 56">
          <a:extLst>
            <a:ext uri="{FF2B5EF4-FFF2-40B4-BE49-F238E27FC236}">
              <a16:creationId xmlns:a16="http://schemas.microsoft.com/office/drawing/2014/main" id="{5FBE9D2C-8EC2-456C-BA46-57482DECE56D}"/>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353</xdr:row>
      <xdr:rowOff>0</xdr:rowOff>
    </xdr:from>
    <xdr:ext cx="192763" cy="303466"/>
    <xdr:sp macro="" textlink="">
      <xdr:nvSpPr>
        <xdr:cNvPr id="58" name="TextBox 57">
          <a:extLst>
            <a:ext uri="{FF2B5EF4-FFF2-40B4-BE49-F238E27FC236}">
              <a16:creationId xmlns:a16="http://schemas.microsoft.com/office/drawing/2014/main" id="{409122A3-E77B-4419-BA85-47CC4FE916B4}"/>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354</xdr:row>
      <xdr:rowOff>0</xdr:rowOff>
    </xdr:from>
    <xdr:ext cx="192763" cy="264560"/>
    <xdr:sp macro="" textlink="">
      <xdr:nvSpPr>
        <xdr:cNvPr id="59" name="TextBox 58">
          <a:extLst>
            <a:ext uri="{FF2B5EF4-FFF2-40B4-BE49-F238E27FC236}">
              <a16:creationId xmlns:a16="http://schemas.microsoft.com/office/drawing/2014/main" id="{45A4975F-726F-4C59-8F61-04721CDB24F5}"/>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354</xdr:row>
      <xdr:rowOff>0</xdr:rowOff>
    </xdr:from>
    <xdr:ext cx="192763" cy="264560"/>
    <xdr:sp macro="" textlink="">
      <xdr:nvSpPr>
        <xdr:cNvPr id="60" name="TextBox 59">
          <a:extLst>
            <a:ext uri="{FF2B5EF4-FFF2-40B4-BE49-F238E27FC236}">
              <a16:creationId xmlns:a16="http://schemas.microsoft.com/office/drawing/2014/main" id="{11496412-3370-4C6B-B9C2-C879A3857117}"/>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355</xdr:row>
      <xdr:rowOff>0</xdr:rowOff>
    </xdr:from>
    <xdr:ext cx="192763" cy="264560"/>
    <xdr:sp macro="" textlink="">
      <xdr:nvSpPr>
        <xdr:cNvPr id="61" name="TextBox 60">
          <a:extLst>
            <a:ext uri="{FF2B5EF4-FFF2-40B4-BE49-F238E27FC236}">
              <a16:creationId xmlns:a16="http://schemas.microsoft.com/office/drawing/2014/main" id="{355148E2-5B0A-421D-BDD8-F84F72EF4084}"/>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355</xdr:row>
      <xdr:rowOff>0</xdr:rowOff>
    </xdr:from>
    <xdr:ext cx="192763" cy="264560"/>
    <xdr:sp macro="" textlink="">
      <xdr:nvSpPr>
        <xdr:cNvPr id="62" name="TextBox 61">
          <a:extLst>
            <a:ext uri="{FF2B5EF4-FFF2-40B4-BE49-F238E27FC236}">
              <a16:creationId xmlns:a16="http://schemas.microsoft.com/office/drawing/2014/main" id="{8A38D4A0-66B7-454B-A75E-E357ADCD19D6}"/>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356</xdr:row>
      <xdr:rowOff>0</xdr:rowOff>
    </xdr:from>
    <xdr:ext cx="192763" cy="264560"/>
    <xdr:sp macro="" textlink="">
      <xdr:nvSpPr>
        <xdr:cNvPr id="63" name="TextBox 62">
          <a:extLst>
            <a:ext uri="{FF2B5EF4-FFF2-40B4-BE49-F238E27FC236}">
              <a16:creationId xmlns:a16="http://schemas.microsoft.com/office/drawing/2014/main" id="{D492CC27-AB92-4268-8E84-96CB6FEFE910}"/>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356</xdr:row>
      <xdr:rowOff>0</xdr:rowOff>
    </xdr:from>
    <xdr:ext cx="192763" cy="264560"/>
    <xdr:sp macro="" textlink="">
      <xdr:nvSpPr>
        <xdr:cNvPr id="64" name="TextBox 63">
          <a:extLst>
            <a:ext uri="{FF2B5EF4-FFF2-40B4-BE49-F238E27FC236}">
              <a16:creationId xmlns:a16="http://schemas.microsoft.com/office/drawing/2014/main" id="{B6371DB3-B7A3-442C-9495-E7F23FB75FF4}"/>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357</xdr:row>
      <xdr:rowOff>0</xdr:rowOff>
    </xdr:from>
    <xdr:ext cx="192763" cy="264560"/>
    <xdr:sp macro="" textlink="">
      <xdr:nvSpPr>
        <xdr:cNvPr id="65" name="TextBox 64">
          <a:extLst>
            <a:ext uri="{FF2B5EF4-FFF2-40B4-BE49-F238E27FC236}">
              <a16:creationId xmlns:a16="http://schemas.microsoft.com/office/drawing/2014/main" id="{68D879B8-5718-4759-889F-96E51E5EB02E}"/>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357</xdr:row>
      <xdr:rowOff>0</xdr:rowOff>
    </xdr:from>
    <xdr:ext cx="192763" cy="264560"/>
    <xdr:sp macro="" textlink="">
      <xdr:nvSpPr>
        <xdr:cNvPr id="66" name="TextBox 65">
          <a:extLst>
            <a:ext uri="{FF2B5EF4-FFF2-40B4-BE49-F238E27FC236}">
              <a16:creationId xmlns:a16="http://schemas.microsoft.com/office/drawing/2014/main" id="{5D4E1489-CC03-46ED-8692-2FD51A6E1251}"/>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358</xdr:row>
      <xdr:rowOff>0</xdr:rowOff>
    </xdr:from>
    <xdr:ext cx="192763" cy="264560"/>
    <xdr:sp macro="" textlink="">
      <xdr:nvSpPr>
        <xdr:cNvPr id="67" name="TextBox 66">
          <a:extLst>
            <a:ext uri="{FF2B5EF4-FFF2-40B4-BE49-F238E27FC236}">
              <a16:creationId xmlns:a16="http://schemas.microsoft.com/office/drawing/2014/main" id="{8C5CDA2D-A359-4A00-8926-29075D48E94C}"/>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358</xdr:row>
      <xdr:rowOff>0</xdr:rowOff>
    </xdr:from>
    <xdr:ext cx="192763" cy="264560"/>
    <xdr:sp macro="" textlink="">
      <xdr:nvSpPr>
        <xdr:cNvPr id="68" name="TextBox 67">
          <a:extLst>
            <a:ext uri="{FF2B5EF4-FFF2-40B4-BE49-F238E27FC236}">
              <a16:creationId xmlns:a16="http://schemas.microsoft.com/office/drawing/2014/main" id="{FB8078A5-6774-41CE-8110-E2CDF4230242}"/>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351</xdr:row>
      <xdr:rowOff>0</xdr:rowOff>
    </xdr:from>
    <xdr:ext cx="184731" cy="264560"/>
    <xdr:sp macro="" textlink="">
      <xdr:nvSpPr>
        <xdr:cNvPr id="69" name="TextBox 68">
          <a:extLst>
            <a:ext uri="{FF2B5EF4-FFF2-40B4-BE49-F238E27FC236}">
              <a16:creationId xmlns:a16="http://schemas.microsoft.com/office/drawing/2014/main" id="{9FE1F24A-9E37-4670-8968-520F3003EFB3}"/>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352</xdr:row>
      <xdr:rowOff>0</xdr:rowOff>
    </xdr:from>
    <xdr:ext cx="184731" cy="264560"/>
    <xdr:sp macro="" textlink="">
      <xdr:nvSpPr>
        <xdr:cNvPr id="70" name="TextBox 69">
          <a:extLst>
            <a:ext uri="{FF2B5EF4-FFF2-40B4-BE49-F238E27FC236}">
              <a16:creationId xmlns:a16="http://schemas.microsoft.com/office/drawing/2014/main" id="{057C624C-6534-44EC-A95C-EFA5C1711D25}"/>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353</xdr:row>
      <xdr:rowOff>0</xdr:rowOff>
    </xdr:from>
    <xdr:ext cx="184731" cy="303466"/>
    <xdr:sp macro="" textlink="">
      <xdr:nvSpPr>
        <xdr:cNvPr id="71" name="TextBox 70">
          <a:extLst>
            <a:ext uri="{FF2B5EF4-FFF2-40B4-BE49-F238E27FC236}">
              <a16:creationId xmlns:a16="http://schemas.microsoft.com/office/drawing/2014/main" id="{D27B06CF-940B-4FB2-89DF-DC5A10BF4A86}"/>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354</xdr:row>
      <xdr:rowOff>0</xdr:rowOff>
    </xdr:from>
    <xdr:ext cx="184731" cy="264560"/>
    <xdr:sp macro="" textlink="">
      <xdr:nvSpPr>
        <xdr:cNvPr id="72" name="TextBox 71">
          <a:extLst>
            <a:ext uri="{FF2B5EF4-FFF2-40B4-BE49-F238E27FC236}">
              <a16:creationId xmlns:a16="http://schemas.microsoft.com/office/drawing/2014/main" id="{8496FFF3-0DBB-440C-8168-EDEE9B98F722}"/>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354</xdr:row>
      <xdr:rowOff>0</xdr:rowOff>
    </xdr:from>
    <xdr:ext cx="184731" cy="264560"/>
    <xdr:sp macro="" textlink="">
      <xdr:nvSpPr>
        <xdr:cNvPr id="73" name="TextBox 72">
          <a:extLst>
            <a:ext uri="{FF2B5EF4-FFF2-40B4-BE49-F238E27FC236}">
              <a16:creationId xmlns:a16="http://schemas.microsoft.com/office/drawing/2014/main" id="{90DB4ADF-8FCA-4582-AA02-A8AE20F4CD93}"/>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355</xdr:row>
      <xdr:rowOff>0</xdr:rowOff>
    </xdr:from>
    <xdr:ext cx="184731" cy="264560"/>
    <xdr:sp macro="" textlink="">
      <xdr:nvSpPr>
        <xdr:cNvPr id="74" name="TextBox 73">
          <a:extLst>
            <a:ext uri="{FF2B5EF4-FFF2-40B4-BE49-F238E27FC236}">
              <a16:creationId xmlns:a16="http://schemas.microsoft.com/office/drawing/2014/main" id="{5E850E94-4D0A-478F-B725-D77F52E1D3D5}"/>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355</xdr:row>
      <xdr:rowOff>0</xdr:rowOff>
    </xdr:from>
    <xdr:ext cx="184731" cy="264560"/>
    <xdr:sp macro="" textlink="">
      <xdr:nvSpPr>
        <xdr:cNvPr id="75" name="TextBox 74">
          <a:extLst>
            <a:ext uri="{FF2B5EF4-FFF2-40B4-BE49-F238E27FC236}">
              <a16:creationId xmlns:a16="http://schemas.microsoft.com/office/drawing/2014/main" id="{529C6880-E711-491F-97DC-382D58C509DE}"/>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356</xdr:row>
      <xdr:rowOff>0</xdr:rowOff>
    </xdr:from>
    <xdr:ext cx="184731" cy="264560"/>
    <xdr:sp macro="" textlink="">
      <xdr:nvSpPr>
        <xdr:cNvPr id="76" name="TextBox 75">
          <a:extLst>
            <a:ext uri="{FF2B5EF4-FFF2-40B4-BE49-F238E27FC236}">
              <a16:creationId xmlns:a16="http://schemas.microsoft.com/office/drawing/2014/main" id="{698464B2-C1C8-40A5-8AE7-584427B35841}"/>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356</xdr:row>
      <xdr:rowOff>0</xdr:rowOff>
    </xdr:from>
    <xdr:ext cx="184731" cy="264560"/>
    <xdr:sp macro="" textlink="">
      <xdr:nvSpPr>
        <xdr:cNvPr id="77" name="TextBox 76">
          <a:extLst>
            <a:ext uri="{FF2B5EF4-FFF2-40B4-BE49-F238E27FC236}">
              <a16:creationId xmlns:a16="http://schemas.microsoft.com/office/drawing/2014/main" id="{EF029898-3D90-4466-A958-66CD209E7626}"/>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357</xdr:row>
      <xdr:rowOff>0</xdr:rowOff>
    </xdr:from>
    <xdr:ext cx="184731" cy="264560"/>
    <xdr:sp macro="" textlink="">
      <xdr:nvSpPr>
        <xdr:cNvPr id="78" name="TextBox 77">
          <a:extLst>
            <a:ext uri="{FF2B5EF4-FFF2-40B4-BE49-F238E27FC236}">
              <a16:creationId xmlns:a16="http://schemas.microsoft.com/office/drawing/2014/main" id="{1D4F506B-C638-4D1A-B33D-976BAB9DFA01}"/>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357</xdr:row>
      <xdr:rowOff>0</xdr:rowOff>
    </xdr:from>
    <xdr:ext cx="184731" cy="264560"/>
    <xdr:sp macro="" textlink="">
      <xdr:nvSpPr>
        <xdr:cNvPr id="79" name="TextBox 78">
          <a:extLst>
            <a:ext uri="{FF2B5EF4-FFF2-40B4-BE49-F238E27FC236}">
              <a16:creationId xmlns:a16="http://schemas.microsoft.com/office/drawing/2014/main" id="{FC1D0530-7A5F-48FF-919B-69FAA4272884}"/>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0</xdr:rowOff>
    </xdr:from>
    <xdr:ext cx="184731" cy="264560"/>
    <xdr:sp macro="" textlink="">
      <xdr:nvSpPr>
        <xdr:cNvPr id="80" name="TextBox 79">
          <a:extLst>
            <a:ext uri="{FF2B5EF4-FFF2-40B4-BE49-F238E27FC236}">
              <a16:creationId xmlns:a16="http://schemas.microsoft.com/office/drawing/2014/main" id="{88E346C6-E4C0-45AC-8E43-FC448689E7C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0</xdr:rowOff>
    </xdr:from>
    <xdr:ext cx="184731" cy="264560"/>
    <xdr:sp macro="" textlink="">
      <xdr:nvSpPr>
        <xdr:cNvPr id="81" name="TextBox 80">
          <a:extLst>
            <a:ext uri="{FF2B5EF4-FFF2-40B4-BE49-F238E27FC236}">
              <a16:creationId xmlns:a16="http://schemas.microsoft.com/office/drawing/2014/main" id="{62F0A863-0429-4B78-9C11-C8819276496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351</xdr:row>
      <xdr:rowOff>0</xdr:rowOff>
    </xdr:from>
    <xdr:ext cx="184731" cy="264560"/>
    <xdr:sp macro="" textlink="">
      <xdr:nvSpPr>
        <xdr:cNvPr id="82" name="TextBox 81">
          <a:extLst>
            <a:ext uri="{FF2B5EF4-FFF2-40B4-BE49-F238E27FC236}">
              <a16:creationId xmlns:a16="http://schemas.microsoft.com/office/drawing/2014/main" id="{E0C5498A-0A49-4B15-B8AF-5B2745EDF462}"/>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352</xdr:row>
      <xdr:rowOff>0</xdr:rowOff>
    </xdr:from>
    <xdr:ext cx="184731" cy="264560"/>
    <xdr:sp macro="" textlink="">
      <xdr:nvSpPr>
        <xdr:cNvPr id="83" name="TextBox 82">
          <a:extLst>
            <a:ext uri="{FF2B5EF4-FFF2-40B4-BE49-F238E27FC236}">
              <a16:creationId xmlns:a16="http://schemas.microsoft.com/office/drawing/2014/main" id="{C2EAA875-FA28-4732-A52E-8C2F1F6C292D}"/>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353</xdr:row>
      <xdr:rowOff>0</xdr:rowOff>
    </xdr:from>
    <xdr:ext cx="184731" cy="303466"/>
    <xdr:sp macro="" textlink="">
      <xdr:nvSpPr>
        <xdr:cNvPr id="84" name="TextBox 83">
          <a:extLst>
            <a:ext uri="{FF2B5EF4-FFF2-40B4-BE49-F238E27FC236}">
              <a16:creationId xmlns:a16="http://schemas.microsoft.com/office/drawing/2014/main" id="{8B67D9C0-C534-4BBA-B86F-61B6E1956672}"/>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354</xdr:row>
      <xdr:rowOff>0</xdr:rowOff>
    </xdr:from>
    <xdr:ext cx="184731" cy="264560"/>
    <xdr:sp macro="" textlink="">
      <xdr:nvSpPr>
        <xdr:cNvPr id="85" name="TextBox 84">
          <a:extLst>
            <a:ext uri="{FF2B5EF4-FFF2-40B4-BE49-F238E27FC236}">
              <a16:creationId xmlns:a16="http://schemas.microsoft.com/office/drawing/2014/main" id="{0342FC6A-22BE-47F4-A675-B81599734B64}"/>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354</xdr:row>
      <xdr:rowOff>0</xdr:rowOff>
    </xdr:from>
    <xdr:ext cx="184731" cy="264560"/>
    <xdr:sp macro="" textlink="">
      <xdr:nvSpPr>
        <xdr:cNvPr id="86" name="TextBox 85">
          <a:extLst>
            <a:ext uri="{FF2B5EF4-FFF2-40B4-BE49-F238E27FC236}">
              <a16:creationId xmlns:a16="http://schemas.microsoft.com/office/drawing/2014/main" id="{DF12DD1F-FC77-4487-A71F-CBA490CCAD86}"/>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355</xdr:row>
      <xdr:rowOff>0</xdr:rowOff>
    </xdr:from>
    <xdr:ext cx="184731" cy="264560"/>
    <xdr:sp macro="" textlink="">
      <xdr:nvSpPr>
        <xdr:cNvPr id="87" name="TextBox 86">
          <a:extLst>
            <a:ext uri="{FF2B5EF4-FFF2-40B4-BE49-F238E27FC236}">
              <a16:creationId xmlns:a16="http://schemas.microsoft.com/office/drawing/2014/main" id="{C91E6194-4AF0-446A-A147-703CA110485C}"/>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355</xdr:row>
      <xdr:rowOff>0</xdr:rowOff>
    </xdr:from>
    <xdr:ext cx="184731" cy="264560"/>
    <xdr:sp macro="" textlink="">
      <xdr:nvSpPr>
        <xdr:cNvPr id="88" name="TextBox 87">
          <a:extLst>
            <a:ext uri="{FF2B5EF4-FFF2-40B4-BE49-F238E27FC236}">
              <a16:creationId xmlns:a16="http://schemas.microsoft.com/office/drawing/2014/main" id="{DABBACC1-E874-46FE-B570-13584FCC560F}"/>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356</xdr:row>
      <xdr:rowOff>0</xdr:rowOff>
    </xdr:from>
    <xdr:ext cx="184731" cy="264560"/>
    <xdr:sp macro="" textlink="">
      <xdr:nvSpPr>
        <xdr:cNvPr id="89" name="TextBox 88">
          <a:extLst>
            <a:ext uri="{FF2B5EF4-FFF2-40B4-BE49-F238E27FC236}">
              <a16:creationId xmlns:a16="http://schemas.microsoft.com/office/drawing/2014/main" id="{808B0A1B-D968-4A17-9336-918928FEB079}"/>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356</xdr:row>
      <xdr:rowOff>0</xdr:rowOff>
    </xdr:from>
    <xdr:ext cx="184731" cy="264560"/>
    <xdr:sp macro="" textlink="">
      <xdr:nvSpPr>
        <xdr:cNvPr id="90" name="TextBox 89">
          <a:extLst>
            <a:ext uri="{FF2B5EF4-FFF2-40B4-BE49-F238E27FC236}">
              <a16:creationId xmlns:a16="http://schemas.microsoft.com/office/drawing/2014/main" id="{D5F5038D-6574-4FF1-A662-865BC9383ABE}"/>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357</xdr:row>
      <xdr:rowOff>0</xdr:rowOff>
    </xdr:from>
    <xdr:ext cx="184731" cy="264560"/>
    <xdr:sp macro="" textlink="">
      <xdr:nvSpPr>
        <xdr:cNvPr id="91" name="TextBox 90">
          <a:extLst>
            <a:ext uri="{FF2B5EF4-FFF2-40B4-BE49-F238E27FC236}">
              <a16:creationId xmlns:a16="http://schemas.microsoft.com/office/drawing/2014/main" id="{B75A9E9E-CA8B-48B3-8A67-8083DD04C25C}"/>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357</xdr:row>
      <xdr:rowOff>0</xdr:rowOff>
    </xdr:from>
    <xdr:ext cx="184731" cy="264560"/>
    <xdr:sp macro="" textlink="">
      <xdr:nvSpPr>
        <xdr:cNvPr id="92" name="TextBox 91">
          <a:extLst>
            <a:ext uri="{FF2B5EF4-FFF2-40B4-BE49-F238E27FC236}">
              <a16:creationId xmlns:a16="http://schemas.microsoft.com/office/drawing/2014/main" id="{6D3064C6-5155-4F91-B66C-F0DAC75A7791}"/>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358</xdr:row>
      <xdr:rowOff>0</xdr:rowOff>
    </xdr:from>
    <xdr:ext cx="184731" cy="264560"/>
    <xdr:sp macro="" textlink="">
      <xdr:nvSpPr>
        <xdr:cNvPr id="93" name="TextBox 92">
          <a:extLst>
            <a:ext uri="{FF2B5EF4-FFF2-40B4-BE49-F238E27FC236}">
              <a16:creationId xmlns:a16="http://schemas.microsoft.com/office/drawing/2014/main" id="{050461CE-7D4E-46CC-BCBC-92C81BD57BBB}"/>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358</xdr:row>
      <xdr:rowOff>0</xdr:rowOff>
    </xdr:from>
    <xdr:ext cx="184731" cy="264560"/>
    <xdr:sp macro="" textlink="">
      <xdr:nvSpPr>
        <xdr:cNvPr id="94" name="TextBox 93">
          <a:extLst>
            <a:ext uri="{FF2B5EF4-FFF2-40B4-BE49-F238E27FC236}">
              <a16:creationId xmlns:a16="http://schemas.microsoft.com/office/drawing/2014/main" id="{83978E90-6CF8-46D6-8DFB-0EE433577E36}"/>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351</xdr:row>
      <xdr:rowOff>0</xdr:rowOff>
    </xdr:from>
    <xdr:ext cx="192763" cy="264560"/>
    <xdr:sp macro="" textlink="">
      <xdr:nvSpPr>
        <xdr:cNvPr id="95" name="TextBox 94">
          <a:extLst>
            <a:ext uri="{FF2B5EF4-FFF2-40B4-BE49-F238E27FC236}">
              <a16:creationId xmlns:a16="http://schemas.microsoft.com/office/drawing/2014/main" id="{121A490F-2B74-418D-8561-73BD25689C14}"/>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351</xdr:row>
      <xdr:rowOff>0</xdr:rowOff>
    </xdr:from>
    <xdr:ext cx="192763" cy="264560"/>
    <xdr:sp macro="" textlink="">
      <xdr:nvSpPr>
        <xdr:cNvPr id="96" name="TextBox 95">
          <a:extLst>
            <a:ext uri="{FF2B5EF4-FFF2-40B4-BE49-F238E27FC236}">
              <a16:creationId xmlns:a16="http://schemas.microsoft.com/office/drawing/2014/main" id="{322FF7B6-7CA2-4D82-AF63-B1A476A61CAA}"/>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351</xdr:row>
      <xdr:rowOff>0</xdr:rowOff>
    </xdr:from>
    <xdr:ext cx="192763" cy="264560"/>
    <xdr:sp macro="" textlink="">
      <xdr:nvSpPr>
        <xdr:cNvPr id="97" name="TextBox 96">
          <a:extLst>
            <a:ext uri="{FF2B5EF4-FFF2-40B4-BE49-F238E27FC236}">
              <a16:creationId xmlns:a16="http://schemas.microsoft.com/office/drawing/2014/main" id="{9DC0E6C8-610F-4D53-8700-71A0B7D33BB4}"/>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352</xdr:row>
      <xdr:rowOff>0</xdr:rowOff>
    </xdr:from>
    <xdr:ext cx="183125" cy="264560"/>
    <xdr:sp macro="" textlink="">
      <xdr:nvSpPr>
        <xdr:cNvPr id="98" name="TextBox 97">
          <a:extLst>
            <a:ext uri="{FF2B5EF4-FFF2-40B4-BE49-F238E27FC236}">
              <a16:creationId xmlns:a16="http://schemas.microsoft.com/office/drawing/2014/main" id="{A2F4BD7A-B838-4FB1-8820-683F8DD09466}"/>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352</xdr:row>
      <xdr:rowOff>0</xdr:rowOff>
    </xdr:from>
    <xdr:ext cx="184731" cy="271710"/>
    <xdr:sp macro="" textlink="">
      <xdr:nvSpPr>
        <xdr:cNvPr id="99" name="TextBox 98">
          <a:extLst>
            <a:ext uri="{FF2B5EF4-FFF2-40B4-BE49-F238E27FC236}">
              <a16:creationId xmlns:a16="http://schemas.microsoft.com/office/drawing/2014/main" id="{EDFED433-9E52-459F-A496-7CC553896B58}"/>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3139440</xdr:colOff>
      <xdr:row>68</xdr:row>
      <xdr:rowOff>0</xdr:rowOff>
    </xdr:from>
    <xdr:ext cx="192763" cy="264560"/>
    <xdr:sp macro="" textlink="">
      <xdr:nvSpPr>
        <xdr:cNvPr id="2" name="TextBox 1">
          <a:extLst>
            <a:ext uri="{FF2B5EF4-FFF2-40B4-BE49-F238E27FC236}">
              <a16:creationId xmlns:a16="http://schemas.microsoft.com/office/drawing/2014/main" id="{478653EF-3C30-42D5-ABFD-2FA24EFCA767}"/>
            </a:ext>
          </a:extLst>
        </xdr:cNvPr>
        <xdr:cNvSpPr txBox="1"/>
      </xdr:nvSpPr>
      <xdr:spPr>
        <a:xfrm>
          <a:off x="3510915"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3" name="TextBox 2">
          <a:extLst>
            <a:ext uri="{FF2B5EF4-FFF2-40B4-BE49-F238E27FC236}">
              <a16:creationId xmlns:a16="http://schemas.microsoft.com/office/drawing/2014/main" id="{7C621D2E-6679-4D4F-A1FE-18472A3EB6DD}"/>
            </a:ext>
          </a:extLst>
        </xdr:cNvPr>
        <xdr:cNvSpPr txBox="1"/>
      </xdr:nvSpPr>
      <xdr:spPr>
        <a:xfrm>
          <a:off x="3510915" y="1133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303466"/>
    <xdr:sp macro="" textlink="">
      <xdr:nvSpPr>
        <xdr:cNvPr id="4" name="TextBox 3">
          <a:extLst>
            <a:ext uri="{FF2B5EF4-FFF2-40B4-BE49-F238E27FC236}">
              <a16:creationId xmlns:a16="http://schemas.microsoft.com/office/drawing/2014/main" id="{0196F858-4920-4265-9C16-A40AAEBFCA7E}"/>
            </a:ext>
          </a:extLst>
        </xdr:cNvPr>
        <xdr:cNvSpPr txBox="1"/>
      </xdr:nvSpPr>
      <xdr:spPr>
        <a:xfrm>
          <a:off x="3510915" y="114966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 name="TextBox 4">
          <a:extLst>
            <a:ext uri="{FF2B5EF4-FFF2-40B4-BE49-F238E27FC236}">
              <a16:creationId xmlns:a16="http://schemas.microsoft.com/office/drawing/2014/main" id="{FE5FC503-6DBB-41AE-BB90-9722EE0D4ADB}"/>
            </a:ext>
          </a:extLst>
        </xdr:cNvPr>
        <xdr:cNvSpPr txBox="1"/>
      </xdr:nvSpPr>
      <xdr:spPr>
        <a:xfrm>
          <a:off x="3510915" y="11658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6" name="TextBox 5">
          <a:extLst>
            <a:ext uri="{FF2B5EF4-FFF2-40B4-BE49-F238E27FC236}">
              <a16:creationId xmlns:a16="http://schemas.microsoft.com/office/drawing/2014/main" id="{722368F8-0591-452E-ACEC-2E96E0759DE6}"/>
            </a:ext>
          </a:extLst>
        </xdr:cNvPr>
        <xdr:cNvSpPr txBox="1"/>
      </xdr:nvSpPr>
      <xdr:spPr>
        <a:xfrm>
          <a:off x="3510915" y="11658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7" name="TextBox 6">
          <a:extLst>
            <a:ext uri="{FF2B5EF4-FFF2-40B4-BE49-F238E27FC236}">
              <a16:creationId xmlns:a16="http://schemas.microsoft.com/office/drawing/2014/main" id="{8AD5144A-DF41-41DE-A49E-CA033419A1E1}"/>
            </a:ext>
          </a:extLst>
        </xdr:cNvPr>
        <xdr:cNvSpPr txBox="1"/>
      </xdr:nvSpPr>
      <xdr:spPr>
        <a:xfrm>
          <a:off x="3510915" y="11820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8" name="TextBox 7">
          <a:extLst>
            <a:ext uri="{FF2B5EF4-FFF2-40B4-BE49-F238E27FC236}">
              <a16:creationId xmlns:a16="http://schemas.microsoft.com/office/drawing/2014/main" id="{C1C57C83-277F-4B13-AE07-9CC76EC1014E}"/>
            </a:ext>
          </a:extLst>
        </xdr:cNvPr>
        <xdr:cNvSpPr txBox="1"/>
      </xdr:nvSpPr>
      <xdr:spPr>
        <a:xfrm>
          <a:off x="3510915" y="11820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9" name="TextBox 8">
          <a:extLst>
            <a:ext uri="{FF2B5EF4-FFF2-40B4-BE49-F238E27FC236}">
              <a16:creationId xmlns:a16="http://schemas.microsoft.com/office/drawing/2014/main" id="{3FF45FCE-6F56-4DDA-AB48-94A2F0D3B125}"/>
            </a:ext>
          </a:extLst>
        </xdr:cNvPr>
        <xdr:cNvSpPr txBox="1"/>
      </xdr:nvSpPr>
      <xdr:spPr>
        <a:xfrm>
          <a:off x="3510915" y="11982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0" name="TextBox 9">
          <a:extLst>
            <a:ext uri="{FF2B5EF4-FFF2-40B4-BE49-F238E27FC236}">
              <a16:creationId xmlns:a16="http://schemas.microsoft.com/office/drawing/2014/main" id="{DE9ABBDF-E7C4-434B-8D6D-5AE7D5B8E7CB}"/>
            </a:ext>
          </a:extLst>
        </xdr:cNvPr>
        <xdr:cNvSpPr txBox="1"/>
      </xdr:nvSpPr>
      <xdr:spPr>
        <a:xfrm>
          <a:off x="3510915" y="11982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1" name="TextBox 10">
          <a:extLst>
            <a:ext uri="{FF2B5EF4-FFF2-40B4-BE49-F238E27FC236}">
              <a16:creationId xmlns:a16="http://schemas.microsoft.com/office/drawing/2014/main" id="{18D51172-15EC-435F-9AFD-067854E4478D}"/>
            </a:ext>
          </a:extLst>
        </xdr:cNvPr>
        <xdr:cNvSpPr txBox="1"/>
      </xdr:nvSpPr>
      <xdr:spPr>
        <a:xfrm>
          <a:off x="3510915" y="12144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2" name="TextBox 11">
          <a:extLst>
            <a:ext uri="{FF2B5EF4-FFF2-40B4-BE49-F238E27FC236}">
              <a16:creationId xmlns:a16="http://schemas.microsoft.com/office/drawing/2014/main" id="{CAE64009-DDD9-4C12-BC13-46E9AC28B7A7}"/>
            </a:ext>
          </a:extLst>
        </xdr:cNvPr>
        <xdr:cNvSpPr txBox="1"/>
      </xdr:nvSpPr>
      <xdr:spPr>
        <a:xfrm>
          <a:off x="3510915" y="12144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3" name="TextBox 12">
          <a:extLst>
            <a:ext uri="{FF2B5EF4-FFF2-40B4-BE49-F238E27FC236}">
              <a16:creationId xmlns:a16="http://schemas.microsoft.com/office/drawing/2014/main" id="{E993ABB3-379D-449A-959B-5C7E2DF0DA91}"/>
            </a:ext>
          </a:extLst>
        </xdr:cNvPr>
        <xdr:cNvSpPr txBox="1"/>
      </xdr:nvSpPr>
      <xdr:spPr>
        <a:xfrm>
          <a:off x="3510915"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4" name="TextBox 13">
          <a:extLst>
            <a:ext uri="{FF2B5EF4-FFF2-40B4-BE49-F238E27FC236}">
              <a16:creationId xmlns:a16="http://schemas.microsoft.com/office/drawing/2014/main" id="{16EEDCB9-C9C1-4602-887C-0C9A298A41A5}"/>
            </a:ext>
          </a:extLst>
        </xdr:cNvPr>
        <xdr:cNvSpPr txBox="1"/>
      </xdr:nvSpPr>
      <xdr:spPr>
        <a:xfrm>
          <a:off x="3510915"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5" name="TextBox 14">
          <a:extLst>
            <a:ext uri="{FF2B5EF4-FFF2-40B4-BE49-F238E27FC236}">
              <a16:creationId xmlns:a16="http://schemas.microsoft.com/office/drawing/2014/main" id="{315B370D-D12B-4C12-8228-BE6935A97CF2}"/>
            </a:ext>
          </a:extLst>
        </xdr:cNvPr>
        <xdr:cNvSpPr txBox="1"/>
      </xdr:nvSpPr>
      <xdr:spPr>
        <a:xfrm>
          <a:off x="51625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6" name="TextBox 15">
          <a:extLst>
            <a:ext uri="{FF2B5EF4-FFF2-40B4-BE49-F238E27FC236}">
              <a16:creationId xmlns:a16="http://schemas.microsoft.com/office/drawing/2014/main" id="{FC9D10BE-061E-41F8-8113-9960964AE16B}"/>
            </a:ext>
          </a:extLst>
        </xdr:cNvPr>
        <xdr:cNvSpPr txBox="1"/>
      </xdr:nvSpPr>
      <xdr:spPr>
        <a:xfrm>
          <a:off x="51625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303466"/>
    <xdr:sp macro="" textlink="">
      <xdr:nvSpPr>
        <xdr:cNvPr id="17" name="TextBox 16">
          <a:extLst>
            <a:ext uri="{FF2B5EF4-FFF2-40B4-BE49-F238E27FC236}">
              <a16:creationId xmlns:a16="http://schemas.microsoft.com/office/drawing/2014/main" id="{59CF1D2A-2057-49FF-894B-A665E322E045}"/>
            </a:ext>
          </a:extLst>
        </xdr:cNvPr>
        <xdr:cNvSpPr txBox="1"/>
      </xdr:nvSpPr>
      <xdr:spPr>
        <a:xfrm>
          <a:off x="5162550" y="11496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8" name="TextBox 17">
          <a:extLst>
            <a:ext uri="{FF2B5EF4-FFF2-40B4-BE49-F238E27FC236}">
              <a16:creationId xmlns:a16="http://schemas.microsoft.com/office/drawing/2014/main" id="{24040C31-F369-4629-B534-498503C99CB7}"/>
            </a:ext>
          </a:extLst>
        </xdr:cNvPr>
        <xdr:cNvSpPr txBox="1"/>
      </xdr:nvSpPr>
      <xdr:spPr>
        <a:xfrm>
          <a:off x="51625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9" name="TextBox 18">
          <a:extLst>
            <a:ext uri="{FF2B5EF4-FFF2-40B4-BE49-F238E27FC236}">
              <a16:creationId xmlns:a16="http://schemas.microsoft.com/office/drawing/2014/main" id="{EE6413B1-6F87-4D57-9538-9C3BF2BE6A2A}"/>
            </a:ext>
          </a:extLst>
        </xdr:cNvPr>
        <xdr:cNvSpPr txBox="1"/>
      </xdr:nvSpPr>
      <xdr:spPr>
        <a:xfrm>
          <a:off x="51625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0" name="TextBox 19">
          <a:extLst>
            <a:ext uri="{FF2B5EF4-FFF2-40B4-BE49-F238E27FC236}">
              <a16:creationId xmlns:a16="http://schemas.microsoft.com/office/drawing/2014/main" id="{93550FA8-8CC8-4C21-939D-A3B7B20AACEB}"/>
            </a:ext>
          </a:extLst>
        </xdr:cNvPr>
        <xdr:cNvSpPr txBox="1"/>
      </xdr:nvSpPr>
      <xdr:spPr>
        <a:xfrm>
          <a:off x="51625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1" name="TextBox 20">
          <a:extLst>
            <a:ext uri="{FF2B5EF4-FFF2-40B4-BE49-F238E27FC236}">
              <a16:creationId xmlns:a16="http://schemas.microsoft.com/office/drawing/2014/main" id="{C9CD2B84-8993-410B-BA40-42F11DB42B19}"/>
            </a:ext>
          </a:extLst>
        </xdr:cNvPr>
        <xdr:cNvSpPr txBox="1"/>
      </xdr:nvSpPr>
      <xdr:spPr>
        <a:xfrm>
          <a:off x="51625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2" name="TextBox 21">
          <a:extLst>
            <a:ext uri="{FF2B5EF4-FFF2-40B4-BE49-F238E27FC236}">
              <a16:creationId xmlns:a16="http://schemas.microsoft.com/office/drawing/2014/main" id="{B8E7CE7E-8FDD-4189-8FAD-1A7C147933AC}"/>
            </a:ext>
          </a:extLst>
        </xdr:cNvPr>
        <xdr:cNvSpPr txBox="1"/>
      </xdr:nvSpPr>
      <xdr:spPr>
        <a:xfrm>
          <a:off x="51625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3" name="TextBox 22">
          <a:extLst>
            <a:ext uri="{FF2B5EF4-FFF2-40B4-BE49-F238E27FC236}">
              <a16:creationId xmlns:a16="http://schemas.microsoft.com/office/drawing/2014/main" id="{4FE6FCAA-089A-4B3C-99B1-AD2C54617C5B}"/>
            </a:ext>
          </a:extLst>
        </xdr:cNvPr>
        <xdr:cNvSpPr txBox="1"/>
      </xdr:nvSpPr>
      <xdr:spPr>
        <a:xfrm>
          <a:off x="51625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4" name="TextBox 23">
          <a:extLst>
            <a:ext uri="{FF2B5EF4-FFF2-40B4-BE49-F238E27FC236}">
              <a16:creationId xmlns:a16="http://schemas.microsoft.com/office/drawing/2014/main" id="{9D4506E6-0F15-4E21-BA1C-F2E91F0790EF}"/>
            </a:ext>
          </a:extLst>
        </xdr:cNvPr>
        <xdr:cNvSpPr txBox="1"/>
      </xdr:nvSpPr>
      <xdr:spPr>
        <a:xfrm>
          <a:off x="51625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5" name="TextBox 24">
          <a:extLst>
            <a:ext uri="{FF2B5EF4-FFF2-40B4-BE49-F238E27FC236}">
              <a16:creationId xmlns:a16="http://schemas.microsoft.com/office/drawing/2014/main" id="{27700283-1E24-4251-B72F-D200D09DF123}"/>
            </a:ext>
          </a:extLst>
        </xdr:cNvPr>
        <xdr:cNvSpPr txBox="1"/>
      </xdr:nvSpPr>
      <xdr:spPr>
        <a:xfrm>
          <a:off x="51625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6" name="TextBox 25">
          <a:extLst>
            <a:ext uri="{FF2B5EF4-FFF2-40B4-BE49-F238E27FC236}">
              <a16:creationId xmlns:a16="http://schemas.microsoft.com/office/drawing/2014/main" id="{6C524861-0E30-4C5D-B1E0-7D1EEAF76316}"/>
            </a:ext>
          </a:extLst>
        </xdr:cNvPr>
        <xdr:cNvSpPr txBox="1"/>
      </xdr:nvSpPr>
      <xdr:spPr>
        <a:xfrm>
          <a:off x="51625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7" name="TextBox 26">
          <a:extLst>
            <a:ext uri="{FF2B5EF4-FFF2-40B4-BE49-F238E27FC236}">
              <a16:creationId xmlns:a16="http://schemas.microsoft.com/office/drawing/2014/main" id="{862242AD-E55E-42DC-BE10-1E65BE95FE83}"/>
            </a:ext>
          </a:extLst>
        </xdr:cNvPr>
        <xdr:cNvSpPr txBox="1"/>
      </xdr:nvSpPr>
      <xdr:spPr>
        <a:xfrm>
          <a:off x="51625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28" name="TextBox 27">
          <a:extLst>
            <a:ext uri="{FF2B5EF4-FFF2-40B4-BE49-F238E27FC236}">
              <a16:creationId xmlns:a16="http://schemas.microsoft.com/office/drawing/2014/main" id="{B46FD6A3-5D9E-4B2E-9A05-BB6695899C2D}"/>
            </a:ext>
          </a:extLst>
        </xdr:cNvPr>
        <xdr:cNvSpPr txBox="1"/>
      </xdr:nvSpPr>
      <xdr:spPr>
        <a:xfrm>
          <a:off x="61912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9" name="TextBox 28">
          <a:extLst>
            <a:ext uri="{FF2B5EF4-FFF2-40B4-BE49-F238E27FC236}">
              <a16:creationId xmlns:a16="http://schemas.microsoft.com/office/drawing/2014/main" id="{B99DEE61-E0A6-4221-9CEE-5BDBAD9CBAE2}"/>
            </a:ext>
          </a:extLst>
        </xdr:cNvPr>
        <xdr:cNvSpPr txBox="1"/>
      </xdr:nvSpPr>
      <xdr:spPr>
        <a:xfrm>
          <a:off x="61912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303466"/>
    <xdr:sp macro="" textlink="">
      <xdr:nvSpPr>
        <xdr:cNvPr id="30" name="TextBox 29">
          <a:extLst>
            <a:ext uri="{FF2B5EF4-FFF2-40B4-BE49-F238E27FC236}">
              <a16:creationId xmlns:a16="http://schemas.microsoft.com/office/drawing/2014/main" id="{9A85999C-5053-4ACB-B5E7-992175E180A4}"/>
            </a:ext>
          </a:extLst>
        </xdr:cNvPr>
        <xdr:cNvSpPr txBox="1"/>
      </xdr:nvSpPr>
      <xdr:spPr>
        <a:xfrm>
          <a:off x="6191250" y="11496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1" name="TextBox 30">
          <a:extLst>
            <a:ext uri="{FF2B5EF4-FFF2-40B4-BE49-F238E27FC236}">
              <a16:creationId xmlns:a16="http://schemas.microsoft.com/office/drawing/2014/main" id="{CF051D72-4BE8-4EAA-8987-D2007E4BA1CA}"/>
            </a:ext>
          </a:extLst>
        </xdr:cNvPr>
        <xdr:cNvSpPr txBox="1"/>
      </xdr:nvSpPr>
      <xdr:spPr>
        <a:xfrm>
          <a:off x="61912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2" name="TextBox 31">
          <a:extLst>
            <a:ext uri="{FF2B5EF4-FFF2-40B4-BE49-F238E27FC236}">
              <a16:creationId xmlns:a16="http://schemas.microsoft.com/office/drawing/2014/main" id="{3541C655-2084-4BB7-9859-0FC9D1863473}"/>
            </a:ext>
          </a:extLst>
        </xdr:cNvPr>
        <xdr:cNvSpPr txBox="1"/>
      </xdr:nvSpPr>
      <xdr:spPr>
        <a:xfrm>
          <a:off x="61912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3" name="TextBox 32">
          <a:extLst>
            <a:ext uri="{FF2B5EF4-FFF2-40B4-BE49-F238E27FC236}">
              <a16:creationId xmlns:a16="http://schemas.microsoft.com/office/drawing/2014/main" id="{C5F650C6-CE07-4CD2-AA0D-AD85492053EA}"/>
            </a:ext>
          </a:extLst>
        </xdr:cNvPr>
        <xdr:cNvSpPr txBox="1"/>
      </xdr:nvSpPr>
      <xdr:spPr>
        <a:xfrm>
          <a:off x="61912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4" name="TextBox 33">
          <a:extLst>
            <a:ext uri="{FF2B5EF4-FFF2-40B4-BE49-F238E27FC236}">
              <a16:creationId xmlns:a16="http://schemas.microsoft.com/office/drawing/2014/main" id="{D6C008C9-A99E-4ACA-BEF3-26E2BB121E17}"/>
            </a:ext>
          </a:extLst>
        </xdr:cNvPr>
        <xdr:cNvSpPr txBox="1"/>
      </xdr:nvSpPr>
      <xdr:spPr>
        <a:xfrm>
          <a:off x="61912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5" name="TextBox 34">
          <a:extLst>
            <a:ext uri="{FF2B5EF4-FFF2-40B4-BE49-F238E27FC236}">
              <a16:creationId xmlns:a16="http://schemas.microsoft.com/office/drawing/2014/main" id="{3E7DC66C-0585-4527-9513-0F04F744BF1C}"/>
            </a:ext>
          </a:extLst>
        </xdr:cNvPr>
        <xdr:cNvSpPr txBox="1"/>
      </xdr:nvSpPr>
      <xdr:spPr>
        <a:xfrm>
          <a:off x="61912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6" name="TextBox 35">
          <a:extLst>
            <a:ext uri="{FF2B5EF4-FFF2-40B4-BE49-F238E27FC236}">
              <a16:creationId xmlns:a16="http://schemas.microsoft.com/office/drawing/2014/main" id="{E972BEA3-83D7-4509-BA90-9FF3A8C1D881}"/>
            </a:ext>
          </a:extLst>
        </xdr:cNvPr>
        <xdr:cNvSpPr txBox="1"/>
      </xdr:nvSpPr>
      <xdr:spPr>
        <a:xfrm>
          <a:off x="61912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7" name="TextBox 36">
          <a:extLst>
            <a:ext uri="{FF2B5EF4-FFF2-40B4-BE49-F238E27FC236}">
              <a16:creationId xmlns:a16="http://schemas.microsoft.com/office/drawing/2014/main" id="{9FEA1684-61FB-4586-A4D7-FD189D76F008}"/>
            </a:ext>
          </a:extLst>
        </xdr:cNvPr>
        <xdr:cNvSpPr txBox="1"/>
      </xdr:nvSpPr>
      <xdr:spPr>
        <a:xfrm>
          <a:off x="61912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8" name="TextBox 37">
          <a:extLst>
            <a:ext uri="{FF2B5EF4-FFF2-40B4-BE49-F238E27FC236}">
              <a16:creationId xmlns:a16="http://schemas.microsoft.com/office/drawing/2014/main" id="{99EA2DFB-8BFC-4F44-B2C9-F8878710935C}"/>
            </a:ext>
          </a:extLst>
        </xdr:cNvPr>
        <xdr:cNvSpPr txBox="1"/>
      </xdr:nvSpPr>
      <xdr:spPr>
        <a:xfrm>
          <a:off x="61912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9" name="TextBox 38">
          <a:extLst>
            <a:ext uri="{FF2B5EF4-FFF2-40B4-BE49-F238E27FC236}">
              <a16:creationId xmlns:a16="http://schemas.microsoft.com/office/drawing/2014/main" id="{616C87A9-FBBF-4D47-AEE4-2E45F78943F7}"/>
            </a:ext>
          </a:extLst>
        </xdr:cNvPr>
        <xdr:cNvSpPr txBox="1"/>
      </xdr:nvSpPr>
      <xdr:spPr>
        <a:xfrm>
          <a:off x="61912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40" name="TextBox 39">
          <a:extLst>
            <a:ext uri="{FF2B5EF4-FFF2-40B4-BE49-F238E27FC236}">
              <a16:creationId xmlns:a16="http://schemas.microsoft.com/office/drawing/2014/main" id="{984CF956-2CA5-42D7-822F-B0A012B1B5E8}"/>
            </a:ext>
          </a:extLst>
        </xdr:cNvPr>
        <xdr:cNvSpPr txBox="1"/>
      </xdr:nvSpPr>
      <xdr:spPr>
        <a:xfrm>
          <a:off x="61912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68</xdr:row>
      <xdr:rowOff>0</xdr:rowOff>
    </xdr:from>
    <xdr:ext cx="192763" cy="264560"/>
    <xdr:sp macro="" textlink="">
      <xdr:nvSpPr>
        <xdr:cNvPr id="41" name="TextBox 40">
          <a:extLst>
            <a:ext uri="{FF2B5EF4-FFF2-40B4-BE49-F238E27FC236}">
              <a16:creationId xmlns:a16="http://schemas.microsoft.com/office/drawing/2014/main" id="{423A4BAE-EF84-4719-AC32-C8CED77732F7}"/>
            </a:ext>
          </a:extLst>
        </xdr:cNvPr>
        <xdr:cNvSpPr txBox="1"/>
      </xdr:nvSpPr>
      <xdr:spPr>
        <a:xfrm>
          <a:off x="51587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68</xdr:row>
      <xdr:rowOff>0</xdr:rowOff>
    </xdr:from>
    <xdr:ext cx="192763" cy="264560"/>
    <xdr:sp macro="" textlink="">
      <xdr:nvSpPr>
        <xdr:cNvPr id="42" name="TextBox 41">
          <a:extLst>
            <a:ext uri="{FF2B5EF4-FFF2-40B4-BE49-F238E27FC236}">
              <a16:creationId xmlns:a16="http://schemas.microsoft.com/office/drawing/2014/main" id="{97B418F2-91E6-474E-AE0B-7AB21A10BB3C}"/>
            </a:ext>
          </a:extLst>
        </xdr:cNvPr>
        <xdr:cNvSpPr txBox="1"/>
      </xdr:nvSpPr>
      <xdr:spPr>
        <a:xfrm>
          <a:off x="61874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68</xdr:row>
      <xdr:rowOff>0</xdr:rowOff>
    </xdr:from>
    <xdr:ext cx="192763" cy="264560"/>
    <xdr:sp macro="" textlink="">
      <xdr:nvSpPr>
        <xdr:cNvPr id="43" name="TextBox 42">
          <a:extLst>
            <a:ext uri="{FF2B5EF4-FFF2-40B4-BE49-F238E27FC236}">
              <a16:creationId xmlns:a16="http://schemas.microsoft.com/office/drawing/2014/main" id="{AB477DF1-A2CA-4E94-BA2D-C929BDE73BAC}"/>
            </a:ext>
          </a:extLst>
        </xdr:cNvPr>
        <xdr:cNvSpPr txBox="1"/>
      </xdr:nvSpPr>
      <xdr:spPr>
        <a:xfrm>
          <a:off x="72161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69</xdr:row>
      <xdr:rowOff>0</xdr:rowOff>
    </xdr:from>
    <xdr:ext cx="183125" cy="264560"/>
    <xdr:sp macro="" textlink="">
      <xdr:nvSpPr>
        <xdr:cNvPr id="44" name="TextBox 43">
          <a:extLst>
            <a:ext uri="{FF2B5EF4-FFF2-40B4-BE49-F238E27FC236}">
              <a16:creationId xmlns:a16="http://schemas.microsoft.com/office/drawing/2014/main" id="{ACD21A4B-90F9-439B-8958-27D7BF9D7D5D}"/>
            </a:ext>
          </a:extLst>
        </xdr:cNvPr>
        <xdr:cNvSpPr txBox="1"/>
      </xdr:nvSpPr>
      <xdr:spPr>
        <a:xfrm>
          <a:off x="3520440" y="113347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69</xdr:row>
      <xdr:rowOff>0</xdr:rowOff>
    </xdr:from>
    <xdr:ext cx="184731" cy="271710"/>
    <xdr:sp macro="" textlink="">
      <xdr:nvSpPr>
        <xdr:cNvPr id="45" name="TextBox 44">
          <a:extLst>
            <a:ext uri="{FF2B5EF4-FFF2-40B4-BE49-F238E27FC236}">
              <a16:creationId xmlns:a16="http://schemas.microsoft.com/office/drawing/2014/main" id="{967C77AC-04E4-41EA-8858-1A25D1D9118C}"/>
            </a:ext>
          </a:extLst>
        </xdr:cNvPr>
        <xdr:cNvSpPr txBox="1"/>
      </xdr:nvSpPr>
      <xdr:spPr>
        <a:xfrm>
          <a:off x="702945" y="113347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201930</xdr:colOff>
      <xdr:row>58</xdr:row>
      <xdr:rowOff>0</xdr:rowOff>
    </xdr:from>
    <xdr:ext cx="184731" cy="264560"/>
    <xdr:sp macro="" textlink="">
      <xdr:nvSpPr>
        <xdr:cNvPr id="2" name="TextBox 1">
          <a:extLst>
            <a:ext uri="{FF2B5EF4-FFF2-40B4-BE49-F238E27FC236}">
              <a16:creationId xmlns:a16="http://schemas.microsoft.com/office/drawing/2014/main" id="{0A53E7E3-D8DA-4135-968F-DCB7776C24F2}"/>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3" name="TextBox 2">
          <a:extLst>
            <a:ext uri="{FF2B5EF4-FFF2-40B4-BE49-F238E27FC236}">
              <a16:creationId xmlns:a16="http://schemas.microsoft.com/office/drawing/2014/main" id="{B749128C-58A7-407A-9820-0D117C5C88F5}"/>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4" name="TextBox 3">
          <a:extLst>
            <a:ext uri="{FF2B5EF4-FFF2-40B4-BE49-F238E27FC236}">
              <a16:creationId xmlns:a16="http://schemas.microsoft.com/office/drawing/2014/main" id="{89765C16-0F23-4093-80D4-178EA3733A10}"/>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5" name="TextBox 4">
          <a:extLst>
            <a:ext uri="{FF2B5EF4-FFF2-40B4-BE49-F238E27FC236}">
              <a16:creationId xmlns:a16="http://schemas.microsoft.com/office/drawing/2014/main" id="{0976AF14-A0D4-443C-BF5F-D7329BAB4F2E}"/>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6" name="TextBox 5">
          <a:extLst>
            <a:ext uri="{FF2B5EF4-FFF2-40B4-BE49-F238E27FC236}">
              <a16:creationId xmlns:a16="http://schemas.microsoft.com/office/drawing/2014/main" id="{4A9FD35A-1BEF-4EC4-A294-60E34F102EA1}"/>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7" name="TextBox 6">
          <a:extLst>
            <a:ext uri="{FF2B5EF4-FFF2-40B4-BE49-F238E27FC236}">
              <a16:creationId xmlns:a16="http://schemas.microsoft.com/office/drawing/2014/main" id="{DFB25A4F-77BD-4A4F-A972-AA624083FD07}"/>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8" name="TextBox 7">
          <a:extLst>
            <a:ext uri="{FF2B5EF4-FFF2-40B4-BE49-F238E27FC236}">
              <a16:creationId xmlns:a16="http://schemas.microsoft.com/office/drawing/2014/main" id="{A6A89A0A-326C-461B-84DD-9DF401A0EE9B}"/>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9" name="TextBox 8">
          <a:extLst>
            <a:ext uri="{FF2B5EF4-FFF2-40B4-BE49-F238E27FC236}">
              <a16:creationId xmlns:a16="http://schemas.microsoft.com/office/drawing/2014/main" id="{8B42DBBC-8D5C-4588-9151-D864DCE709AB}"/>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10" name="TextBox 9">
          <a:extLst>
            <a:ext uri="{FF2B5EF4-FFF2-40B4-BE49-F238E27FC236}">
              <a16:creationId xmlns:a16="http://schemas.microsoft.com/office/drawing/2014/main" id="{BC02CA61-E9FA-49D4-9B07-654FBE09DB69}"/>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1" name="TextBox 10">
          <a:extLst>
            <a:ext uri="{FF2B5EF4-FFF2-40B4-BE49-F238E27FC236}">
              <a16:creationId xmlns:a16="http://schemas.microsoft.com/office/drawing/2014/main" id="{328496DA-305F-4C4E-B4C7-F7C874D34E6F}"/>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2" name="TextBox 11">
          <a:extLst>
            <a:ext uri="{FF2B5EF4-FFF2-40B4-BE49-F238E27FC236}">
              <a16:creationId xmlns:a16="http://schemas.microsoft.com/office/drawing/2014/main" id="{7926B204-243C-4EA8-98B1-16172FD39F77}"/>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3" name="TextBox 12">
          <a:extLst>
            <a:ext uri="{FF2B5EF4-FFF2-40B4-BE49-F238E27FC236}">
              <a16:creationId xmlns:a16="http://schemas.microsoft.com/office/drawing/2014/main" id="{1DDE5E44-9DEF-4793-B458-2EC85CC8BD18}"/>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4" name="TextBox 13">
          <a:extLst>
            <a:ext uri="{FF2B5EF4-FFF2-40B4-BE49-F238E27FC236}">
              <a16:creationId xmlns:a16="http://schemas.microsoft.com/office/drawing/2014/main" id="{92DBC81E-B600-4E78-A7D5-279F33D80F63}"/>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5" name="TextBox 14">
          <a:extLst>
            <a:ext uri="{FF2B5EF4-FFF2-40B4-BE49-F238E27FC236}">
              <a16:creationId xmlns:a16="http://schemas.microsoft.com/office/drawing/2014/main" id="{BC0224D2-6185-441E-9725-77835F31D281}"/>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6" name="TextBox 15">
          <a:extLst>
            <a:ext uri="{FF2B5EF4-FFF2-40B4-BE49-F238E27FC236}">
              <a16:creationId xmlns:a16="http://schemas.microsoft.com/office/drawing/2014/main" id="{7B28DB4D-17CB-4933-80CF-DC0E5CDDDFD6}"/>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7" name="TextBox 16">
          <a:extLst>
            <a:ext uri="{FF2B5EF4-FFF2-40B4-BE49-F238E27FC236}">
              <a16:creationId xmlns:a16="http://schemas.microsoft.com/office/drawing/2014/main" id="{39B27F34-F5C2-4BA9-9719-04D28389F674}"/>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8" name="TextBox 17">
          <a:extLst>
            <a:ext uri="{FF2B5EF4-FFF2-40B4-BE49-F238E27FC236}">
              <a16:creationId xmlns:a16="http://schemas.microsoft.com/office/drawing/2014/main" id="{1B96E982-8E44-429C-9551-9AB09304AA08}"/>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9" name="TextBox 18">
          <a:extLst>
            <a:ext uri="{FF2B5EF4-FFF2-40B4-BE49-F238E27FC236}">
              <a16:creationId xmlns:a16="http://schemas.microsoft.com/office/drawing/2014/main" id="{2B0F7369-3007-4171-9A53-246CDBE09366}"/>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0" name="TextBox 19">
          <a:extLst>
            <a:ext uri="{FF2B5EF4-FFF2-40B4-BE49-F238E27FC236}">
              <a16:creationId xmlns:a16="http://schemas.microsoft.com/office/drawing/2014/main" id="{715DC89B-C15F-4519-B88E-72FDC3D73BF6}"/>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1" name="TextBox 20">
          <a:extLst>
            <a:ext uri="{FF2B5EF4-FFF2-40B4-BE49-F238E27FC236}">
              <a16:creationId xmlns:a16="http://schemas.microsoft.com/office/drawing/2014/main" id="{FACD6A40-BDB5-4400-95B0-B65FFC1223F1}"/>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2" name="TextBox 21">
          <a:extLst>
            <a:ext uri="{FF2B5EF4-FFF2-40B4-BE49-F238E27FC236}">
              <a16:creationId xmlns:a16="http://schemas.microsoft.com/office/drawing/2014/main" id="{C7FDB0DD-94BC-441C-9323-0C649237D83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3" name="TextBox 22">
          <a:extLst>
            <a:ext uri="{FF2B5EF4-FFF2-40B4-BE49-F238E27FC236}">
              <a16:creationId xmlns:a16="http://schemas.microsoft.com/office/drawing/2014/main" id="{51E9AD5B-BEB2-4B47-B809-A95ED97EF168}"/>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4" name="TextBox 23">
          <a:extLst>
            <a:ext uri="{FF2B5EF4-FFF2-40B4-BE49-F238E27FC236}">
              <a16:creationId xmlns:a16="http://schemas.microsoft.com/office/drawing/2014/main" id="{7EF9822B-4447-405B-A323-F66A65F4CB92}"/>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5" name="TextBox 24">
          <a:extLst>
            <a:ext uri="{FF2B5EF4-FFF2-40B4-BE49-F238E27FC236}">
              <a16:creationId xmlns:a16="http://schemas.microsoft.com/office/drawing/2014/main" id="{9BD1A8D4-E122-4F5F-A14C-7FE1DC02859D}"/>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6" name="TextBox 25">
          <a:extLst>
            <a:ext uri="{FF2B5EF4-FFF2-40B4-BE49-F238E27FC236}">
              <a16:creationId xmlns:a16="http://schemas.microsoft.com/office/drawing/2014/main" id="{DB147C60-A527-45EA-AB4F-EDB7BD3D5A39}"/>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7" name="TextBox 26">
          <a:extLst>
            <a:ext uri="{FF2B5EF4-FFF2-40B4-BE49-F238E27FC236}">
              <a16:creationId xmlns:a16="http://schemas.microsoft.com/office/drawing/2014/main" id="{A86C5267-3A0E-42A5-B9E3-785E5B5121AB}"/>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28" name="TextBox 27">
          <a:extLst>
            <a:ext uri="{FF2B5EF4-FFF2-40B4-BE49-F238E27FC236}">
              <a16:creationId xmlns:a16="http://schemas.microsoft.com/office/drawing/2014/main" id="{FD29A3A5-EF75-4A48-AE61-C3E5B59B7EFF}"/>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29" name="TextBox 28">
          <a:extLst>
            <a:ext uri="{FF2B5EF4-FFF2-40B4-BE49-F238E27FC236}">
              <a16:creationId xmlns:a16="http://schemas.microsoft.com/office/drawing/2014/main" id="{DDB3B947-7BFB-4DDB-BA82-6A3DA54803DE}"/>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30" name="TextBox 29">
          <a:extLst>
            <a:ext uri="{FF2B5EF4-FFF2-40B4-BE49-F238E27FC236}">
              <a16:creationId xmlns:a16="http://schemas.microsoft.com/office/drawing/2014/main" id="{42997024-36D2-4A31-AE22-A6BFF774AB6D}"/>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31" name="TextBox 30">
          <a:extLst>
            <a:ext uri="{FF2B5EF4-FFF2-40B4-BE49-F238E27FC236}">
              <a16:creationId xmlns:a16="http://schemas.microsoft.com/office/drawing/2014/main" id="{E9755E6E-11FA-4899-9CBF-94391E0AAF4B}"/>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2" name="TextBox 31">
          <a:extLst>
            <a:ext uri="{FF2B5EF4-FFF2-40B4-BE49-F238E27FC236}">
              <a16:creationId xmlns:a16="http://schemas.microsoft.com/office/drawing/2014/main" id="{B01CAF7D-62B7-4782-B8DC-D2CE83F30B52}"/>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3" name="TextBox 32">
          <a:extLst>
            <a:ext uri="{FF2B5EF4-FFF2-40B4-BE49-F238E27FC236}">
              <a16:creationId xmlns:a16="http://schemas.microsoft.com/office/drawing/2014/main" id="{E347FB7F-6E69-46EF-9639-4D656259E56B}"/>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4" name="TextBox 33">
          <a:extLst>
            <a:ext uri="{FF2B5EF4-FFF2-40B4-BE49-F238E27FC236}">
              <a16:creationId xmlns:a16="http://schemas.microsoft.com/office/drawing/2014/main" id="{4C0384C4-3BE9-4851-858B-9B615C90348C}"/>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5" name="TextBox 34">
          <a:extLst>
            <a:ext uri="{FF2B5EF4-FFF2-40B4-BE49-F238E27FC236}">
              <a16:creationId xmlns:a16="http://schemas.microsoft.com/office/drawing/2014/main" id="{0F655798-B757-443D-B928-E10533B2D213}"/>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6" name="TextBox 35">
          <a:extLst>
            <a:ext uri="{FF2B5EF4-FFF2-40B4-BE49-F238E27FC236}">
              <a16:creationId xmlns:a16="http://schemas.microsoft.com/office/drawing/2014/main" id="{AE27021D-27F3-4EC8-AD8B-93A9EA6869A6}"/>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7" name="TextBox 36">
          <a:extLst>
            <a:ext uri="{FF2B5EF4-FFF2-40B4-BE49-F238E27FC236}">
              <a16:creationId xmlns:a16="http://schemas.microsoft.com/office/drawing/2014/main" id="{C0A3D5F6-C096-46AE-A1C3-8E899D19CB8B}"/>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8" name="TextBox 37">
          <a:extLst>
            <a:ext uri="{FF2B5EF4-FFF2-40B4-BE49-F238E27FC236}">
              <a16:creationId xmlns:a16="http://schemas.microsoft.com/office/drawing/2014/main" id="{515CAEA7-6E26-4619-BEA5-16D56A747FE9}"/>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9" name="TextBox 38">
          <a:extLst>
            <a:ext uri="{FF2B5EF4-FFF2-40B4-BE49-F238E27FC236}">
              <a16:creationId xmlns:a16="http://schemas.microsoft.com/office/drawing/2014/main" id="{7C4FAB8A-030B-400C-B588-2885D0DD3E90}"/>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40" name="TextBox 39">
          <a:extLst>
            <a:ext uri="{FF2B5EF4-FFF2-40B4-BE49-F238E27FC236}">
              <a16:creationId xmlns:a16="http://schemas.microsoft.com/office/drawing/2014/main" id="{0F0E7AAD-39CC-491D-984C-8070FA559C67}"/>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1" name="TextBox 40">
          <a:extLst>
            <a:ext uri="{FF2B5EF4-FFF2-40B4-BE49-F238E27FC236}">
              <a16:creationId xmlns:a16="http://schemas.microsoft.com/office/drawing/2014/main" id="{9F663D39-5FB2-4A6E-B322-EDEEC31B9880}"/>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2" name="TextBox 41">
          <a:extLst>
            <a:ext uri="{FF2B5EF4-FFF2-40B4-BE49-F238E27FC236}">
              <a16:creationId xmlns:a16="http://schemas.microsoft.com/office/drawing/2014/main" id="{A37AD770-01FF-44A4-B8EC-6D1ABECB0148}"/>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3" name="TextBox 42">
          <a:extLst>
            <a:ext uri="{FF2B5EF4-FFF2-40B4-BE49-F238E27FC236}">
              <a16:creationId xmlns:a16="http://schemas.microsoft.com/office/drawing/2014/main" id="{1B423D0F-D86A-4DF9-8C7C-58C4567A6C89}"/>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4" name="TextBox 43">
          <a:extLst>
            <a:ext uri="{FF2B5EF4-FFF2-40B4-BE49-F238E27FC236}">
              <a16:creationId xmlns:a16="http://schemas.microsoft.com/office/drawing/2014/main" id="{CAE78F77-5C50-4CBC-B49D-D21C92964B0C}"/>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5" name="TextBox 44">
          <a:extLst>
            <a:ext uri="{FF2B5EF4-FFF2-40B4-BE49-F238E27FC236}">
              <a16:creationId xmlns:a16="http://schemas.microsoft.com/office/drawing/2014/main" id="{D4801638-F29D-498A-A565-14DE2BB35B4C}"/>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6" name="TextBox 45">
          <a:extLst>
            <a:ext uri="{FF2B5EF4-FFF2-40B4-BE49-F238E27FC236}">
              <a16:creationId xmlns:a16="http://schemas.microsoft.com/office/drawing/2014/main" id="{6BDD4BE4-225A-4194-B372-A812B4DB3E5D}"/>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7" name="TextBox 46">
          <a:extLst>
            <a:ext uri="{FF2B5EF4-FFF2-40B4-BE49-F238E27FC236}">
              <a16:creationId xmlns:a16="http://schemas.microsoft.com/office/drawing/2014/main" id="{57EE22F1-84EB-4F5D-93CD-AE8F6625F133}"/>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8" name="TextBox 47">
          <a:extLst>
            <a:ext uri="{FF2B5EF4-FFF2-40B4-BE49-F238E27FC236}">
              <a16:creationId xmlns:a16="http://schemas.microsoft.com/office/drawing/2014/main" id="{6B1B28A7-5267-4BC6-BCD1-3130B08FF0C9}"/>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9" name="TextBox 48">
          <a:extLst>
            <a:ext uri="{FF2B5EF4-FFF2-40B4-BE49-F238E27FC236}">
              <a16:creationId xmlns:a16="http://schemas.microsoft.com/office/drawing/2014/main" id="{CE160F76-1D43-460F-97B0-79D9C89DFF10}"/>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0" name="TextBox 49">
          <a:extLst>
            <a:ext uri="{FF2B5EF4-FFF2-40B4-BE49-F238E27FC236}">
              <a16:creationId xmlns:a16="http://schemas.microsoft.com/office/drawing/2014/main" id="{7D327CFA-2C0A-4627-94AB-EB17FB7CCDA2}"/>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1" name="TextBox 50">
          <a:extLst>
            <a:ext uri="{FF2B5EF4-FFF2-40B4-BE49-F238E27FC236}">
              <a16:creationId xmlns:a16="http://schemas.microsoft.com/office/drawing/2014/main" id="{7029428B-51BA-4822-878D-0693E1E0B268}"/>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2" name="TextBox 51">
          <a:extLst>
            <a:ext uri="{FF2B5EF4-FFF2-40B4-BE49-F238E27FC236}">
              <a16:creationId xmlns:a16="http://schemas.microsoft.com/office/drawing/2014/main" id="{08BCCB25-E7D0-466A-8A4A-6BD858DBB028}"/>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3" name="TextBox 52">
          <a:extLst>
            <a:ext uri="{FF2B5EF4-FFF2-40B4-BE49-F238E27FC236}">
              <a16:creationId xmlns:a16="http://schemas.microsoft.com/office/drawing/2014/main" id="{376F8D04-D960-46B3-AB4F-C8B10A0D71D3}"/>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4" name="TextBox 53">
          <a:extLst>
            <a:ext uri="{FF2B5EF4-FFF2-40B4-BE49-F238E27FC236}">
              <a16:creationId xmlns:a16="http://schemas.microsoft.com/office/drawing/2014/main" id="{04F923A1-0445-490B-BFBA-C48E5E51D5C1}"/>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5" name="TextBox 54">
          <a:extLst>
            <a:ext uri="{FF2B5EF4-FFF2-40B4-BE49-F238E27FC236}">
              <a16:creationId xmlns:a16="http://schemas.microsoft.com/office/drawing/2014/main" id="{F44EE40D-0027-486A-A6D9-D7810F8D2699}"/>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6" name="TextBox 55">
          <a:extLst>
            <a:ext uri="{FF2B5EF4-FFF2-40B4-BE49-F238E27FC236}">
              <a16:creationId xmlns:a16="http://schemas.microsoft.com/office/drawing/2014/main" id="{4CA810FC-DDB8-4E03-99C8-073C4C610DD4}"/>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7" name="TextBox 56">
          <a:extLst>
            <a:ext uri="{FF2B5EF4-FFF2-40B4-BE49-F238E27FC236}">
              <a16:creationId xmlns:a16="http://schemas.microsoft.com/office/drawing/2014/main" id="{DA2242E5-04EF-4C76-A34B-D396143D0DD1}"/>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58" name="TextBox 57">
          <a:extLst>
            <a:ext uri="{FF2B5EF4-FFF2-40B4-BE49-F238E27FC236}">
              <a16:creationId xmlns:a16="http://schemas.microsoft.com/office/drawing/2014/main" id="{F6A22566-78A5-4917-B09F-B6F1F2331A81}"/>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59" name="TextBox 58">
          <a:extLst>
            <a:ext uri="{FF2B5EF4-FFF2-40B4-BE49-F238E27FC236}">
              <a16:creationId xmlns:a16="http://schemas.microsoft.com/office/drawing/2014/main" id="{5BB89936-8739-445D-BDE1-3FD7A46600AE}"/>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0" name="TextBox 59">
          <a:extLst>
            <a:ext uri="{FF2B5EF4-FFF2-40B4-BE49-F238E27FC236}">
              <a16:creationId xmlns:a16="http://schemas.microsoft.com/office/drawing/2014/main" id="{23C6A4E7-C9E5-487F-B0B8-CA08F02CD93F}"/>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1" name="TextBox 60">
          <a:extLst>
            <a:ext uri="{FF2B5EF4-FFF2-40B4-BE49-F238E27FC236}">
              <a16:creationId xmlns:a16="http://schemas.microsoft.com/office/drawing/2014/main" id="{946CEDB7-1D03-4C34-A332-BD1435B1EC1D}"/>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2" name="TextBox 61">
          <a:extLst>
            <a:ext uri="{FF2B5EF4-FFF2-40B4-BE49-F238E27FC236}">
              <a16:creationId xmlns:a16="http://schemas.microsoft.com/office/drawing/2014/main" id="{C21F2F1A-4943-4E0E-B3F9-54D31005BD79}"/>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3" name="TextBox 62">
          <a:extLst>
            <a:ext uri="{FF2B5EF4-FFF2-40B4-BE49-F238E27FC236}">
              <a16:creationId xmlns:a16="http://schemas.microsoft.com/office/drawing/2014/main" id="{483B659B-4111-4C62-9A72-CCC985C9390E}"/>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4" name="TextBox 63">
          <a:extLst>
            <a:ext uri="{FF2B5EF4-FFF2-40B4-BE49-F238E27FC236}">
              <a16:creationId xmlns:a16="http://schemas.microsoft.com/office/drawing/2014/main" id="{3CC93730-3D26-438F-9B81-11A27167C766}"/>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5" name="TextBox 64">
          <a:extLst>
            <a:ext uri="{FF2B5EF4-FFF2-40B4-BE49-F238E27FC236}">
              <a16:creationId xmlns:a16="http://schemas.microsoft.com/office/drawing/2014/main" id="{CE995F8D-D3D1-4C71-8D9D-A172FAFA9B32}"/>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6" name="TextBox 65">
          <a:extLst>
            <a:ext uri="{FF2B5EF4-FFF2-40B4-BE49-F238E27FC236}">
              <a16:creationId xmlns:a16="http://schemas.microsoft.com/office/drawing/2014/main" id="{456C9F3E-2A99-4F7F-90B1-AFEE484A1A6C}"/>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7" name="TextBox 66">
          <a:extLst>
            <a:ext uri="{FF2B5EF4-FFF2-40B4-BE49-F238E27FC236}">
              <a16:creationId xmlns:a16="http://schemas.microsoft.com/office/drawing/2014/main" id="{835DDD1B-2EE1-4C31-A0C0-2C3A47F41E34}"/>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8" name="TextBox 67">
          <a:extLst>
            <a:ext uri="{FF2B5EF4-FFF2-40B4-BE49-F238E27FC236}">
              <a16:creationId xmlns:a16="http://schemas.microsoft.com/office/drawing/2014/main" id="{C3661F2E-7726-4699-B21F-3DFD848B05C6}"/>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9" name="TextBox 68">
          <a:extLst>
            <a:ext uri="{FF2B5EF4-FFF2-40B4-BE49-F238E27FC236}">
              <a16:creationId xmlns:a16="http://schemas.microsoft.com/office/drawing/2014/main" id="{A0A5AA9A-9567-4CE4-9195-2DED61A0E74E}"/>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70" name="TextBox 69">
          <a:extLst>
            <a:ext uri="{FF2B5EF4-FFF2-40B4-BE49-F238E27FC236}">
              <a16:creationId xmlns:a16="http://schemas.microsoft.com/office/drawing/2014/main" id="{1E156498-7D1E-474E-84FB-85AD481DF737}"/>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1" name="TextBox 70">
          <a:extLst>
            <a:ext uri="{FF2B5EF4-FFF2-40B4-BE49-F238E27FC236}">
              <a16:creationId xmlns:a16="http://schemas.microsoft.com/office/drawing/2014/main" id="{63EA6DF0-F704-4CE4-A0C9-B0C2BD04CC93}"/>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2" name="TextBox 71">
          <a:extLst>
            <a:ext uri="{FF2B5EF4-FFF2-40B4-BE49-F238E27FC236}">
              <a16:creationId xmlns:a16="http://schemas.microsoft.com/office/drawing/2014/main" id="{8B8CFC1B-3E14-4027-81BF-A75E22ED353B}"/>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3" name="TextBox 72">
          <a:extLst>
            <a:ext uri="{FF2B5EF4-FFF2-40B4-BE49-F238E27FC236}">
              <a16:creationId xmlns:a16="http://schemas.microsoft.com/office/drawing/2014/main" id="{D059D9CD-0CF1-43D8-8225-10B867D1D64A}"/>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4" name="TextBox 73">
          <a:extLst>
            <a:ext uri="{FF2B5EF4-FFF2-40B4-BE49-F238E27FC236}">
              <a16:creationId xmlns:a16="http://schemas.microsoft.com/office/drawing/2014/main" id="{9CACA69E-5E2B-4197-B9E8-AC529D7C831F}"/>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5" name="TextBox 74">
          <a:extLst>
            <a:ext uri="{FF2B5EF4-FFF2-40B4-BE49-F238E27FC236}">
              <a16:creationId xmlns:a16="http://schemas.microsoft.com/office/drawing/2014/main" id="{3611027E-B00C-4737-BED7-7CD5E460A12F}"/>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6" name="TextBox 75">
          <a:extLst>
            <a:ext uri="{FF2B5EF4-FFF2-40B4-BE49-F238E27FC236}">
              <a16:creationId xmlns:a16="http://schemas.microsoft.com/office/drawing/2014/main" id="{E32ACB87-1846-4992-AD84-33A7CE1E37F3}"/>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7" name="TextBox 76">
          <a:extLst>
            <a:ext uri="{FF2B5EF4-FFF2-40B4-BE49-F238E27FC236}">
              <a16:creationId xmlns:a16="http://schemas.microsoft.com/office/drawing/2014/main" id="{E1996073-AC46-4BE0-9C26-932637DB5E62}"/>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8" name="TextBox 77">
          <a:extLst>
            <a:ext uri="{FF2B5EF4-FFF2-40B4-BE49-F238E27FC236}">
              <a16:creationId xmlns:a16="http://schemas.microsoft.com/office/drawing/2014/main" id="{77564333-887C-4DC9-8EA6-069737AE0D94}"/>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9" name="TextBox 78">
          <a:extLst>
            <a:ext uri="{FF2B5EF4-FFF2-40B4-BE49-F238E27FC236}">
              <a16:creationId xmlns:a16="http://schemas.microsoft.com/office/drawing/2014/main" id="{2B9867DA-D42B-4805-860F-6F60FFD36D47}"/>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0" name="TextBox 79">
          <a:extLst>
            <a:ext uri="{FF2B5EF4-FFF2-40B4-BE49-F238E27FC236}">
              <a16:creationId xmlns:a16="http://schemas.microsoft.com/office/drawing/2014/main" id="{03B23803-C32D-497D-B7A2-EAB84AF1B0AD}"/>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1" name="TextBox 80">
          <a:extLst>
            <a:ext uri="{FF2B5EF4-FFF2-40B4-BE49-F238E27FC236}">
              <a16:creationId xmlns:a16="http://schemas.microsoft.com/office/drawing/2014/main" id="{796D238A-3AE7-485F-A1D5-285CF121F243}"/>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2" name="TextBox 81">
          <a:extLst>
            <a:ext uri="{FF2B5EF4-FFF2-40B4-BE49-F238E27FC236}">
              <a16:creationId xmlns:a16="http://schemas.microsoft.com/office/drawing/2014/main" id="{D0013FE9-5A35-4D27-A073-F3C14B74098D}"/>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3" name="TextBox 82">
          <a:extLst>
            <a:ext uri="{FF2B5EF4-FFF2-40B4-BE49-F238E27FC236}">
              <a16:creationId xmlns:a16="http://schemas.microsoft.com/office/drawing/2014/main" id="{06AF1B7A-DD06-48FA-8C02-3A6B35D6F2AB}"/>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4" name="TextBox 83">
          <a:extLst>
            <a:ext uri="{FF2B5EF4-FFF2-40B4-BE49-F238E27FC236}">
              <a16:creationId xmlns:a16="http://schemas.microsoft.com/office/drawing/2014/main" id="{D274061D-7AFC-4299-8D57-5D32CB6287D1}"/>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5" name="TextBox 84">
          <a:extLst>
            <a:ext uri="{FF2B5EF4-FFF2-40B4-BE49-F238E27FC236}">
              <a16:creationId xmlns:a16="http://schemas.microsoft.com/office/drawing/2014/main" id="{83609181-5520-42EA-A2C1-C599F4296C58}"/>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6" name="TextBox 85">
          <a:extLst>
            <a:ext uri="{FF2B5EF4-FFF2-40B4-BE49-F238E27FC236}">
              <a16:creationId xmlns:a16="http://schemas.microsoft.com/office/drawing/2014/main" id="{37D08180-EA79-425E-B548-744D009BE2D0}"/>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7" name="TextBox 86">
          <a:extLst>
            <a:ext uri="{FF2B5EF4-FFF2-40B4-BE49-F238E27FC236}">
              <a16:creationId xmlns:a16="http://schemas.microsoft.com/office/drawing/2014/main" id="{6FFCA166-DB94-4C03-8C1C-5332ED10029F}"/>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8" name="TextBox 87">
          <a:extLst>
            <a:ext uri="{FF2B5EF4-FFF2-40B4-BE49-F238E27FC236}">
              <a16:creationId xmlns:a16="http://schemas.microsoft.com/office/drawing/2014/main" id="{520FD6F8-5C3F-4A00-B09D-E61B646038D5}"/>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89" name="TextBox 88">
          <a:extLst>
            <a:ext uri="{FF2B5EF4-FFF2-40B4-BE49-F238E27FC236}">
              <a16:creationId xmlns:a16="http://schemas.microsoft.com/office/drawing/2014/main" id="{DCA0E572-F924-4447-95A9-6FE50D565D52}"/>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0" name="TextBox 89">
          <a:extLst>
            <a:ext uri="{FF2B5EF4-FFF2-40B4-BE49-F238E27FC236}">
              <a16:creationId xmlns:a16="http://schemas.microsoft.com/office/drawing/2014/main" id="{DF4621AA-1FC0-498A-B5F4-427A36C24A7A}"/>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1" name="TextBox 90">
          <a:extLst>
            <a:ext uri="{FF2B5EF4-FFF2-40B4-BE49-F238E27FC236}">
              <a16:creationId xmlns:a16="http://schemas.microsoft.com/office/drawing/2014/main" id="{BEE5CE7E-9903-4566-BAFD-FF3E898A1339}"/>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2" name="TextBox 91">
          <a:extLst>
            <a:ext uri="{FF2B5EF4-FFF2-40B4-BE49-F238E27FC236}">
              <a16:creationId xmlns:a16="http://schemas.microsoft.com/office/drawing/2014/main" id="{852A99A0-E728-4753-B980-5D7B19E38C2E}"/>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3" name="TextBox 92">
          <a:extLst>
            <a:ext uri="{FF2B5EF4-FFF2-40B4-BE49-F238E27FC236}">
              <a16:creationId xmlns:a16="http://schemas.microsoft.com/office/drawing/2014/main" id="{47BEF588-236A-485A-9DB0-BCC55BA55053}"/>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4" name="TextBox 93">
          <a:extLst>
            <a:ext uri="{FF2B5EF4-FFF2-40B4-BE49-F238E27FC236}">
              <a16:creationId xmlns:a16="http://schemas.microsoft.com/office/drawing/2014/main" id="{42FC51E4-B68F-45F6-82A5-B207DEECF8CD}"/>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5" name="TextBox 94">
          <a:extLst>
            <a:ext uri="{FF2B5EF4-FFF2-40B4-BE49-F238E27FC236}">
              <a16:creationId xmlns:a16="http://schemas.microsoft.com/office/drawing/2014/main" id="{ABC07B3F-0744-4BE1-85C3-36825021C37D}"/>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6" name="TextBox 95">
          <a:extLst>
            <a:ext uri="{FF2B5EF4-FFF2-40B4-BE49-F238E27FC236}">
              <a16:creationId xmlns:a16="http://schemas.microsoft.com/office/drawing/2014/main" id="{759FCF13-8266-451C-8E31-D299F888B9BE}"/>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97" name="TextBox 96">
          <a:extLst>
            <a:ext uri="{FF2B5EF4-FFF2-40B4-BE49-F238E27FC236}">
              <a16:creationId xmlns:a16="http://schemas.microsoft.com/office/drawing/2014/main" id="{320018FB-078C-4AED-B324-C76877DCB27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98" name="TextBox 97">
          <a:extLst>
            <a:ext uri="{FF2B5EF4-FFF2-40B4-BE49-F238E27FC236}">
              <a16:creationId xmlns:a16="http://schemas.microsoft.com/office/drawing/2014/main" id="{7B09DE0D-C53A-41A0-B222-F3F805D370A3}"/>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99" name="TextBox 98">
          <a:extLst>
            <a:ext uri="{FF2B5EF4-FFF2-40B4-BE49-F238E27FC236}">
              <a16:creationId xmlns:a16="http://schemas.microsoft.com/office/drawing/2014/main" id="{7084BC3A-CB48-49E5-88D3-127E48BC41CD}"/>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100" name="TextBox 99">
          <a:extLst>
            <a:ext uri="{FF2B5EF4-FFF2-40B4-BE49-F238E27FC236}">
              <a16:creationId xmlns:a16="http://schemas.microsoft.com/office/drawing/2014/main" id="{97AF7E08-238C-481E-A7E2-E4D950F0A6A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101" name="TextBox 100">
          <a:extLst>
            <a:ext uri="{FF2B5EF4-FFF2-40B4-BE49-F238E27FC236}">
              <a16:creationId xmlns:a16="http://schemas.microsoft.com/office/drawing/2014/main" id="{B5CEB416-C553-4918-855D-203BA14E2F2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2" name="TextBox 101">
          <a:extLst>
            <a:ext uri="{FF2B5EF4-FFF2-40B4-BE49-F238E27FC236}">
              <a16:creationId xmlns:a16="http://schemas.microsoft.com/office/drawing/2014/main" id="{24B427D6-8245-4074-A81B-7D49882A84B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3" name="TextBox 102">
          <a:extLst>
            <a:ext uri="{FF2B5EF4-FFF2-40B4-BE49-F238E27FC236}">
              <a16:creationId xmlns:a16="http://schemas.microsoft.com/office/drawing/2014/main" id="{077B1CD3-030B-4A8C-A3F7-FE28BB18A0A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4" name="TextBox 103">
          <a:extLst>
            <a:ext uri="{FF2B5EF4-FFF2-40B4-BE49-F238E27FC236}">
              <a16:creationId xmlns:a16="http://schemas.microsoft.com/office/drawing/2014/main" id="{2EBCFD96-36AA-4B14-9B34-98328AFC106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5" name="TextBox 104">
          <a:extLst>
            <a:ext uri="{FF2B5EF4-FFF2-40B4-BE49-F238E27FC236}">
              <a16:creationId xmlns:a16="http://schemas.microsoft.com/office/drawing/2014/main" id="{8D279BE1-431F-4B3D-A4D4-9BBBC495C36A}"/>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6" name="TextBox 105">
          <a:extLst>
            <a:ext uri="{FF2B5EF4-FFF2-40B4-BE49-F238E27FC236}">
              <a16:creationId xmlns:a16="http://schemas.microsoft.com/office/drawing/2014/main" id="{7E908310-D775-4575-93BB-48A4B55ABB42}"/>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7" name="TextBox 106">
          <a:extLst>
            <a:ext uri="{FF2B5EF4-FFF2-40B4-BE49-F238E27FC236}">
              <a16:creationId xmlns:a16="http://schemas.microsoft.com/office/drawing/2014/main" id="{49A276FF-F869-4C72-943E-76F6D1AFF23A}"/>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8" name="TextBox 107">
          <a:extLst>
            <a:ext uri="{FF2B5EF4-FFF2-40B4-BE49-F238E27FC236}">
              <a16:creationId xmlns:a16="http://schemas.microsoft.com/office/drawing/2014/main" id="{40545954-3831-4875-B1BD-CECF6EDCF8B9}"/>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9" name="TextBox 108">
          <a:extLst>
            <a:ext uri="{FF2B5EF4-FFF2-40B4-BE49-F238E27FC236}">
              <a16:creationId xmlns:a16="http://schemas.microsoft.com/office/drawing/2014/main" id="{73C214BE-35E1-4BDB-BAA4-E64F18134C40}"/>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0" name="TextBox 109">
          <a:extLst>
            <a:ext uri="{FF2B5EF4-FFF2-40B4-BE49-F238E27FC236}">
              <a16:creationId xmlns:a16="http://schemas.microsoft.com/office/drawing/2014/main" id="{2600C063-78F4-407F-ACBC-C517AF18D208}"/>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1" name="TextBox 110">
          <a:extLst>
            <a:ext uri="{FF2B5EF4-FFF2-40B4-BE49-F238E27FC236}">
              <a16:creationId xmlns:a16="http://schemas.microsoft.com/office/drawing/2014/main" id="{32AB6D68-C985-4DAE-9930-7CDAB403AD43}"/>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2" name="TextBox 111">
          <a:extLst>
            <a:ext uri="{FF2B5EF4-FFF2-40B4-BE49-F238E27FC236}">
              <a16:creationId xmlns:a16="http://schemas.microsoft.com/office/drawing/2014/main" id="{33D52D9A-0432-4F9C-A905-9E1A2F2419BB}"/>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3" name="TextBox 112">
          <a:extLst>
            <a:ext uri="{FF2B5EF4-FFF2-40B4-BE49-F238E27FC236}">
              <a16:creationId xmlns:a16="http://schemas.microsoft.com/office/drawing/2014/main" id="{A0861D82-32E0-459F-A62F-4F846A876EA7}"/>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4" name="TextBox 113">
          <a:extLst>
            <a:ext uri="{FF2B5EF4-FFF2-40B4-BE49-F238E27FC236}">
              <a16:creationId xmlns:a16="http://schemas.microsoft.com/office/drawing/2014/main" id="{6E1C5FAA-9D90-48CD-A7B9-96290FDC68CE}"/>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15" name="TextBox 114">
          <a:extLst>
            <a:ext uri="{FF2B5EF4-FFF2-40B4-BE49-F238E27FC236}">
              <a16:creationId xmlns:a16="http://schemas.microsoft.com/office/drawing/2014/main" id="{052AB165-E1E1-4627-9FB7-ADDCF60B7A29}"/>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6" name="TextBox 115">
          <a:extLst>
            <a:ext uri="{FF2B5EF4-FFF2-40B4-BE49-F238E27FC236}">
              <a16:creationId xmlns:a16="http://schemas.microsoft.com/office/drawing/2014/main" id="{9F503286-0172-4919-9663-998AAFFD2413}"/>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7" name="TextBox 116">
          <a:extLst>
            <a:ext uri="{FF2B5EF4-FFF2-40B4-BE49-F238E27FC236}">
              <a16:creationId xmlns:a16="http://schemas.microsoft.com/office/drawing/2014/main" id="{727E5556-69EF-4607-A34C-7EC906C6DCC2}"/>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8" name="TextBox 117">
          <a:extLst>
            <a:ext uri="{FF2B5EF4-FFF2-40B4-BE49-F238E27FC236}">
              <a16:creationId xmlns:a16="http://schemas.microsoft.com/office/drawing/2014/main" id="{C34F162E-46C6-4D61-AAB3-56A3E41032BF}"/>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19" name="TextBox 118">
          <a:extLst>
            <a:ext uri="{FF2B5EF4-FFF2-40B4-BE49-F238E27FC236}">
              <a16:creationId xmlns:a16="http://schemas.microsoft.com/office/drawing/2014/main" id="{AE3925EE-4CEF-42D0-9FC9-C50935A96391}"/>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0" name="TextBox 119">
          <a:extLst>
            <a:ext uri="{FF2B5EF4-FFF2-40B4-BE49-F238E27FC236}">
              <a16:creationId xmlns:a16="http://schemas.microsoft.com/office/drawing/2014/main" id="{A3400E29-4388-4C7C-9F48-C8EBA7504C90}"/>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1" name="TextBox 120">
          <a:extLst>
            <a:ext uri="{FF2B5EF4-FFF2-40B4-BE49-F238E27FC236}">
              <a16:creationId xmlns:a16="http://schemas.microsoft.com/office/drawing/2014/main" id="{C10658A1-3F20-4388-88FF-986DEFC059AF}"/>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2" name="TextBox 121">
          <a:extLst>
            <a:ext uri="{FF2B5EF4-FFF2-40B4-BE49-F238E27FC236}">
              <a16:creationId xmlns:a16="http://schemas.microsoft.com/office/drawing/2014/main" id="{4193498C-F002-45F7-B61E-C400826379EB}"/>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3" name="TextBox 122">
          <a:extLst>
            <a:ext uri="{FF2B5EF4-FFF2-40B4-BE49-F238E27FC236}">
              <a16:creationId xmlns:a16="http://schemas.microsoft.com/office/drawing/2014/main" id="{777A3D28-2406-4DD9-B726-CA580BE9CD3A}"/>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4" name="TextBox 123">
          <a:extLst>
            <a:ext uri="{FF2B5EF4-FFF2-40B4-BE49-F238E27FC236}">
              <a16:creationId xmlns:a16="http://schemas.microsoft.com/office/drawing/2014/main" id="{6B52E147-6DC1-4B9B-9503-85DC60792A06}"/>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5" name="TextBox 124">
          <a:extLst>
            <a:ext uri="{FF2B5EF4-FFF2-40B4-BE49-F238E27FC236}">
              <a16:creationId xmlns:a16="http://schemas.microsoft.com/office/drawing/2014/main" id="{45D4E89E-07E6-4F10-BE36-6EC8BE3380AA}"/>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6" name="TextBox 125">
          <a:extLst>
            <a:ext uri="{FF2B5EF4-FFF2-40B4-BE49-F238E27FC236}">
              <a16:creationId xmlns:a16="http://schemas.microsoft.com/office/drawing/2014/main" id="{B30EC0AC-3C9B-4CE4-9C42-23558B5E4CED}"/>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7" name="TextBox 126">
          <a:extLst>
            <a:ext uri="{FF2B5EF4-FFF2-40B4-BE49-F238E27FC236}">
              <a16:creationId xmlns:a16="http://schemas.microsoft.com/office/drawing/2014/main" id="{AD048AED-03D4-4A0D-A79A-1C46324AEFA9}"/>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8" name="TextBox 127">
          <a:extLst>
            <a:ext uri="{FF2B5EF4-FFF2-40B4-BE49-F238E27FC236}">
              <a16:creationId xmlns:a16="http://schemas.microsoft.com/office/drawing/2014/main" id="{49D6DA0D-0C02-464B-B120-852DB2103A93}"/>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9" name="TextBox 128">
          <a:extLst>
            <a:ext uri="{FF2B5EF4-FFF2-40B4-BE49-F238E27FC236}">
              <a16:creationId xmlns:a16="http://schemas.microsoft.com/office/drawing/2014/main" id="{B580BF2E-6BBF-43CC-85D2-632B3AB8FD2B}"/>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30" name="TextBox 129">
          <a:extLst>
            <a:ext uri="{FF2B5EF4-FFF2-40B4-BE49-F238E27FC236}">
              <a16:creationId xmlns:a16="http://schemas.microsoft.com/office/drawing/2014/main" id="{81F9BA67-4D60-4254-B172-480E4328BB8B}"/>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1" name="TextBox 130">
          <a:extLst>
            <a:ext uri="{FF2B5EF4-FFF2-40B4-BE49-F238E27FC236}">
              <a16:creationId xmlns:a16="http://schemas.microsoft.com/office/drawing/2014/main" id="{FB1DEC01-54E4-4AAD-A4D2-96DB909F5EF5}"/>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2" name="TextBox 131">
          <a:extLst>
            <a:ext uri="{FF2B5EF4-FFF2-40B4-BE49-F238E27FC236}">
              <a16:creationId xmlns:a16="http://schemas.microsoft.com/office/drawing/2014/main" id="{77B48DAA-9896-4FBF-8C9E-136785486DD6}"/>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3" name="TextBox 132">
          <a:extLst>
            <a:ext uri="{FF2B5EF4-FFF2-40B4-BE49-F238E27FC236}">
              <a16:creationId xmlns:a16="http://schemas.microsoft.com/office/drawing/2014/main" id="{2D4E5196-3DAD-4A06-9AC9-759176BFC938}"/>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4" name="TextBox 133">
          <a:extLst>
            <a:ext uri="{FF2B5EF4-FFF2-40B4-BE49-F238E27FC236}">
              <a16:creationId xmlns:a16="http://schemas.microsoft.com/office/drawing/2014/main" id="{2C602737-9DAF-4F61-B528-84E008F2EF91}"/>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5" name="TextBox 134">
          <a:extLst>
            <a:ext uri="{FF2B5EF4-FFF2-40B4-BE49-F238E27FC236}">
              <a16:creationId xmlns:a16="http://schemas.microsoft.com/office/drawing/2014/main" id="{07E23953-8949-494F-9FD7-87FA34CF7BF6}"/>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6" name="TextBox 135">
          <a:extLst>
            <a:ext uri="{FF2B5EF4-FFF2-40B4-BE49-F238E27FC236}">
              <a16:creationId xmlns:a16="http://schemas.microsoft.com/office/drawing/2014/main" id="{0C503B19-CD6C-49D2-BDCD-7F8C505DC257}"/>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7" name="TextBox 136">
          <a:extLst>
            <a:ext uri="{FF2B5EF4-FFF2-40B4-BE49-F238E27FC236}">
              <a16:creationId xmlns:a16="http://schemas.microsoft.com/office/drawing/2014/main" id="{1487B10D-DD81-4CC7-8AEB-B73E7401F50A}"/>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8" name="TextBox 137">
          <a:extLst>
            <a:ext uri="{FF2B5EF4-FFF2-40B4-BE49-F238E27FC236}">
              <a16:creationId xmlns:a16="http://schemas.microsoft.com/office/drawing/2014/main" id="{DB30FF9A-42AD-4575-A0E3-8947475C7C44}"/>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9" name="TextBox 138">
          <a:extLst>
            <a:ext uri="{FF2B5EF4-FFF2-40B4-BE49-F238E27FC236}">
              <a16:creationId xmlns:a16="http://schemas.microsoft.com/office/drawing/2014/main" id="{C2FD7B8E-0F62-4C1B-88AB-C453FE452ACE}"/>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0" name="TextBox 139">
          <a:extLst>
            <a:ext uri="{FF2B5EF4-FFF2-40B4-BE49-F238E27FC236}">
              <a16:creationId xmlns:a16="http://schemas.microsoft.com/office/drawing/2014/main" id="{F2313D20-5C31-4623-9780-89B9C80679B3}"/>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1" name="TextBox 140">
          <a:extLst>
            <a:ext uri="{FF2B5EF4-FFF2-40B4-BE49-F238E27FC236}">
              <a16:creationId xmlns:a16="http://schemas.microsoft.com/office/drawing/2014/main" id="{43DA96EE-B196-46B6-8CB5-B227689B3CEE}"/>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2" name="TextBox 141">
          <a:extLst>
            <a:ext uri="{FF2B5EF4-FFF2-40B4-BE49-F238E27FC236}">
              <a16:creationId xmlns:a16="http://schemas.microsoft.com/office/drawing/2014/main" id="{D3D85BEE-B507-44EA-A5DD-AEC45C6F14CF}"/>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3" name="TextBox 142">
          <a:extLst>
            <a:ext uri="{FF2B5EF4-FFF2-40B4-BE49-F238E27FC236}">
              <a16:creationId xmlns:a16="http://schemas.microsoft.com/office/drawing/2014/main" id="{9D7E90E2-8497-4B84-BE2A-0DA4EDCB50EF}"/>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4" name="TextBox 143">
          <a:extLst>
            <a:ext uri="{FF2B5EF4-FFF2-40B4-BE49-F238E27FC236}">
              <a16:creationId xmlns:a16="http://schemas.microsoft.com/office/drawing/2014/main" id="{4A9446BA-CDF9-4254-9D44-BE1C704D857E}"/>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5" name="TextBox 144">
          <a:extLst>
            <a:ext uri="{FF2B5EF4-FFF2-40B4-BE49-F238E27FC236}">
              <a16:creationId xmlns:a16="http://schemas.microsoft.com/office/drawing/2014/main" id="{9CEC08FF-4270-4703-938C-3DA167CD30FD}"/>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6" name="TextBox 145">
          <a:extLst>
            <a:ext uri="{FF2B5EF4-FFF2-40B4-BE49-F238E27FC236}">
              <a16:creationId xmlns:a16="http://schemas.microsoft.com/office/drawing/2014/main" id="{166C2C56-0331-4B65-8298-16DF60416A36}"/>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7" name="TextBox 146">
          <a:extLst>
            <a:ext uri="{FF2B5EF4-FFF2-40B4-BE49-F238E27FC236}">
              <a16:creationId xmlns:a16="http://schemas.microsoft.com/office/drawing/2014/main" id="{953DB074-9FEE-4BA2-A6A1-48ADA6FBBBF0}"/>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48" name="TextBox 147">
          <a:extLst>
            <a:ext uri="{FF2B5EF4-FFF2-40B4-BE49-F238E27FC236}">
              <a16:creationId xmlns:a16="http://schemas.microsoft.com/office/drawing/2014/main" id="{1E915CE1-93E3-4CDD-8465-10D922548ABC}"/>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49" name="TextBox 148">
          <a:extLst>
            <a:ext uri="{FF2B5EF4-FFF2-40B4-BE49-F238E27FC236}">
              <a16:creationId xmlns:a16="http://schemas.microsoft.com/office/drawing/2014/main" id="{18E48D73-9EDD-465F-8052-1CD5096726F2}"/>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0" name="TextBox 149">
          <a:extLst>
            <a:ext uri="{FF2B5EF4-FFF2-40B4-BE49-F238E27FC236}">
              <a16:creationId xmlns:a16="http://schemas.microsoft.com/office/drawing/2014/main" id="{320EC90B-4B2D-4EA4-8800-AD21C8E83DF0}"/>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1" name="TextBox 150">
          <a:extLst>
            <a:ext uri="{FF2B5EF4-FFF2-40B4-BE49-F238E27FC236}">
              <a16:creationId xmlns:a16="http://schemas.microsoft.com/office/drawing/2014/main" id="{BF862DAE-F503-4DAB-893E-BE5681F266EE}"/>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2" name="TextBox 151">
          <a:extLst>
            <a:ext uri="{FF2B5EF4-FFF2-40B4-BE49-F238E27FC236}">
              <a16:creationId xmlns:a16="http://schemas.microsoft.com/office/drawing/2014/main" id="{AAF865B9-B484-404E-BB90-60CB26028BCA}"/>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3" name="TextBox 152">
          <a:extLst>
            <a:ext uri="{FF2B5EF4-FFF2-40B4-BE49-F238E27FC236}">
              <a16:creationId xmlns:a16="http://schemas.microsoft.com/office/drawing/2014/main" id="{330BEC50-5784-458C-9A99-604D368CD6CC}"/>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4" name="TextBox 153">
          <a:extLst>
            <a:ext uri="{FF2B5EF4-FFF2-40B4-BE49-F238E27FC236}">
              <a16:creationId xmlns:a16="http://schemas.microsoft.com/office/drawing/2014/main" id="{88D32DF6-0EC9-4B59-A1C4-8686B199D498}"/>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5" name="TextBox 154">
          <a:extLst>
            <a:ext uri="{FF2B5EF4-FFF2-40B4-BE49-F238E27FC236}">
              <a16:creationId xmlns:a16="http://schemas.microsoft.com/office/drawing/2014/main" id="{EE050793-61BE-4728-8474-FA4304B6FB7E}"/>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6" name="TextBox 155">
          <a:extLst>
            <a:ext uri="{FF2B5EF4-FFF2-40B4-BE49-F238E27FC236}">
              <a16:creationId xmlns:a16="http://schemas.microsoft.com/office/drawing/2014/main" id="{D25A2257-505E-4B06-9C79-75F21C622D35}"/>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7" name="TextBox 156">
          <a:extLst>
            <a:ext uri="{FF2B5EF4-FFF2-40B4-BE49-F238E27FC236}">
              <a16:creationId xmlns:a16="http://schemas.microsoft.com/office/drawing/2014/main" id="{03F353B0-133C-4F6A-BC6C-7AEA0B654E27}"/>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8" name="TextBox 157">
          <a:extLst>
            <a:ext uri="{FF2B5EF4-FFF2-40B4-BE49-F238E27FC236}">
              <a16:creationId xmlns:a16="http://schemas.microsoft.com/office/drawing/2014/main" id="{7403D348-9AC9-4101-9A79-F7CE469998D1}"/>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9" name="TextBox 158">
          <a:extLst>
            <a:ext uri="{FF2B5EF4-FFF2-40B4-BE49-F238E27FC236}">
              <a16:creationId xmlns:a16="http://schemas.microsoft.com/office/drawing/2014/main" id="{6F5CFD9E-CFC7-4144-B390-2E20E87FBA03}"/>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60" name="TextBox 159">
          <a:extLst>
            <a:ext uri="{FF2B5EF4-FFF2-40B4-BE49-F238E27FC236}">
              <a16:creationId xmlns:a16="http://schemas.microsoft.com/office/drawing/2014/main" id="{BA86D117-9F0B-47E9-A9B0-48BC93579845}"/>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1" name="TextBox 160">
          <a:extLst>
            <a:ext uri="{FF2B5EF4-FFF2-40B4-BE49-F238E27FC236}">
              <a16:creationId xmlns:a16="http://schemas.microsoft.com/office/drawing/2014/main" id="{20C54807-9EBD-474E-8B48-C1311169D938}"/>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2" name="TextBox 161">
          <a:extLst>
            <a:ext uri="{FF2B5EF4-FFF2-40B4-BE49-F238E27FC236}">
              <a16:creationId xmlns:a16="http://schemas.microsoft.com/office/drawing/2014/main" id="{5CA8B372-3E3B-4315-AAE1-D4BE4AF265B9}"/>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3" name="TextBox 162">
          <a:extLst>
            <a:ext uri="{FF2B5EF4-FFF2-40B4-BE49-F238E27FC236}">
              <a16:creationId xmlns:a16="http://schemas.microsoft.com/office/drawing/2014/main" id="{7F356B93-19CF-40F5-904E-9F5DE7F6D964}"/>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4" name="TextBox 163">
          <a:extLst>
            <a:ext uri="{FF2B5EF4-FFF2-40B4-BE49-F238E27FC236}">
              <a16:creationId xmlns:a16="http://schemas.microsoft.com/office/drawing/2014/main" id="{B59EECF1-994C-4E63-8CAB-CC24C6FF9532}"/>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5" name="TextBox 164">
          <a:extLst>
            <a:ext uri="{FF2B5EF4-FFF2-40B4-BE49-F238E27FC236}">
              <a16:creationId xmlns:a16="http://schemas.microsoft.com/office/drawing/2014/main" id="{852502A6-B135-433C-BED9-FB41BBDA0399}"/>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66" name="TextBox 165">
          <a:extLst>
            <a:ext uri="{FF2B5EF4-FFF2-40B4-BE49-F238E27FC236}">
              <a16:creationId xmlns:a16="http://schemas.microsoft.com/office/drawing/2014/main" id="{BB84CAC7-E65F-40A9-B020-883F43140178}"/>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7" name="TextBox 166">
          <a:extLst>
            <a:ext uri="{FF2B5EF4-FFF2-40B4-BE49-F238E27FC236}">
              <a16:creationId xmlns:a16="http://schemas.microsoft.com/office/drawing/2014/main" id="{88B7FFB2-E58D-42AF-AD09-661ABF7888AE}"/>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8" name="TextBox 167">
          <a:extLst>
            <a:ext uri="{FF2B5EF4-FFF2-40B4-BE49-F238E27FC236}">
              <a16:creationId xmlns:a16="http://schemas.microsoft.com/office/drawing/2014/main" id="{A3EEC251-BC9E-4333-B42D-1080205058E0}"/>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9" name="TextBox 168">
          <a:extLst>
            <a:ext uri="{FF2B5EF4-FFF2-40B4-BE49-F238E27FC236}">
              <a16:creationId xmlns:a16="http://schemas.microsoft.com/office/drawing/2014/main" id="{7AE288C3-A141-4871-9F16-441E5345C0F2}"/>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0" name="TextBox 169">
          <a:extLst>
            <a:ext uri="{FF2B5EF4-FFF2-40B4-BE49-F238E27FC236}">
              <a16:creationId xmlns:a16="http://schemas.microsoft.com/office/drawing/2014/main" id="{54A3296E-4CF5-47AE-98C6-AEE02D832525}"/>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1" name="TextBox 170">
          <a:extLst>
            <a:ext uri="{FF2B5EF4-FFF2-40B4-BE49-F238E27FC236}">
              <a16:creationId xmlns:a16="http://schemas.microsoft.com/office/drawing/2014/main" id="{250DEC01-BE1C-4857-A2BC-870BCB76D97E}"/>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2" name="TextBox 171">
          <a:extLst>
            <a:ext uri="{FF2B5EF4-FFF2-40B4-BE49-F238E27FC236}">
              <a16:creationId xmlns:a16="http://schemas.microsoft.com/office/drawing/2014/main" id="{3D474484-9992-430C-80BB-0FA222274A44}"/>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3" name="TextBox 172">
          <a:extLst>
            <a:ext uri="{FF2B5EF4-FFF2-40B4-BE49-F238E27FC236}">
              <a16:creationId xmlns:a16="http://schemas.microsoft.com/office/drawing/2014/main" id="{A41AE2A3-DA9E-49D2-91A9-FE3E510BA3D1}"/>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4" name="TextBox 173">
          <a:extLst>
            <a:ext uri="{FF2B5EF4-FFF2-40B4-BE49-F238E27FC236}">
              <a16:creationId xmlns:a16="http://schemas.microsoft.com/office/drawing/2014/main" id="{468EC6F8-EA37-4F4F-9DE5-2C73537B86DE}"/>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5" name="TextBox 174">
          <a:extLst>
            <a:ext uri="{FF2B5EF4-FFF2-40B4-BE49-F238E27FC236}">
              <a16:creationId xmlns:a16="http://schemas.microsoft.com/office/drawing/2014/main" id="{C7E6B7D9-1EF2-4838-87F8-A9BEE2ABA148}"/>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6" name="TextBox 175">
          <a:extLst>
            <a:ext uri="{FF2B5EF4-FFF2-40B4-BE49-F238E27FC236}">
              <a16:creationId xmlns:a16="http://schemas.microsoft.com/office/drawing/2014/main" id="{0DD85CBB-E405-4807-B9C8-28BDFE0AC20C}"/>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7" name="TextBox 176">
          <a:extLst>
            <a:ext uri="{FF2B5EF4-FFF2-40B4-BE49-F238E27FC236}">
              <a16:creationId xmlns:a16="http://schemas.microsoft.com/office/drawing/2014/main" id="{954080A2-ECDF-4DCB-9B10-6B11E8CF0F51}"/>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78" name="TextBox 177">
          <a:extLst>
            <a:ext uri="{FF2B5EF4-FFF2-40B4-BE49-F238E27FC236}">
              <a16:creationId xmlns:a16="http://schemas.microsoft.com/office/drawing/2014/main" id="{72FCA09D-ED8D-48C8-81AE-600F64CF91C6}"/>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79" name="TextBox 178">
          <a:extLst>
            <a:ext uri="{FF2B5EF4-FFF2-40B4-BE49-F238E27FC236}">
              <a16:creationId xmlns:a16="http://schemas.microsoft.com/office/drawing/2014/main" id="{2B8F73B6-B5EC-4E5C-B131-02CC18DF3E84}"/>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80" name="TextBox 179">
          <a:extLst>
            <a:ext uri="{FF2B5EF4-FFF2-40B4-BE49-F238E27FC236}">
              <a16:creationId xmlns:a16="http://schemas.microsoft.com/office/drawing/2014/main" id="{0455BCD0-E6AF-4AAE-8781-D205BF2F1542}"/>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81" name="TextBox 180">
          <a:extLst>
            <a:ext uri="{FF2B5EF4-FFF2-40B4-BE49-F238E27FC236}">
              <a16:creationId xmlns:a16="http://schemas.microsoft.com/office/drawing/2014/main" id="{B37FBAD3-1A73-422E-9BF7-00FB40470D66}"/>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2" name="TextBox 181">
          <a:extLst>
            <a:ext uri="{FF2B5EF4-FFF2-40B4-BE49-F238E27FC236}">
              <a16:creationId xmlns:a16="http://schemas.microsoft.com/office/drawing/2014/main" id="{4F919258-1AC0-4838-B1A4-29F3777A482C}"/>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3" name="TextBox 182">
          <a:extLst>
            <a:ext uri="{FF2B5EF4-FFF2-40B4-BE49-F238E27FC236}">
              <a16:creationId xmlns:a16="http://schemas.microsoft.com/office/drawing/2014/main" id="{0CFD8FE3-1AF4-44FA-A006-D82C19F71CFB}"/>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4" name="TextBox 183">
          <a:extLst>
            <a:ext uri="{FF2B5EF4-FFF2-40B4-BE49-F238E27FC236}">
              <a16:creationId xmlns:a16="http://schemas.microsoft.com/office/drawing/2014/main" id="{0D394A74-15A8-4A3B-83CD-5DB5AB567CC2}"/>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5" name="TextBox 184">
          <a:extLst>
            <a:ext uri="{FF2B5EF4-FFF2-40B4-BE49-F238E27FC236}">
              <a16:creationId xmlns:a16="http://schemas.microsoft.com/office/drawing/2014/main" id="{C6CF3021-33B4-4EBD-BA78-53ABE40C3D25}"/>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6" name="TextBox 185">
          <a:extLst>
            <a:ext uri="{FF2B5EF4-FFF2-40B4-BE49-F238E27FC236}">
              <a16:creationId xmlns:a16="http://schemas.microsoft.com/office/drawing/2014/main" id="{A762D999-7045-4C04-A796-78E8FEE8BCC1}"/>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7" name="TextBox 186">
          <a:extLst>
            <a:ext uri="{FF2B5EF4-FFF2-40B4-BE49-F238E27FC236}">
              <a16:creationId xmlns:a16="http://schemas.microsoft.com/office/drawing/2014/main" id="{8B8BBF7F-3978-47E5-9362-7A8C9CEE7AF7}"/>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8" name="TextBox 187">
          <a:extLst>
            <a:ext uri="{FF2B5EF4-FFF2-40B4-BE49-F238E27FC236}">
              <a16:creationId xmlns:a16="http://schemas.microsoft.com/office/drawing/2014/main" id="{5B840250-2D1F-40D2-9BDC-14A067F48FF2}"/>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9" name="TextBox 188">
          <a:extLst>
            <a:ext uri="{FF2B5EF4-FFF2-40B4-BE49-F238E27FC236}">
              <a16:creationId xmlns:a16="http://schemas.microsoft.com/office/drawing/2014/main" id="{2E56D559-CF0F-4167-AA46-19875E17CA2C}"/>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90" name="TextBox 189">
          <a:extLst>
            <a:ext uri="{FF2B5EF4-FFF2-40B4-BE49-F238E27FC236}">
              <a16:creationId xmlns:a16="http://schemas.microsoft.com/office/drawing/2014/main" id="{239CC649-EE0B-49EF-B0AD-0D2081A65710}"/>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1" name="TextBox 190">
          <a:extLst>
            <a:ext uri="{FF2B5EF4-FFF2-40B4-BE49-F238E27FC236}">
              <a16:creationId xmlns:a16="http://schemas.microsoft.com/office/drawing/2014/main" id="{3E8622B5-0F61-4DDF-A2F8-7FE0CAE20E55}"/>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2" name="TextBox 191">
          <a:extLst>
            <a:ext uri="{FF2B5EF4-FFF2-40B4-BE49-F238E27FC236}">
              <a16:creationId xmlns:a16="http://schemas.microsoft.com/office/drawing/2014/main" id="{0D7A634B-8125-4908-8B9A-278BA7EE21F7}"/>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3" name="TextBox 192">
          <a:extLst>
            <a:ext uri="{FF2B5EF4-FFF2-40B4-BE49-F238E27FC236}">
              <a16:creationId xmlns:a16="http://schemas.microsoft.com/office/drawing/2014/main" id="{777015CF-2949-4E37-A2D3-83E72B861197}"/>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4" name="TextBox 193">
          <a:extLst>
            <a:ext uri="{FF2B5EF4-FFF2-40B4-BE49-F238E27FC236}">
              <a16:creationId xmlns:a16="http://schemas.microsoft.com/office/drawing/2014/main" id="{7212DBE5-217E-4361-9885-18A4E1C14A52}"/>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5" name="TextBox 194">
          <a:extLst>
            <a:ext uri="{FF2B5EF4-FFF2-40B4-BE49-F238E27FC236}">
              <a16:creationId xmlns:a16="http://schemas.microsoft.com/office/drawing/2014/main" id="{2809DE37-803D-4F81-BCCC-C9BC9A2B0762}"/>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6" name="TextBox 195">
          <a:extLst>
            <a:ext uri="{FF2B5EF4-FFF2-40B4-BE49-F238E27FC236}">
              <a16:creationId xmlns:a16="http://schemas.microsoft.com/office/drawing/2014/main" id="{764F8257-D219-45C6-A7E7-1B6629687D08}"/>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7" name="TextBox 196">
          <a:extLst>
            <a:ext uri="{FF2B5EF4-FFF2-40B4-BE49-F238E27FC236}">
              <a16:creationId xmlns:a16="http://schemas.microsoft.com/office/drawing/2014/main" id="{360F25EB-3F83-4714-9050-18768A450DCE}"/>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8" name="TextBox 197">
          <a:extLst>
            <a:ext uri="{FF2B5EF4-FFF2-40B4-BE49-F238E27FC236}">
              <a16:creationId xmlns:a16="http://schemas.microsoft.com/office/drawing/2014/main" id="{125B127A-B1CA-4156-BB79-5A62E95B1E54}"/>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199" name="TextBox 198">
          <a:extLst>
            <a:ext uri="{FF2B5EF4-FFF2-40B4-BE49-F238E27FC236}">
              <a16:creationId xmlns:a16="http://schemas.microsoft.com/office/drawing/2014/main" id="{0FEDED6F-24E3-4782-8A26-93D2FBD926A5}"/>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0" name="TextBox 199">
          <a:extLst>
            <a:ext uri="{FF2B5EF4-FFF2-40B4-BE49-F238E27FC236}">
              <a16:creationId xmlns:a16="http://schemas.microsoft.com/office/drawing/2014/main" id="{B3F3011B-1C99-4888-B8A1-884EC6E8AA71}"/>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1" name="TextBox 200">
          <a:extLst>
            <a:ext uri="{FF2B5EF4-FFF2-40B4-BE49-F238E27FC236}">
              <a16:creationId xmlns:a16="http://schemas.microsoft.com/office/drawing/2014/main" id="{1CD69551-3603-4B8C-8E4C-EF1299CA1720}"/>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2" name="TextBox 201">
          <a:extLst>
            <a:ext uri="{FF2B5EF4-FFF2-40B4-BE49-F238E27FC236}">
              <a16:creationId xmlns:a16="http://schemas.microsoft.com/office/drawing/2014/main" id="{61025D63-6027-427D-8BA5-CF6A3AF32311}"/>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3" name="TextBox 202">
          <a:extLst>
            <a:ext uri="{FF2B5EF4-FFF2-40B4-BE49-F238E27FC236}">
              <a16:creationId xmlns:a16="http://schemas.microsoft.com/office/drawing/2014/main" id="{7F01EF88-BF72-43D1-A290-C37046DC9E81}"/>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4" name="TextBox 203">
          <a:extLst>
            <a:ext uri="{FF2B5EF4-FFF2-40B4-BE49-F238E27FC236}">
              <a16:creationId xmlns:a16="http://schemas.microsoft.com/office/drawing/2014/main" id="{825A9384-B46A-41F5-9C08-9F707FDF8FA5}"/>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5" name="TextBox 204">
          <a:extLst>
            <a:ext uri="{FF2B5EF4-FFF2-40B4-BE49-F238E27FC236}">
              <a16:creationId xmlns:a16="http://schemas.microsoft.com/office/drawing/2014/main" id="{F7475B66-37A6-4713-BEC4-361476A393B8}"/>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6" name="TextBox 205">
          <a:extLst>
            <a:ext uri="{FF2B5EF4-FFF2-40B4-BE49-F238E27FC236}">
              <a16:creationId xmlns:a16="http://schemas.microsoft.com/office/drawing/2014/main" id="{13B4CC6C-353B-4CF7-87A2-6C52423A6A39}"/>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7" name="TextBox 206">
          <a:extLst>
            <a:ext uri="{FF2B5EF4-FFF2-40B4-BE49-F238E27FC236}">
              <a16:creationId xmlns:a16="http://schemas.microsoft.com/office/drawing/2014/main" id="{3FDB1F72-2D07-4A3F-A2B4-D31C103B8923}"/>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08" name="TextBox 207">
          <a:extLst>
            <a:ext uri="{FF2B5EF4-FFF2-40B4-BE49-F238E27FC236}">
              <a16:creationId xmlns:a16="http://schemas.microsoft.com/office/drawing/2014/main" id="{FC4F6E03-B564-4AB9-9E81-53BF3C6920D7}"/>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09" name="TextBox 208">
          <a:extLst>
            <a:ext uri="{FF2B5EF4-FFF2-40B4-BE49-F238E27FC236}">
              <a16:creationId xmlns:a16="http://schemas.microsoft.com/office/drawing/2014/main" id="{6FA0A738-70C7-4A0A-8ADE-C6CF6FCA9845}"/>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10" name="TextBox 209">
          <a:extLst>
            <a:ext uri="{FF2B5EF4-FFF2-40B4-BE49-F238E27FC236}">
              <a16:creationId xmlns:a16="http://schemas.microsoft.com/office/drawing/2014/main" id="{CAA18B7B-FA2A-4263-AF33-F4A7C64FC4A5}"/>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11" name="TextBox 210">
          <a:extLst>
            <a:ext uri="{FF2B5EF4-FFF2-40B4-BE49-F238E27FC236}">
              <a16:creationId xmlns:a16="http://schemas.microsoft.com/office/drawing/2014/main" id="{C1BE67AA-BCA6-40B5-AADB-553857FE1DD4}"/>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2" name="TextBox 211">
          <a:extLst>
            <a:ext uri="{FF2B5EF4-FFF2-40B4-BE49-F238E27FC236}">
              <a16:creationId xmlns:a16="http://schemas.microsoft.com/office/drawing/2014/main" id="{5AF16FC8-8737-4C6C-9956-1D1D72599B57}"/>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3" name="TextBox 212">
          <a:extLst>
            <a:ext uri="{FF2B5EF4-FFF2-40B4-BE49-F238E27FC236}">
              <a16:creationId xmlns:a16="http://schemas.microsoft.com/office/drawing/2014/main" id="{B37B987F-BDFB-457C-B96D-67C1FEC70E34}"/>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4" name="TextBox 213">
          <a:extLst>
            <a:ext uri="{FF2B5EF4-FFF2-40B4-BE49-F238E27FC236}">
              <a16:creationId xmlns:a16="http://schemas.microsoft.com/office/drawing/2014/main" id="{2F9D8350-DF38-4F5E-B3CB-92A16421BDB5}"/>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5" name="TextBox 214">
          <a:extLst>
            <a:ext uri="{FF2B5EF4-FFF2-40B4-BE49-F238E27FC236}">
              <a16:creationId xmlns:a16="http://schemas.microsoft.com/office/drawing/2014/main" id="{B22E7920-A260-4B5D-B7CB-1DB1C547BEFD}"/>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6" name="TextBox 215">
          <a:extLst>
            <a:ext uri="{FF2B5EF4-FFF2-40B4-BE49-F238E27FC236}">
              <a16:creationId xmlns:a16="http://schemas.microsoft.com/office/drawing/2014/main" id="{512ADA04-EDF0-4EFD-B794-AFD18D8E76A0}"/>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17" name="TextBox 216">
          <a:extLst>
            <a:ext uri="{FF2B5EF4-FFF2-40B4-BE49-F238E27FC236}">
              <a16:creationId xmlns:a16="http://schemas.microsoft.com/office/drawing/2014/main" id="{0BCC409D-8577-4749-AAA1-048D4CF4EEE4}"/>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8" name="TextBox 217">
          <a:extLst>
            <a:ext uri="{FF2B5EF4-FFF2-40B4-BE49-F238E27FC236}">
              <a16:creationId xmlns:a16="http://schemas.microsoft.com/office/drawing/2014/main" id="{2536767F-4CEB-4489-8B05-0257C67477D3}"/>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9" name="TextBox 218">
          <a:extLst>
            <a:ext uri="{FF2B5EF4-FFF2-40B4-BE49-F238E27FC236}">
              <a16:creationId xmlns:a16="http://schemas.microsoft.com/office/drawing/2014/main" id="{02B74E9F-EE06-4350-920D-2513B3357087}"/>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20" name="TextBox 219">
          <a:extLst>
            <a:ext uri="{FF2B5EF4-FFF2-40B4-BE49-F238E27FC236}">
              <a16:creationId xmlns:a16="http://schemas.microsoft.com/office/drawing/2014/main" id="{A2C74BC2-045C-4D97-A104-132E4AE31EE2}"/>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1" name="TextBox 220">
          <a:extLst>
            <a:ext uri="{FF2B5EF4-FFF2-40B4-BE49-F238E27FC236}">
              <a16:creationId xmlns:a16="http://schemas.microsoft.com/office/drawing/2014/main" id="{E9ED67FA-3232-40C2-94C0-C97C6166E16C}"/>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2" name="TextBox 221">
          <a:extLst>
            <a:ext uri="{FF2B5EF4-FFF2-40B4-BE49-F238E27FC236}">
              <a16:creationId xmlns:a16="http://schemas.microsoft.com/office/drawing/2014/main" id="{0E6E1F53-1629-4EE9-95D3-32711160C24C}"/>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3" name="TextBox 222">
          <a:extLst>
            <a:ext uri="{FF2B5EF4-FFF2-40B4-BE49-F238E27FC236}">
              <a16:creationId xmlns:a16="http://schemas.microsoft.com/office/drawing/2014/main" id="{1A5E79DD-0CA5-408C-B23E-8C5252654A3D}"/>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4" name="TextBox 223">
          <a:extLst>
            <a:ext uri="{FF2B5EF4-FFF2-40B4-BE49-F238E27FC236}">
              <a16:creationId xmlns:a16="http://schemas.microsoft.com/office/drawing/2014/main" id="{0E34C651-8DBD-479C-9489-75EBD5B397CE}"/>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5" name="TextBox 224">
          <a:extLst>
            <a:ext uri="{FF2B5EF4-FFF2-40B4-BE49-F238E27FC236}">
              <a16:creationId xmlns:a16="http://schemas.microsoft.com/office/drawing/2014/main" id="{C317741A-1F14-4D55-AD18-AE59BD7F97E5}"/>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6" name="TextBox 225">
          <a:extLst>
            <a:ext uri="{FF2B5EF4-FFF2-40B4-BE49-F238E27FC236}">
              <a16:creationId xmlns:a16="http://schemas.microsoft.com/office/drawing/2014/main" id="{692AFABC-C449-44E0-B198-42B0BA38F7EA}"/>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7" name="TextBox 226">
          <a:extLst>
            <a:ext uri="{FF2B5EF4-FFF2-40B4-BE49-F238E27FC236}">
              <a16:creationId xmlns:a16="http://schemas.microsoft.com/office/drawing/2014/main" id="{87AC7AB4-CE2E-48C8-8445-8DA834A1438A}"/>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8" name="TextBox 227">
          <a:extLst>
            <a:ext uri="{FF2B5EF4-FFF2-40B4-BE49-F238E27FC236}">
              <a16:creationId xmlns:a16="http://schemas.microsoft.com/office/drawing/2014/main" id="{016615BC-91D4-4FFF-AC9D-2F24F9C42897}"/>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29" name="TextBox 228">
          <a:extLst>
            <a:ext uri="{FF2B5EF4-FFF2-40B4-BE49-F238E27FC236}">
              <a16:creationId xmlns:a16="http://schemas.microsoft.com/office/drawing/2014/main" id="{0441201C-E98B-486A-B004-28EC99E6FBFB}"/>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0" name="TextBox 229">
          <a:extLst>
            <a:ext uri="{FF2B5EF4-FFF2-40B4-BE49-F238E27FC236}">
              <a16:creationId xmlns:a16="http://schemas.microsoft.com/office/drawing/2014/main" id="{64502D9D-4EC8-4891-B7FD-6965DD1249A4}"/>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1" name="TextBox 230">
          <a:extLst>
            <a:ext uri="{FF2B5EF4-FFF2-40B4-BE49-F238E27FC236}">
              <a16:creationId xmlns:a16="http://schemas.microsoft.com/office/drawing/2014/main" id="{BF20415D-8B91-452F-9988-A0A9393D7B6F}"/>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2" name="TextBox 231">
          <a:extLst>
            <a:ext uri="{FF2B5EF4-FFF2-40B4-BE49-F238E27FC236}">
              <a16:creationId xmlns:a16="http://schemas.microsoft.com/office/drawing/2014/main" id="{231887E1-25E8-4650-B35C-A7806FD951BE}"/>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64</xdr:row>
      <xdr:rowOff>95250</xdr:rowOff>
    </xdr:from>
    <xdr:ext cx="184731" cy="264560"/>
    <xdr:sp macro="" textlink="">
      <xdr:nvSpPr>
        <xdr:cNvPr id="284" name="TextBox 283">
          <a:extLst>
            <a:ext uri="{FF2B5EF4-FFF2-40B4-BE49-F238E27FC236}">
              <a16:creationId xmlns:a16="http://schemas.microsoft.com/office/drawing/2014/main" id="{01C4EADC-CED8-432F-91E0-E1F880F7229A}"/>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95250</xdr:rowOff>
    </xdr:from>
    <xdr:ext cx="184731" cy="264560"/>
    <xdr:sp macro="" textlink="">
      <xdr:nvSpPr>
        <xdr:cNvPr id="285" name="TextBox 284">
          <a:extLst>
            <a:ext uri="{FF2B5EF4-FFF2-40B4-BE49-F238E27FC236}">
              <a16:creationId xmlns:a16="http://schemas.microsoft.com/office/drawing/2014/main" id="{E7A2953D-F1D3-4A32-938E-EEC222FEE944}"/>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64</xdr:row>
      <xdr:rowOff>95250</xdr:rowOff>
    </xdr:from>
    <xdr:ext cx="184731" cy="264560"/>
    <xdr:sp macro="" textlink="">
      <xdr:nvSpPr>
        <xdr:cNvPr id="286" name="TextBox 285">
          <a:extLst>
            <a:ext uri="{FF2B5EF4-FFF2-40B4-BE49-F238E27FC236}">
              <a16:creationId xmlns:a16="http://schemas.microsoft.com/office/drawing/2014/main" id="{A95F5015-8795-4185-AB51-8FF65EFFDFB2}"/>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57</xdr:row>
      <xdr:rowOff>0</xdr:rowOff>
    </xdr:from>
    <xdr:ext cx="192763" cy="264560"/>
    <xdr:sp macro="" textlink="">
      <xdr:nvSpPr>
        <xdr:cNvPr id="287" name="TextBox 286">
          <a:extLst>
            <a:ext uri="{FF2B5EF4-FFF2-40B4-BE49-F238E27FC236}">
              <a16:creationId xmlns:a16="http://schemas.microsoft.com/office/drawing/2014/main" id="{E0339667-2861-4775-BC1C-61992ECE6555}"/>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58</xdr:row>
      <xdr:rowOff>0</xdr:rowOff>
    </xdr:from>
    <xdr:ext cx="192763" cy="264560"/>
    <xdr:sp macro="" textlink="">
      <xdr:nvSpPr>
        <xdr:cNvPr id="288" name="TextBox 287">
          <a:extLst>
            <a:ext uri="{FF2B5EF4-FFF2-40B4-BE49-F238E27FC236}">
              <a16:creationId xmlns:a16="http://schemas.microsoft.com/office/drawing/2014/main" id="{0BA1A6D0-65A4-48CE-B3BF-FE5691F90620}"/>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59</xdr:row>
      <xdr:rowOff>0</xdr:rowOff>
    </xdr:from>
    <xdr:ext cx="192763" cy="303466"/>
    <xdr:sp macro="" textlink="">
      <xdr:nvSpPr>
        <xdr:cNvPr id="289" name="TextBox 288">
          <a:extLst>
            <a:ext uri="{FF2B5EF4-FFF2-40B4-BE49-F238E27FC236}">
              <a16:creationId xmlns:a16="http://schemas.microsoft.com/office/drawing/2014/main" id="{00D35988-6CBA-4C2B-903B-BBD7EB2542FB}"/>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60</xdr:row>
      <xdr:rowOff>0</xdr:rowOff>
    </xdr:from>
    <xdr:ext cx="192763" cy="264560"/>
    <xdr:sp macro="" textlink="">
      <xdr:nvSpPr>
        <xdr:cNvPr id="290" name="TextBox 289">
          <a:extLst>
            <a:ext uri="{FF2B5EF4-FFF2-40B4-BE49-F238E27FC236}">
              <a16:creationId xmlns:a16="http://schemas.microsoft.com/office/drawing/2014/main" id="{1C35FFC0-B120-4FF9-B23A-8001CE0A0123}"/>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60</xdr:row>
      <xdr:rowOff>0</xdr:rowOff>
    </xdr:from>
    <xdr:ext cx="192763" cy="264560"/>
    <xdr:sp macro="" textlink="">
      <xdr:nvSpPr>
        <xdr:cNvPr id="291" name="TextBox 290">
          <a:extLst>
            <a:ext uri="{FF2B5EF4-FFF2-40B4-BE49-F238E27FC236}">
              <a16:creationId xmlns:a16="http://schemas.microsoft.com/office/drawing/2014/main" id="{A563DE99-9615-453F-A9E9-648640C81E47}"/>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61</xdr:row>
      <xdr:rowOff>0</xdr:rowOff>
    </xdr:from>
    <xdr:ext cx="192763" cy="264560"/>
    <xdr:sp macro="" textlink="">
      <xdr:nvSpPr>
        <xdr:cNvPr id="292" name="TextBox 291">
          <a:extLst>
            <a:ext uri="{FF2B5EF4-FFF2-40B4-BE49-F238E27FC236}">
              <a16:creationId xmlns:a16="http://schemas.microsoft.com/office/drawing/2014/main" id="{84E2DEFF-1293-4251-9E1C-245475E4EA17}"/>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61</xdr:row>
      <xdr:rowOff>0</xdr:rowOff>
    </xdr:from>
    <xdr:ext cx="192763" cy="264560"/>
    <xdr:sp macro="" textlink="">
      <xdr:nvSpPr>
        <xdr:cNvPr id="293" name="TextBox 292">
          <a:extLst>
            <a:ext uri="{FF2B5EF4-FFF2-40B4-BE49-F238E27FC236}">
              <a16:creationId xmlns:a16="http://schemas.microsoft.com/office/drawing/2014/main" id="{18342E68-0F7E-4335-A400-D9D055651EB2}"/>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294" name="TextBox 293">
          <a:extLst>
            <a:ext uri="{FF2B5EF4-FFF2-40B4-BE49-F238E27FC236}">
              <a16:creationId xmlns:a16="http://schemas.microsoft.com/office/drawing/2014/main" id="{03A0E9D2-7BA6-4A4B-9A8E-55B4510A7F81}"/>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295" name="TextBox 294">
          <a:extLst>
            <a:ext uri="{FF2B5EF4-FFF2-40B4-BE49-F238E27FC236}">
              <a16:creationId xmlns:a16="http://schemas.microsoft.com/office/drawing/2014/main" id="{F9A57342-1DAD-4174-AAD2-BD5C7B58EDBD}"/>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264560"/>
    <xdr:sp macro="" textlink="">
      <xdr:nvSpPr>
        <xdr:cNvPr id="296" name="TextBox 295">
          <a:extLst>
            <a:ext uri="{FF2B5EF4-FFF2-40B4-BE49-F238E27FC236}">
              <a16:creationId xmlns:a16="http://schemas.microsoft.com/office/drawing/2014/main" id="{94B7F515-96DF-4835-90A8-2574851BCDBB}"/>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264560"/>
    <xdr:sp macro="" textlink="">
      <xdr:nvSpPr>
        <xdr:cNvPr id="297" name="TextBox 296">
          <a:extLst>
            <a:ext uri="{FF2B5EF4-FFF2-40B4-BE49-F238E27FC236}">
              <a16:creationId xmlns:a16="http://schemas.microsoft.com/office/drawing/2014/main" id="{403CC557-5F08-4A59-A327-842A328A934D}"/>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298" name="TextBox 297">
          <a:extLst>
            <a:ext uri="{FF2B5EF4-FFF2-40B4-BE49-F238E27FC236}">
              <a16:creationId xmlns:a16="http://schemas.microsoft.com/office/drawing/2014/main" id="{BD378BB9-0442-4E01-B289-8BF0FB609037}"/>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299" name="TextBox 298">
          <a:extLst>
            <a:ext uri="{FF2B5EF4-FFF2-40B4-BE49-F238E27FC236}">
              <a16:creationId xmlns:a16="http://schemas.microsoft.com/office/drawing/2014/main" id="{C1F0C587-2270-4EDB-9F27-5563BB97F70C}"/>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57</xdr:row>
      <xdr:rowOff>0</xdr:rowOff>
    </xdr:from>
    <xdr:ext cx="184731" cy="264560"/>
    <xdr:sp macro="" textlink="">
      <xdr:nvSpPr>
        <xdr:cNvPr id="300" name="TextBox 299">
          <a:extLst>
            <a:ext uri="{FF2B5EF4-FFF2-40B4-BE49-F238E27FC236}">
              <a16:creationId xmlns:a16="http://schemas.microsoft.com/office/drawing/2014/main" id="{EFE19422-DFCC-4597-B4AC-EA49A31D881D}"/>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58</xdr:row>
      <xdr:rowOff>0</xdr:rowOff>
    </xdr:from>
    <xdr:ext cx="184731" cy="264560"/>
    <xdr:sp macro="" textlink="">
      <xdr:nvSpPr>
        <xdr:cNvPr id="301" name="TextBox 300">
          <a:extLst>
            <a:ext uri="{FF2B5EF4-FFF2-40B4-BE49-F238E27FC236}">
              <a16:creationId xmlns:a16="http://schemas.microsoft.com/office/drawing/2014/main" id="{A3454A88-8BA9-42D9-8505-0FCCE89A30F7}"/>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59</xdr:row>
      <xdr:rowOff>0</xdr:rowOff>
    </xdr:from>
    <xdr:ext cx="184731" cy="303466"/>
    <xdr:sp macro="" textlink="">
      <xdr:nvSpPr>
        <xdr:cNvPr id="302" name="TextBox 301">
          <a:extLst>
            <a:ext uri="{FF2B5EF4-FFF2-40B4-BE49-F238E27FC236}">
              <a16:creationId xmlns:a16="http://schemas.microsoft.com/office/drawing/2014/main" id="{CAC4C18C-CFCF-4841-99B4-48B0CED55377}"/>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60</xdr:row>
      <xdr:rowOff>0</xdr:rowOff>
    </xdr:from>
    <xdr:ext cx="184731" cy="264560"/>
    <xdr:sp macro="" textlink="">
      <xdr:nvSpPr>
        <xdr:cNvPr id="303" name="TextBox 302">
          <a:extLst>
            <a:ext uri="{FF2B5EF4-FFF2-40B4-BE49-F238E27FC236}">
              <a16:creationId xmlns:a16="http://schemas.microsoft.com/office/drawing/2014/main" id="{98CC5965-8474-4A80-8B54-7E9A14F0C1C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60</xdr:row>
      <xdr:rowOff>0</xdr:rowOff>
    </xdr:from>
    <xdr:ext cx="184731" cy="264560"/>
    <xdr:sp macro="" textlink="">
      <xdr:nvSpPr>
        <xdr:cNvPr id="304" name="TextBox 303">
          <a:extLst>
            <a:ext uri="{FF2B5EF4-FFF2-40B4-BE49-F238E27FC236}">
              <a16:creationId xmlns:a16="http://schemas.microsoft.com/office/drawing/2014/main" id="{BABAB10A-0063-4D41-A303-75B6452F3EE3}"/>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305" name="TextBox 304">
          <a:extLst>
            <a:ext uri="{FF2B5EF4-FFF2-40B4-BE49-F238E27FC236}">
              <a16:creationId xmlns:a16="http://schemas.microsoft.com/office/drawing/2014/main" id="{B5563801-AF57-4469-95FE-8997C664AC87}"/>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306" name="TextBox 305">
          <a:extLst>
            <a:ext uri="{FF2B5EF4-FFF2-40B4-BE49-F238E27FC236}">
              <a16:creationId xmlns:a16="http://schemas.microsoft.com/office/drawing/2014/main" id="{3A3A4B8C-B9E1-4058-B4A4-CEF7E638CAD5}"/>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307" name="TextBox 306">
          <a:extLst>
            <a:ext uri="{FF2B5EF4-FFF2-40B4-BE49-F238E27FC236}">
              <a16:creationId xmlns:a16="http://schemas.microsoft.com/office/drawing/2014/main" id="{3C5491D7-40F6-4B0D-AFC5-08C9A23380A2}"/>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308" name="TextBox 307">
          <a:extLst>
            <a:ext uri="{FF2B5EF4-FFF2-40B4-BE49-F238E27FC236}">
              <a16:creationId xmlns:a16="http://schemas.microsoft.com/office/drawing/2014/main" id="{220DE8A2-CA81-4217-A080-62B3C2AEF1DB}"/>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309" name="TextBox 308">
          <a:extLst>
            <a:ext uri="{FF2B5EF4-FFF2-40B4-BE49-F238E27FC236}">
              <a16:creationId xmlns:a16="http://schemas.microsoft.com/office/drawing/2014/main" id="{D4108EFD-B62B-49A8-A4E7-29DAB54225C6}"/>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310" name="TextBox 309">
          <a:extLst>
            <a:ext uri="{FF2B5EF4-FFF2-40B4-BE49-F238E27FC236}">
              <a16:creationId xmlns:a16="http://schemas.microsoft.com/office/drawing/2014/main" id="{1FD3FB23-C0D9-4D36-A581-218E9451D10D}"/>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311" name="TextBox 310">
          <a:extLst>
            <a:ext uri="{FF2B5EF4-FFF2-40B4-BE49-F238E27FC236}">
              <a16:creationId xmlns:a16="http://schemas.microsoft.com/office/drawing/2014/main" id="{C666D252-4144-4F0E-AB53-80CDB1E4241B}"/>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312" name="TextBox 311">
          <a:extLst>
            <a:ext uri="{FF2B5EF4-FFF2-40B4-BE49-F238E27FC236}">
              <a16:creationId xmlns:a16="http://schemas.microsoft.com/office/drawing/2014/main" id="{E754DD00-1439-44A4-81C7-0F80D82780A8}"/>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57</xdr:row>
      <xdr:rowOff>0</xdr:rowOff>
    </xdr:from>
    <xdr:ext cx="184731" cy="264560"/>
    <xdr:sp macro="" textlink="">
      <xdr:nvSpPr>
        <xdr:cNvPr id="313" name="TextBox 312">
          <a:extLst>
            <a:ext uri="{FF2B5EF4-FFF2-40B4-BE49-F238E27FC236}">
              <a16:creationId xmlns:a16="http://schemas.microsoft.com/office/drawing/2014/main" id="{3A6E893E-AD1C-4652-8FFB-2474F739EF39}"/>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58</xdr:row>
      <xdr:rowOff>0</xdr:rowOff>
    </xdr:from>
    <xdr:ext cx="184731" cy="264560"/>
    <xdr:sp macro="" textlink="">
      <xdr:nvSpPr>
        <xdr:cNvPr id="314" name="TextBox 313">
          <a:extLst>
            <a:ext uri="{FF2B5EF4-FFF2-40B4-BE49-F238E27FC236}">
              <a16:creationId xmlns:a16="http://schemas.microsoft.com/office/drawing/2014/main" id="{6691F887-8946-4326-A706-A3BBEE4B04FF}"/>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59</xdr:row>
      <xdr:rowOff>0</xdr:rowOff>
    </xdr:from>
    <xdr:ext cx="184731" cy="303466"/>
    <xdr:sp macro="" textlink="">
      <xdr:nvSpPr>
        <xdr:cNvPr id="315" name="TextBox 314">
          <a:extLst>
            <a:ext uri="{FF2B5EF4-FFF2-40B4-BE49-F238E27FC236}">
              <a16:creationId xmlns:a16="http://schemas.microsoft.com/office/drawing/2014/main" id="{44E10E59-7CD0-4FC0-964C-2ECF3FBC25EC}"/>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60</xdr:row>
      <xdr:rowOff>0</xdr:rowOff>
    </xdr:from>
    <xdr:ext cx="184731" cy="264560"/>
    <xdr:sp macro="" textlink="">
      <xdr:nvSpPr>
        <xdr:cNvPr id="316" name="TextBox 315">
          <a:extLst>
            <a:ext uri="{FF2B5EF4-FFF2-40B4-BE49-F238E27FC236}">
              <a16:creationId xmlns:a16="http://schemas.microsoft.com/office/drawing/2014/main" id="{52713CC3-7FF3-4339-A126-1F1D546547D3}"/>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60</xdr:row>
      <xdr:rowOff>0</xdr:rowOff>
    </xdr:from>
    <xdr:ext cx="184731" cy="264560"/>
    <xdr:sp macro="" textlink="">
      <xdr:nvSpPr>
        <xdr:cNvPr id="317" name="TextBox 316">
          <a:extLst>
            <a:ext uri="{FF2B5EF4-FFF2-40B4-BE49-F238E27FC236}">
              <a16:creationId xmlns:a16="http://schemas.microsoft.com/office/drawing/2014/main" id="{C13D25B3-91C8-4D61-B741-8187A1AB5F96}"/>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318" name="TextBox 317">
          <a:extLst>
            <a:ext uri="{FF2B5EF4-FFF2-40B4-BE49-F238E27FC236}">
              <a16:creationId xmlns:a16="http://schemas.microsoft.com/office/drawing/2014/main" id="{3C2E2F5A-635F-4770-B8A8-79166F402ACB}"/>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319" name="TextBox 318">
          <a:extLst>
            <a:ext uri="{FF2B5EF4-FFF2-40B4-BE49-F238E27FC236}">
              <a16:creationId xmlns:a16="http://schemas.microsoft.com/office/drawing/2014/main" id="{B88A69D3-C241-48F5-9812-4C58CBE51CF8}"/>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320" name="TextBox 319">
          <a:extLst>
            <a:ext uri="{FF2B5EF4-FFF2-40B4-BE49-F238E27FC236}">
              <a16:creationId xmlns:a16="http://schemas.microsoft.com/office/drawing/2014/main" id="{ECD4223E-F3FA-4D4A-A391-7DF9A9E9623A}"/>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321" name="TextBox 320">
          <a:extLst>
            <a:ext uri="{FF2B5EF4-FFF2-40B4-BE49-F238E27FC236}">
              <a16:creationId xmlns:a16="http://schemas.microsoft.com/office/drawing/2014/main" id="{2B34216C-4AE7-41F6-B372-062BBBB22C66}"/>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322" name="TextBox 321">
          <a:extLst>
            <a:ext uri="{FF2B5EF4-FFF2-40B4-BE49-F238E27FC236}">
              <a16:creationId xmlns:a16="http://schemas.microsoft.com/office/drawing/2014/main" id="{8CA0A4C8-D9AC-483B-9AAE-96DC605E773A}"/>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323" name="TextBox 322">
          <a:extLst>
            <a:ext uri="{FF2B5EF4-FFF2-40B4-BE49-F238E27FC236}">
              <a16:creationId xmlns:a16="http://schemas.microsoft.com/office/drawing/2014/main" id="{D3BE4F7D-5AC4-491D-9386-07E9D9A5AE06}"/>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324" name="TextBox 323">
          <a:extLst>
            <a:ext uri="{FF2B5EF4-FFF2-40B4-BE49-F238E27FC236}">
              <a16:creationId xmlns:a16="http://schemas.microsoft.com/office/drawing/2014/main" id="{785C0562-7C2C-4921-942C-37CADA08244D}"/>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325" name="TextBox 324">
          <a:extLst>
            <a:ext uri="{FF2B5EF4-FFF2-40B4-BE49-F238E27FC236}">
              <a16:creationId xmlns:a16="http://schemas.microsoft.com/office/drawing/2014/main" id="{F1659376-FFCD-4150-BA39-D4609B0B1385}"/>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57</xdr:row>
      <xdr:rowOff>0</xdr:rowOff>
    </xdr:from>
    <xdr:ext cx="192763" cy="264560"/>
    <xdr:sp macro="" textlink="">
      <xdr:nvSpPr>
        <xdr:cNvPr id="326" name="TextBox 325">
          <a:extLst>
            <a:ext uri="{FF2B5EF4-FFF2-40B4-BE49-F238E27FC236}">
              <a16:creationId xmlns:a16="http://schemas.microsoft.com/office/drawing/2014/main" id="{4A6F8581-8A76-4ED6-9330-2B818242CCCC}"/>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57</xdr:row>
      <xdr:rowOff>0</xdr:rowOff>
    </xdr:from>
    <xdr:ext cx="192763" cy="264560"/>
    <xdr:sp macro="" textlink="">
      <xdr:nvSpPr>
        <xdr:cNvPr id="327" name="TextBox 326">
          <a:extLst>
            <a:ext uri="{FF2B5EF4-FFF2-40B4-BE49-F238E27FC236}">
              <a16:creationId xmlns:a16="http://schemas.microsoft.com/office/drawing/2014/main" id="{455C847C-1CB7-4FE2-89B4-D1DC47F5570B}"/>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57</xdr:row>
      <xdr:rowOff>0</xdr:rowOff>
    </xdr:from>
    <xdr:ext cx="192763" cy="264560"/>
    <xdr:sp macro="" textlink="">
      <xdr:nvSpPr>
        <xdr:cNvPr id="328" name="TextBox 327">
          <a:extLst>
            <a:ext uri="{FF2B5EF4-FFF2-40B4-BE49-F238E27FC236}">
              <a16:creationId xmlns:a16="http://schemas.microsoft.com/office/drawing/2014/main" id="{2A43078C-4E08-456B-9BE1-90FEF7A83792}"/>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58</xdr:row>
      <xdr:rowOff>0</xdr:rowOff>
    </xdr:from>
    <xdr:ext cx="183125" cy="264560"/>
    <xdr:sp macro="" textlink="">
      <xdr:nvSpPr>
        <xdr:cNvPr id="329" name="TextBox 328">
          <a:extLst>
            <a:ext uri="{FF2B5EF4-FFF2-40B4-BE49-F238E27FC236}">
              <a16:creationId xmlns:a16="http://schemas.microsoft.com/office/drawing/2014/main" id="{F67A1F3C-135B-42AE-B8DA-86D8A9290F5D}"/>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58</xdr:row>
      <xdr:rowOff>0</xdr:rowOff>
    </xdr:from>
    <xdr:ext cx="184731" cy="271710"/>
    <xdr:sp macro="" textlink="">
      <xdr:nvSpPr>
        <xdr:cNvPr id="330" name="TextBox 329">
          <a:extLst>
            <a:ext uri="{FF2B5EF4-FFF2-40B4-BE49-F238E27FC236}">
              <a16:creationId xmlns:a16="http://schemas.microsoft.com/office/drawing/2014/main" id="{D070FF30-8499-41D9-A12D-B0074FF9A37B}"/>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3143250</xdr:colOff>
      <xdr:row>29</xdr:row>
      <xdr:rowOff>95250</xdr:rowOff>
    </xdr:from>
    <xdr:ext cx="184731" cy="264560"/>
    <xdr:sp macro="" textlink="">
      <xdr:nvSpPr>
        <xdr:cNvPr id="2" name="TextBox 1">
          <a:extLst>
            <a:ext uri="{FF2B5EF4-FFF2-40B4-BE49-F238E27FC236}">
              <a16:creationId xmlns:a16="http://schemas.microsoft.com/office/drawing/2014/main" id="{D3EC90FA-2976-4FA7-A933-66FC550FC5F8}"/>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95250</xdr:rowOff>
    </xdr:from>
    <xdr:ext cx="184731" cy="264560"/>
    <xdr:sp macro="" textlink="">
      <xdr:nvSpPr>
        <xdr:cNvPr id="3" name="TextBox 2">
          <a:extLst>
            <a:ext uri="{FF2B5EF4-FFF2-40B4-BE49-F238E27FC236}">
              <a16:creationId xmlns:a16="http://schemas.microsoft.com/office/drawing/2014/main" id="{7FF46E0C-5C6E-4AA2-9061-E3EE75EEBB00}"/>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29</xdr:row>
      <xdr:rowOff>95250</xdr:rowOff>
    </xdr:from>
    <xdr:ext cx="184731" cy="264560"/>
    <xdr:sp macro="" textlink="">
      <xdr:nvSpPr>
        <xdr:cNvPr id="4" name="TextBox 3">
          <a:extLst>
            <a:ext uri="{FF2B5EF4-FFF2-40B4-BE49-F238E27FC236}">
              <a16:creationId xmlns:a16="http://schemas.microsoft.com/office/drawing/2014/main" id="{95BE71EF-9861-467E-B506-056644168171}"/>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EEFD101F-08A9-48EC-A421-9D7C9DBC5ED2}"/>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2A50217C-676F-424A-AF10-FFB977BD7CB8}"/>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303466"/>
    <xdr:sp macro="" textlink="">
      <xdr:nvSpPr>
        <xdr:cNvPr id="7" name="TextBox 6">
          <a:extLst>
            <a:ext uri="{FF2B5EF4-FFF2-40B4-BE49-F238E27FC236}">
              <a16:creationId xmlns:a16="http://schemas.microsoft.com/office/drawing/2014/main" id="{9872A633-85BC-4A06-847A-1A031634D774}"/>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8" name="TextBox 7">
          <a:extLst>
            <a:ext uri="{FF2B5EF4-FFF2-40B4-BE49-F238E27FC236}">
              <a16:creationId xmlns:a16="http://schemas.microsoft.com/office/drawing/2014/main" id="{FD580276-30F0-4996-9661-9CD988BF9A4B}"/>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9" name="TextBox 8">
          <a:extLst>
            <a:ext uri="{FF2B5EF4-FFF2-40B4-BE49-F238E27FC236}">
              <a16:creationId xmlns:a16="http://schemas.microsoft.com/office/drawing/2014/main" id="{C01974EE-74B1-43A7-8566-40282866DE61}"/>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0" name="TextBox 9">
          <a:extLst>
            <a:ext uri="{FF2B5EF4-FFF2-40B4-BE49-F238E27FC236}">
              <a16:creationId xmlns:a16="http://schemas.microsoft.com/office/drawing/2014/main" id="{FD26F3AE-16A8-432F-87DF-58A8A4BEF797}"/>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1" name="TextBox 10">
          <a:extLst>
            <a:ext uri="{FF2B5EF4-FFF2-40B4-BE49-F238E27FC236}">
              <a16:creationId xmlns:a16="http://schemas.microsoft.com/office/drawing/2014/main" id="{2B5917A5-13BE-416F-84C5-1F4D67EA1713}"/>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2" name="TextBox 11">
          <a:extLst>
            <a:ext uri="{FF2B5EF4-FFF2-40B4-BE49-F238E27FC236}">
              <a16:creationId xmlns:a16="http://schemas.microsoft.com/office/drawing/2014/main" id="{EDE3AE4A-F331-43CA-B046-ECC8086FE098}"/>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3" name="TextBox 12">
          <a:extLst>
            <a:ext uri="{FF2B5EF4-FFF2-40B4-BE49-F238E27FC236}">
              <a16:creationId xmlns:a16="http://schemas.microsoft.com/office/drawing/2014/main" id="{48DA62DF-FEAA-4A70-B93C-CF096FC1A766}"/>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14" name="TextBox 13">
          <a:extLst>
            <a:ext uri="{FF2B5EF4-FFF2-40B4-BE49-F238E27FC236}">
              <a16:creationId xmlns:a16="http://schemas.microsoft.com/office/drawing/2014/main" id="{4FF6A299-7E8B-47C1-AFAC-6BFD3A948046}"/>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15" name="TextBox 14">
          <a:extLst>
            <a:ext uri="{FF2B5EF4-FFF2-40B4-BE49-F238E27FC236}">
              <a16:creationId xmlns:a16="http://schemas.microsoft.com/office/drawing/2014/main" id="{D6AB2F83-9D9D-45DA-A581-3FCD2AF62B92}"/>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6" name="TextBox 15">
          <a:extLst>
            <a:ext uri="{FF2B5EF4-FFF2-40B4-BE49-F238E27FC236}">
              <a16:creationId xmlns:a16="http://schemas.microsoft.com/office/drawing/2014/main" id="{5D332B54-0FB2-4C91-A4E2-A6CC70FCADB1}"/>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7" name="TextBox 16">
          <a:extLst>
            <a:ext uri="{FF2B5EF4-FFF2-40B4-BE49-F238E27FC236}">
              <a16:creationId xmlns:a16="http://schemas.microsoft.com/office/drawing/2014/main" id="{2BEDF8CE-9C09-49FD-965F-21A37CF46F72}"/>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18" name="TextBox 17">
          <a:extLst>
            <a:ext uri="{FF2B5EF4-FFF2-40B4-BE49-F238E27FC236}">
              <a16:creationId xmlns:a16="http://schemas.microsoft.com/office/drawing/2014/main" id="{5671CF84-311A-4605-B0D2-51D9E5F9A958}"/>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9" name="TextBox 18">
          <a:extLst>
            <a:ext uri="{FF2B5EF4-FFF2-40B4-BE49-F238E27FC236}">
              <a16:creationId xmlns:a16="http://schemas.microsoft.com/office/drawing/2014/main" id="{65669653-6754-4CC2-9F25-E116558DBD1D}"/>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303466"/>
    <xdr:sp macro="" textlink="">
      <xdr:nvSpPr>
        <xdr:cNvPr id="20" name="TextBox 19">
          <a:extLst>
            <a:ext uri="{FF2B5EF4-FFF2-40B4-BE49-F238E27FC236}">
              <a16:creationId xmlns:a16="http://schemas.microsoft.com/office/drawing/2014/main" id="{87F7E60D-A223-4A5A-A358-04D61820EBAE}"/>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21" name="TextBox 20">
          <a:extLst>
            <a:ext uri="{FF2B5EF4-FFF2-40B4-BE49-F238E27FC236}">
              <a16:creationId xmlns:a16="http://schemas.microsoft.com/office/drawing/2014/main" id="{46C62211-5085-4F7D-8D4B-41041849749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22" name="TextBox 21">
          <a:extLst>
            <a:ext uri="{FF2B5EF4-FFF2-40B4-BE49-F238E27FC236}">
              <a16:creationId xmlns:a16="http://schemas.microsoft.com/office/drawing/2014/main" id="{3B46156B-07D4-4019-8745-186174E9A480}"/>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3" name="TextBox 22">
          <a:extLst>
            <a:ext uri="{FF2B5EF4-FFF2-40B4-BE49-F238E27FC236}">
              <a16:creationId xmlns:a16="http://schemas.microsoft.com/office/drawing/2014/main" id="{0E916716-4C94-4833-8EA0-9FFE7630EC52}"/>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4" name="TextBox 23">
          <a:extLst>
            <a:ext uri="{FF2B5EF4-FFF2-40B4-BE49-F238E27FC236}">
              <a16:creationId xmlns:a16="http://schemas.microsoft.com/office/drawing/2014/main" id="{2A8DCBFE-A33A-4557-A4D7-DC0F4EC4181D}"/>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5" name="TextBox 24">
          <a:extLst>
            <a:ext uri="{FF2B5EF4-FFF2-40B4-BE49-F238E27FC236}">
              <a16:creationId xmlns:a16="http://schemas.microsoft.com/office/drawing/2014/main" id="{88B0E9CB-9927-430F-BA25-EB906ADC847F}"/>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6" name="TextBox 25">
          <a:extLst>
            <a:ext uri="{FF2B5EF4-FFF2-40B4-BE49-F238E27FC236}">
              <a16:creationId xmlns:a16="http://schemas.microsoft.com/office/drawing/2014/main" id="{799BD8B9-80FC-46B2-B171-379E04126464}"/>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7" name="TextBox 26">
          <a:extLst>
            <a:ext uri="{FF2B5EF4-FFF2-40B4-BE49-F238E27FC236}">
              <a16:creationId xmlns:a16="http://schemas.microsoft.com/office/drawing/2014/main" id="{0DA11F4C-A36C-4F69-9FF6-1F60F5CD275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8" name="TextBox 27">
          <a:extLst>
            <a:ext uri="{FF2B5EF4-FFF2-40B4-BE49-F238E27FC236}">
              <a16:creationId xmlns:a16="http://schemas.microsoft.com/office/drawing/2014/main" id="{DF0A1B2A-45B3-4993-B506-FFB043F9896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9" name="TextBox 28">
          <a:extLst>
            <a:ext uri="{FF2B5EF4-FFF2-40B4-BE49-F238E27FC236}">
              <a16:creationId xmlns:a16="http://schemas.microsoft.com/office/drawing/2014/main" id="{70A5729E-3A30-4589-8C01-007CD989B7B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30" name="TextBox 29">
          <a:extLst>
            <a:ext uri="{FF2B5EF4-FFF2-40B4-BE49-F238E27FC236}">
              <a16:creationId xmlns:a16="http://schemas.microsoft.com/office/drawing/2014/main" id="{5D96B1FF-465B-4A51-BA4E-60E615DC09B2}"/>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31" name="TextBox 30">
          <a:extLst>
            <a:ext uri="{FF2B5EF4-FFF2-40B4-BE49-F238E27FC236}">
              <a16:creationId xmlns:a16="http://schemas.microsoft.com/office/drawing/2014/main" id="{2E0FF240-3AE6-46EE-85F4-441F86CBEB81}"/>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2" name="TextBox 31">
          <a:extLst>
            <a:ext uri="{FF2B5EF4-FFF2-40B4-BE49-F238E27FC236}">
              <a16:creationId xmlns:a16="http://schemas.microsoft.com/office/drawing/2014/main" id="{051F9354-3E32-45CD-B291-DD6A3A9B7E3F}"/>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33" name="TextBox 32">
          <a:extLst>
            <a:ext uri="{FF2B5EF4-FFF2-40B4-BE49-F238E27FC236}">
              <a16:creationId xmlns:a16="http://schemas.microsoft.com/office/drawing/2014/main" id="{A564EC22-A9FB-4F7B-A5A4-E61A3B53CA28}"/>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4" name="TextBox 33">
          <a:extLst>
            <a:ext uri="{FF2B5EF4-FFF2-40B4-BE49-F238E27FC236}">
              <a16:creationId xmlns:a16="http://schemas.microsoft.com/office/drawing/2014/main" id="{F833F359-1F8D-439E-8C3F-1C1450015A1D}"/>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5" name="TextBox 34">
          <a:extLst>
            <a:ext uri="{FF2B5EF4-FFF2-40B4-BE49-F238E27FC236}">
              <a16:creationId xmlns:a16="http://schemas.microsoft.com/office/drawing/2014/main" id="{11245CB4-97BD-45F4-A99D-74C37F3B30B5}"/>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6" name="TextBox 35">
          <a:extLst>
            <a:ext uri="{FF2B5EF4-FFF2-40B4-BE49-F238E27FC236}">
              <a16:creationId xmlns:a16="http://schemas.microsoft.com/office/drawing/2014/main" id="{DF7E3BEA-41BD-4784-A443-7BE6405D6AED}"/>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7" name="TextBox 36">
          <a:extLst>
            <a:ext uri="{FF2B5EF4-FFF2-40B4-BE49-F238E27FC236}">
              <a16:creationId xmlns:a16="http://schemas.microsoft.com/office/drawing/2014/main" id="{276FED72-5F0B-4FC6-A87E-A8A431D24E15}"/>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8" name="TextBox 37">
          <a:extLst>
            <a:ext uri="{FF2B5EF4-FFF2-40B4-BE49-F238E27FC236}">
              <a16:creationId xmlns:a16="http://schemas.microsoft.com/office/drawing/2014/main" id="{016037F6-B51D-44B9-A03C-323111C8B450}"/>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9" name="TextBox 38">
          <a:extLst>
            <a:ext uri="{FF2B5EF4-FFF2-40B4-BE49-F238E27FC236}">
              <a16:creationId xmlns:a16="http://schemas.microsoft.com/office/drawing/2014/main" id="{F516CECD-8D32-47F3-83FE-13ED129B48B5}"/>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40" name="TextBox 39">
          <a:extLst>
            <a:ext uri="{FF2B5EF4-FFF2-40B4-BE49-F238E27FC236}">
              <a16:creationId xmlns:a16="http://schemas.microsoft.com/office/drawing/2014/main" id="{4A29C97B-F1B4-4AE1-B2FD-0FF064A76099}"/>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41" name="TextBox 40">
          <a:extLst>
            <a:ext uri="{FF2B5EF4-FFF2-40B4-BE49-F238E27FC236}">
              <a16:creationId xmlns:a16="http://schemas.microsoft.com/office/drawing/2014/main" id="{0AB1432A-7AB6-4416-9458-9C1EC68C538C}"/>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42" name="TextBox 41">
          <a:extLst>
            <a:ext uri="{FF2B5EF4-FFF2-40B4-BE49-F238E27FC236}">
              <a16:creationId xmlns:a16="http://schemas.microsoft.com/office/drawing/2014/main" id="{61665FD6-E3F7-4573-A70D-DC416B34FB60}"/>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43" name="TextBox 42">
          <a:extLst>
            <a:ext uri="{FF2B5EF4-FFF2-40B4-BE49-F238E27FC236}">
              <a16:creationId xmlns:a16="http://schemas.microsoft.com/office/drawing/2014/main" id="{A8B5BF9A-0150-4D62-9BA8-87EA678DB6A1}"/>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44" name="TextBox 43">
          <a:extLst>
            <a:ext uri="{FF2B5EF4-FFF2-40B4-BE49-F238E27FC236}">
              <a16:creationId xmlns:a16="http://schemas.microsoft.com/office/drawing/2014/main" id="{38218DBE-54F4-4402-8A5F-6633E2B2C4C5}"/>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45" name="TextBox 44">
          <a:extLst>
            <a:ext uri="{FF2B5EF4-FFF2-40B4-BE49-F238E27FC236}">
              <a16:creationId xmlns:a16="http://schemas.microsoft.com/office/drawing/2014/main" id="{F99D657B-996A-4583-9DEF-A5B62CC2C775}"/>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22</xdr:row>
      <xdr:rowOff>0</xdr:rowOff>
    </xdr:from>
    <xdr:ext cx="192763" cy="264560"/>
    <xdr:sp macro="" textlink="">
      <xdr:nvSpPr>
        <xdr:cNvPr id="46" name="TextBox 45">
          <a:extLst>
            <a:ext uri="{FF2B5EF4-FFF2-40B4-BE49-F238E27FC236}">
              <a16:creationId xmlns:a16="http://schemas.microsoft.com/office/drawing/2014/main" id="{55CAEAF9-50A8-4BFB-8EDB-FB74541D48E4}"/>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47" name="TextBox 46">
          <a:extLst>
            <a:ext uri="{FF2B5EF4-FFF2-40B4-BE49-F238E27FC236}">
              <a16:creationId xmlns:a16="http://schemas.microsoft.com/office/drawing/2014/main" id="{C026B54C-8DE1-4B76-A6F4-01C8AE0EF78A}"/>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48" name="TextBox 47">
          <a:extLst>
            <a:ext uri="{FF2B5EF4-FFF2-40B4-BE49-F238E27FC236}">
              <a16:creationId xmlns:a16="http://schemas.microsoft.com/office/drawing/2014/main" id="{4D4A9803-6CC2-4678-B140-99B19E6BE20F}"/>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3139440</xdr:colOff>
      <xdr:row>96</xdr:row>
      <xdr:rowOff>0</xdr:rowOff>
    </xdr:from>
    <xdr:ext cx="192763" cy="264560"/>
    <xdr:sp macro="" textlink="">
      <xdr:nvSpPr>
        <xdr:cNvPr id="2" name="TextBox 1">
          <a:extLst>
            <a:ext uri="{FF2B5EF4-FFF2-40B4-BE49-F238E27FC236}">
              <a16:creationId xmlns:a16="http://schemas.microsoft.com/office/drawing/2014/main" id="{D23A4EC7-46D0-40F1-AE76-50D8FB91C98C}"/>
            </a:ext>
          </a:extLst>
        </xdr:cNvPr>
        <xdr:cNvSpPr txBox="1"/>
      </xdr:nvSpPr>
      <xdr:spPr>
        <a:xfrm>
          <a:off x="3501390"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3" name="TextBox 2">
          <a:extLst>
            <a:ext uri="{FF2B5EF4-FFF2-40B4-BE49-F238E27FC236}">
              <a16:creationId xmlns:a16="http://schemas.microsoft.com/office/drawing/2014/main" id="{A26B6EFB-1AF6-47FB-B323-4945519E6D87}"/>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303466"/>
    <xdr:sp macro="" textlink="">
      <xdr:nvSpPr>
        <xdr:cNvPr id="4" name="TextBox 3">
          <a:extLst>
            <a:ext uri="{FF2B5EF4-FFF2-40B4-BE49-F238E27FC236}">
              <a16:creationId xmlns:a16="http://schemas.microsoft.com/office/drawing/2014/main" id="{542499A2-5091-4534-BA30-FBBA20D6347B}"/>
            </a:ext>
          </a:extLst>
        </xdr:cNvPr>
        <xdr:cNvSpPr txBox="1"/>
      </xdr:nvSpPr>
      <xdr:spPr>
        <a:xfrm>
          <a:off x="3501390" y="152209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5" name="TextBox 4">
          <a:extLst>
            <a:ext uri="{FF2B5EF4-FFF2-40B4-BE49-F238E27FC236}">
              <a16:creationId xmlns:a16="http://schemas.microsoft.com/office/drawing/2014/main" id="{546543D8-B863-4D2E-90D3-0A19A4FB5AD5}"/>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6" name="TextBox 5">
          <a:extLst>
            <a:ext uri="{FF2B5EF4-FFF2-40B4-BE49-F238E27FC236}">
              <a16:creationId xmlns:a16="http://schemas.microsoft.com/office/drawing/2014/main" id="{D541C612-7EB0-44CC-9340-CA21E92E1D9D}"/>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7" name="TextBox 6">
          <a:extLst>
            <a:ext uri="{FF2B5EF4-FFF2-40B4-BE49-F238E27FC236}">
              <a16:creationId xmlns:a16="http://schemas.microsoft.com/office/drawing/2014/main" id="{45756AE7-3B19-44D1-A93D-E1FA45FB01FF}"/>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8" name="TextBox 7">
          <a:extLst>
            <a:ext uri="{FF2B5EF4-FFF2-40B4-BE49-F238E27FC236}">
              <a16:creationId xmlns:a16="http://schemas.microsoft.com/office/drawing/2014/main" id="{E52B152F-9213-4152-A099-63E8FE4764F2}"/>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9" name="TextBox 8">
          <a:extLst>
            <a:ext uri="{FF2B5EF4-FFF2-40B4-BE49-F238E27FC236}">
              <a16:creationId xmlns:a16="http://schemas.microsoft.com/office/drawing/2014/main" id="{9E444227-6206-43A0-8134-FCB3215165A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10" name="TextBox 9">
          <a:extLst>
            <a:ext uri="{FF2B5EF4-FFF2-40B4-BE49-F238E27FC236}">
              <a16:creationId xmlns:a16="http://schemas.microsoft.com/office/drawing/2014/main" id="{D68ECD10-7EC0-4153-9E96-E1F8F6D3D056}"/>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1" name="TextBox 10">
          <a:extLst>
            <a:ext uri="{FF2B5EF4-FFF2-40B4-BE49-F238E27FC236}">
              <a16:creationId xmlns:a16="http://schemas.microsoft.com/office/drawing/2014/main" id="{96AC4529-158A-44A8-BEBB-4A6F0CF00FF1}"/>
            </a:ext>
          </a:extLst>
        </xdr:cNvPr>
        <xdr:cNvSpPr txBox="1"/>
      </xdr:nvSpPr>
      <xdr:spPr>
        <a:xfrm>
          <a:off x="35013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2" name="TextBox 11">
          <a:extLst>
            <a:ext uri="{FF2B5EF4-FFF2-40B4-BE49-F238E27FC236}">
              <a16:creationId xmlns:a16="http://schemas.microsoft.com/office/drawing/2014/main" id="{EE79179B-55FF-4957-B723-F3B725C7C301}"/>
            </a:ext>
          </a:extLst>
        </xdr:cNvPr>
        <xdr:cNvSpPr txBox="1"/>
      </xdr:nvSpPr>
      <xdr:spPr>
        <a:xfrm>
          <a:off x="35013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3" name="TextBox 12">
          <a:extLst>
            <a:ext uri="{FF2B5EF4-FFF2-40B4-BE49-F238E27FC236}">
              <a16:creationId xmlns:a16="http://schemas.microsoft.com/office/drawing/2014/main" id="{B794E7C0-77FF-4B2B-BA90-A5F331E70943}"/>
            </a:ext>
          </a:extLst>
        </xdr:cNvPr>
        <xdr:cNvSpPr txBox="1"/>
      </xdr:nvSpPr>
      <xdr:spPr>
        <a:xfrm>
          <a:off x="3501390" y="1603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4" name="TextBox 13">
          <a:extLst>
            <a:ext uri="{FF2B5EF4-FFF2-40B4-BE49-F238E27FC236}">
              <a16:creationId xmlns:a16="http://schemas.microsoft.com/office/drawing/2014/main" id="{6843BBC6-3AA5-4796-A43A-9041307195B8}"/>
            </a:ext>
          </a:extLst>
        </xdr:cNvPr>
        <xdr:cNvSpPr txBox="1"/>
      </xdr:nvSpPr>
      <xdr:spPr>
        <a:xfrm>
          <a:off x="3501390" y="1603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15" name="TextBox 14">
          <a:extLst>
            <a:ext uri="{FF2B5EF4-FFF2-40B4-BE49-F238E27FC236}">
              <a16:creationId xmlns:a16="http://schemas.microsoft.com/office/drawing/2014/main" id="{7CE3BC0E-EBD7-435B-A4F5-7F668A83EFAB}"/>
            </a:ext>
          </a:extLst>
        </xdr:cNvPr>
        <xdr:cNvSpPr txBox="1"/>
      </xdr:nvSpPr>
      <xdr:spPr>
        <a:xfrm>
          <a:off x="4533900" y="148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16" name="TextBox 15">
          <a:extLst>
            <a:ext uri="{FF2B5EF4-FFF2-40B4-BE49-F238E27FC236}">
              <a16:creationId xmlns:a16="http://schemas.microsoft.com/office/drawing/2014/main" id="{B3AE2ADF-1F4E-4A47-AFC0-827768636984}"/>
            </a:ext>
          </a:extLst>
        </xdr:cNvPr>
        <xdr:cNvSpPr txBox="1"/>
      </xdr:nvSpPr>
      <xdr:spPr>
        <a:xfrm>
          <a:off x="453390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98</xdr:row>
      <xdr:rowOff>0</xdr:rowOff>
    </xdr:from>
    <xdr:ext cx="184731" cy="303466"/>
    <xdr:sp macro="" textlink="">
      <xdr:nvSpPr>
        <xdr:cNvPr id="17" name="TextBox 16">
          <a:extLst>
            <a:ext uri="{FF2B5EF4-FFF2-40B4-BE49-F238E27FC236}">
              <a16:creationId xmlns:a16="http://schemas.microsoft.com/office/drawing/2014/main" id="{14A34A9B-3498-491E-A03A-55896F112362}"/>
            </a:ext>
          </a:extLst>
        </xdr:cNvPr>
        <xdr:cNvSpPr txBox="1"/>
      </xdr:nvSpPr>
      <xdr:spPr>
        <a:xfrm>
          <a:off x="4533900" y="152209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8" name="TextBox 17">
          <a:extLst>
            <a:ext uri="{FF2B5EF4-FFF2-40B4-BE49-F238E27FC236}">
              <a16:creationId xmlns:a16="http://schemas.microsoft.com/office/drawing/2014/main" id="{2A6EF077-BD71-4B63-9C8B-4463055AE4B0}"/>
            </a:ext>
          </a:extLst>
        </xdr:cNvPr>
        <xdr:cNvSpPr txBox="1"/>
      </xdr:nvSpPr>
      <xdr:spPr>
        <a:xfrm>
          <a:off x="453390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9" name="TextBox 18">
          <a:extLst>
            <a:ext uri="{FF2B5EF4-FFF2-40B4-BE49-F238E27FC236}">
              <a16:creationId xmlns:a16="http://schemas.microsoft.com/office/drawing/2014/main" id="{BBAAA128-5BCD-480C-AB2A-2A8797A7BF4A}"/>
            </a:ext>
          </a:extLst>
        </xdr:cNvPr>
        <xdr:cNvSpPr txBox="1"/>
      </xdr:nvSpPr>
      <xdr:spPr>
        <a:xfrm>
          <a:off x="453390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0" name="TextBox 19">
          <a:extLst>
            <a:ext uri="{FF2B5EF4-FFF2-40B4-BE49-F238E27FC236}">
              <a16:creationId xmlns:a16="http://schemas.microsoft.com/office/drawing/2014/main" id="{331C00E4-D4BD-49E1-9BD3-E36BF147F7EB}"/>
            </a:ext>
          </a:extLst>
        </xdr:cNvPr>
        <xdr:cNvSpPr txBox="1"/>
      </xdr:nvSpPr>
      <xdr:spPr>
        <a:xfrm>
          <a:off x="453390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1" name="TextBox 20">
          <a:extLst>
            <a:ext uri="{FF2B5EF4-FFF2-40B4-BE49-F238E27FC236}">
              <a16:creationId xmlns:a16="http://schemas.microsoft.com/office/drawing/2014/main" id="{10174BC1-331A-4DBF-ADCA-2C7B33CA6133}"/>
            </a:ext>
          </a:extLst>
        </xdr:cNvPr>
        <xdr:cNvSpPr txBox="1"/>
      </xdr:nvSpPr>
      <xdr:spPr>
        <a:xfrm>
          <a:off x="453390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2" name="TextBox 21">
          <a:extLst>
            <a:ext uri="{FF2B5EF4-FFF2-40B4-BE49-F238E27FC236}">
              <a16:creationId xmlns:a16="http://schemas.microsoft.com/office/drawing/2014/main" id="{6D68D1C5-7146-4E1D-8F9D-DC9C5C2B30A4}"/>
            </a:ext>
          </a:extLst>
        </xdr:cNvPr>
        <xdr:cNvSpPr txBox="1"/>
      </xdr:nvSpPr>
      <xdr:spPr>
        <a:xfrm>
          <a:off x="45339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3" name="TextBox 22">
          <a:extLst>
            <a:ext uri="{FF2B5EF4-FFF2-40B4-BE49-F238E27FC236}">
              <a16:creationId xmlns:a16="http://schemas.microsoft.com/office/drawing/2014/main" id="{84BB7C14-A385-4D13-9819-4C03592488FD}"/>
            </a:ext>
          </a:extLst>
        </xdr:cNvPr>
        <xdr:cNvSpPr txBox="1"/>
      </xdr:nvSpPr>
      <xdr:spPr>
        <a:xfrm>
          <a:off x="45339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4" name="TextBox 23">
          <a:extLst>
            <a:ext uri="{FF2B5EF4-FFF2-40B4-BE49-F238E27FC236}">
              <a16:creationId xmlns:a16="http://schemas.microsoft.com/office/drawing/2014/main" id="{58B4A060-DE81-4A41-9301-EA92E5D78344}"/>
            </a:ext>
          </a:extLst>
        </xdr:cNvPr>
        <xdr:cNvSpPr txBox="1"/>
      </xdr:nvSpPr>
      <xdr:spPr>
        <a:xfrm>
          <a:off x="45339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5" name="TextBox 24">
          <a:extLst>
            <a:ext uri="{FF2B5EF4-FFF2-40B4-BE49-F238E27FC236}">
              <a16:creationId xmlns:a16="http://schemas.microsoft.com/office/drawing/2014/main" id="{C90A13DA-A29C-4E24-A75C-7143E2A315FF}"/>
            </a:ext>
          </a:extLst>
        </xdr:cNvPr>
        <xdr:cNvSpPr txBox="1"/>
      </xdr:nvSpPr>
      <xdr:spPr>
        <a:xfrm>
          <a:off x="45339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6" name="TextBox 25">
          <a:extLst>
            <a:ext uri="{FF2B5EF4-FFF2-40B4-BE49-F238E27FC236}">
              <a16:creationId xmlns:a16="http://schemas.microsoft.com/office/drawing/2014/main" id="{71F5CDC9-1E90-4F17-80E4-72192F2E6754}"/>
            </a:ext>
          </a:extLst>
        </xdr:cNvPr>
        <xdr:cNvSpPr txBox="1"/>
      </xdr:nvSpPr>
      <xdr:spPr>
        <a:xfrm>
          <a:off x="453390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7" name="TextBox 26">
          <a:extLst>
            <a:ext uri="{FF2B5EF4-FFF2-40B4-BE49-F238E27FC236}">
              <a16:creationId xmlns:a16="http://schemas.microsoft.com/office/drawing/2014/main" id="{251FF9FC-0FB9-496F-A29D-49DA76EEF8DA}"/>
            </a:ext>
          </a:extLst>
        </xdr:cNvPr>
        <xdr:cNvSpPr txBox="1"/>
      </xdr:nvSpPr>
      <xdr:spPr>
        <a:xfrm>
          <a:off x="453390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28" name="TextBox 27">
          <a:extLst>
            <a:ext uri="{FF2B5EF4-FFF2-40B4-BE49-F238E27FC236}">
              <a16:creationId xmlns:a16="http://schemas.microsoft.com/office/drawing/2014/main" id="{A569FA07-8CE7-402F-801F-1D77A1040326}"/>
            </a:ext>
          </a:extLst>
        </xdr:cNvPr>
        <xdr:cNvSpPr txBox="1"/>
      </xdr:nvSpPr>
      <xdr:spPr>
        <a:xfrm>
          <a:off x="6505575" y="148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29" name="TextBox 28">
          <a:extLst>
            <a:ext uri="{FF2B5EF4-FFF2-40B4-BE49-F238E27FC236}">
              <a16:creationId xmlns:a16="http://schemas.microsoft.com/office/drawing/2014/main" id="{D60802FF-46A0-4734-B4D8-2485FDFEB11E}"/>
            </a:ext>
          </a:extLst>
        </xdr:cNvPr>
        <xdr:cNvSpPr txBox="1"/>
      </xdr:nvSpPr>
      <xdr:spPr>
        <a:xfrm>
          <a:off x="65055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98</xdr:row>
      <xdr:rowOff>0</xdr:rowOff>
    </xdr:from>
    <xdr:ext cx="184731" cy="303466"/>
    <xdr:sp macro="" textlink="">
      <xdr:nvSpPr>
        <xdr:cNvPr id="30" name="TextBox 29">
          <a:extLst>
            <a:ext uri="{FF2B5EF4-FFF2-40B4-BE49-F238E27FC236}">
              <a16:creationId xmlns:a16="http://schemas.microsoft.com/office/drawing/2014/main" id="{252FABAE-C709-4522-9022-C0CA18B75BFA}"/>
            </a:ext>
          </a:extLst>
        </xdr:cNvPr>
        <xdr:cNvSpPr txBox="1"/>
      </xdr:nvSpPr>
      <xdr:spPr>
        <a:xfrm>
          <a:off x="6505575" y="152209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1" name="TextBox 30">
          <a:extLst>
            <a:ext uri="{FF2B5EF4-FFF2-40B4-BE49-F238E27FC236}">
              <a16:creationId xmlns:a16="http://schemas.microsoft.com/office/drawing/2014/main" id="{0FDF99C3-660F-4685-8415-F6A8342C72A3}"/>
            </a:ext>
          </a:extLst>
        </xdr:cNvPr>
        <xdr:cNvSpPr txBox="1"/>
      </xdr:nvSpPr>
      <xdr:spPr>
        <a:xfrm>
          <a:off x="65055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2" name="TextBox 31">
          <a:extLst>
            <a:ext uri="{FF2B5EF4-FFF2-40B4-BE49-F238E27FC236}">
              <a16:creationId xmlns:a16="http://schemas.microsoft.com/office/drawing/2014/main" id="{376F9A62-65FF-461D-A6AF-E3CDF27C8314}"/>
            </a:ext>
          </a:extLst>
        </xdr:cNvPr>
        <xdr:cNvSpPr txBox="1"/>
      </xdr:nvSpPr>
      <xdr:spPr>
        <a:xfrm>
          <a:off x="65055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3" name="TextBox 32">
          <a:extLst>
            <a:ext uri="{FF2B5EF4-FFF2-40B4-BE49-F238E27FC236}">
              <a16:creationId xmlns:a16="http://schemas.microsoft.com/office/drawing/2014/main" id="{2F33A930-F08C-49F9-B6A0-D8064BAF9B1F}"/>
            </a:ext>
          </a:extLst>
        </xdr:cNvPr>
        <xdr:cNvSpPr txBox="1"/>
      </xdr:nvSpPr>
      <xdr:spPr>
        <a:xfrm>
          <a:off x="65055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4" name="TextBox 33">
          <a:extLst>
            <a:ext uri="{FF2B5EF4-FFF2-40B4-BE49-F238E27FC236}">
              <a16:creationId xmlns:a16="http://schemas.microsoft.com/office/drawing/2014/main" id="{C6DFC6C8-E63C-4D7F-A4CB-6B749071EE5C}"/>
            </a:ext>
          </a:extLst>
        </xdr:cNvPr>
        <xdr:cNvSpPr txBox="1"/>
      </xdr:nvSpPr>
      <xdr:spPr>
        <a:xfrm>
          <a:off x="65055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5" name="TextBox 34">
          <a:extLst>
            <a:ext uri="{FF2B5EF4-FFF2-40B4-BE49-F238E27FC236}">
              <a16:creationId xmlns:a16="http://schemas.microsoft.com/office/drawing/2014/main" id="{F1130D78-B90B-4EE8-BCE6-D2BA5C27BE49}"/>
            </a:ext>
          </a:extLst>
        </xdr:cNvPr>
        <xdr:cNvSpPr txBox="1"/>
      </xdr:nvSpPr>
      <xdr:spPr>
        <a:xfrm>
          <a:off x="65055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6" name="TextBox 35">
          <a:extLst>
            <a:ext uri="{FF2B5EF4-FFF2-40B4-BE49-F238E27FC236}">
              <a16:creationId xmlns:a16="http://schemas.microsoft.com/office/drawing/2014/main" id="{4353D815-4E2E-48F2-88F7-4A4F34BCB7C7}"/>
            </a:ext>
          </a:extLst>
        </xdr:cNvPr>
        <xdr:cNvSpPr txBox="1"/>
      </xdr:nvSpPr>
      <xdr:spPr>
        <a:xfrm>
          <a:off x="65055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7" name="TextBox 36">
          <a:extLst>
            <a:ext uri="{FF2B5EF4-FFF2-40B4-BE49-F238E27FC236}">
              <a16:creationId xmlns:a16="http://schemas.microsoft.com/office/drawing/2014/main" id="{50AFC7FA-A1F5-49C1-84D6-78FEF64BD281}"/>
            </a:ext>
          </a:extLst>
        </xdr:cNvPr>
        <xdr:cNvSpPr txBox="1"/>
      </xdr:nvSpPr>
      <xdr:spPr>
        <a:xfrm>
          <a:off x="6505575"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8" name="TextBox 37">
          <a:extLst>
            <a:ext uri="{FF2B5EF4-FFF2-40B4-BE49-F238E27FC236}">
              <a16:creationId xmlns:a16="http://schemas.microsoft.com/office/drawing/2014/main" id="{760BAF8D-3F48-40CD-B597-3553DD2FFE4E}"/>
            </a:ext>
          </a:extLst>
        </xdr:cNvPr>
        <xdr:cNvSpPr txBox="1"/>
      </xdr:nvSpPr>
      <xdr:spPr>
        <a:xfrm>
          <a:off x="6505575"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39" name="TextBox 38">
          <a:extLst>
            <a:ext uri="{FF2B5EF4-FFF2-40B4-BE49-F238E27FC236}">
              <a16:creationId xmlns:a16="http://schemas.microsoft.com/office/drawing/2014/main" id="{69E64C13-A8EA-4DAB-B32B-23326552C9C7}"/>
            </a:ext>
          </a:extLst>
        </xdr:cNvPr>
        <xdr:cNvSpPr txBox="1"/>
      </xdr:nvSpPr>
      <xdr:spPr>
        <a:xfrm>
          <a:off x="650557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40" name="TextBox 39">
          <a:extLst>
            <a:ext uri="{FF2B5EF4-FFF2-40B4-BE49-F238E27FC236}">
              <a16:creationId xmlns:a16="http://schemas.microsoft.com/office/drawing/2014/main" id="{CF4D990A-1D10-4D74-97B3-638BEBDF6176}"/>
            </a:ext>
          </a:extLst>
        </xdr:cNvPr>
        <xdr:cNvSpPr txBox="1"/>
      </xdr:nvSpPr>
      <xdr:spPr>
        <a:xfrm>
          <a:off x="650557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96</xdr:row>
      <xdr:rowOff>0</xdr:rowOff>
    </xdr:from>
    <xdr:ext cx="192763" cy="264560"/>
    <xdr:sp macro="" textlink="">
      <xdr:nvSpPr>
        <xdr:cNvPr id="41" name="TextBox 40">
          <a:extLst>
            <a:ext uri="{FF2B5EF4-FFF2-40B4-BE49-F238E27FC236}">
              <a16:creationId xmlns:a16="http://schemas.microsoft.com/office/drawing/2014/main" id="{3DE14FA8-AA56-472B-8ED4-C77FC657AE29}"/>
            </a:ext>
          </a:extLst>
        </xdr:cNvPr>
        <xdr:cNvSpPr txBox="1"/>
      </xdr:nvSpPr>
      <xdr:spPr>
        <a:xfrm>
          <a:off x="4530090"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96</xdr:row>
      <xdr:rowOff>0</xdr:rowOff>
    </xdr:from>
    <xdr:ext cx="192763" cy="264560"/>
    <xdr:sp macro="" textlink="">
      <xdr:nvSpPr>
        <xdr:cNvPr id="42" name="TextBox 41">
          <a:extLst>
            <a:ext uri="{FF2B5EF4-FFF2-40B4-BE49-F238E27FC236}">
              <a16:creationId xmlns:a16="http://schemas.microsoft.com/office/drawing/2014/main" id="{CE7A2747-0E32-45B3-B876-828606E880CF}"/>
            </a:ext>
          </a:extLst>
        </xdr:cNvPr>
        <xdr:cNvSpPr txBox="1"/>
      </xdr:nvSpPr>
      <xdr:spPr>
        <a:xfrm>
          <a:off x="6501765"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96</xdr:row>
      <xdr:rowOff>0</xdr:rowOff>
    </xdr:from>
    <xdr:ext cx="192763" cy="264560"/>
    <xdr:sp macro="" textlink="">
      <xdr:nvSpPr>
        <xdr:cNvPr id="43" name="TextBox 42">
          <a:extLst>
            <a:ext uri="{FF2B5EF4-FFF2-40B4-BE49-F238E27FC236}">
              <a16:creationId xmlns:a16="http://schemas.microsoft.com/office/drawing/2014/main" id="{47A5F9E1-3DB8-404E-AB57-B6477EB1EBB6}"/>
            </a:ext>
          </a:extLst>
        </xdr:cNvPr>
        <xdr:cNvSpPr txBox="1"/>
      </xdr:nvSpPr>
      <xdr:spPr>
        <a:xfrm>
          <a:off x="7682865"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97</xdr:row>
      <xdr:rowOff>0</xdr:rowOff>
    </xdr:from>
    <xdr:ext cx="183125" cy="264560"/>
    <xdr:sp macro="" textlink="">
      <xdr:nvSpPr>
        <xdr:cNvPr id="44" name="TextBox 43">
          <a:extLst>
            <a:ext uri="{FF2B5EF4-FFF2-40B4-BE49-F238E27FC236}">
              <a16:creationId xmlns:a16="http://schemas.microsoft.com/office/drawing/2014/main" id="{FD97665B-5EA4-4261-8B71-1EE3A6903925}"/>
            </a:ext>
          </a:extLst>
        </xdr:cNvPr>
        <xdr:cNvSpPr txBox="1"/>
      </xdr:nvSpPr>
      <xdr:spPr>
        <a:xfrm>
          <a:off x="3510915" y="150590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97</xdr:row>
      <xdr:rowOff>0</xdr:rowOff>
    </xdr:from>
    <xdr:ext cx="184731" cy="271710"/>
    <xdr:sp macro="" textlink="">
      <xdr:nvSpPr>
        <xdr:cNvPr id="45" name="TextBox 44">
          <a:extLst>
            <a:ext uri="{FF2B5EF4-FFF2-40B4-BE49-F238E27FC236}">
              <a16:creationId xmlns:a16="http://schemas.microsoft.com/office/drawing/2014/main" id="{DDAA62EF-9D33-4624-81CA-8B58ADE6C1BC}"/>
            </a:ext>
          </a:extLst>
        </xdr:cNvPr>
        <xdr:cNvSpPr txBox="1"/>
      </xdr:nvSpPr>
      <xdr:spPr>
        <a:xfrm>
          <a:off x="693420" y="150590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3139440</xdr:colOff>
      <xdr:row>69</xdr:row>
      <xdr:rowOff>0</xdr:rowOff>
    </xdr:from>
    <xdr:ext cx="192763" cy="264560"/>
    <xdr:sp macro="" textlink="">
      <xdr:nvSpPr>
        <xdr:cNvPr id="2" name="TextBox 1">
          <a:extLst>
            <a:ext uri="{FF2B5EF4-FFF2-40B4-BE49-F238E27FC236}">
              <a16:creationId xmlns:a16="http://schemas.microsoft.com/office/drawing/2014/main" id="{C097A5FC-E91A-4F10-8885-9C7B301A874D}"/>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3" name="TextBox 2">
          <a:extLst>
            <a:ext uri="{FF2B5EF4-FFF2-40B4-BE49-F238E27FC236}">
              <a16:creationId xmlns:a16="http://schemas.microsoft.com/office/drawing/2014/main" id="{7E0A1F33-157C-46A3-B77F-461A0C503EDC}"/>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303466"/>
    <xdr:sp macro="" textlink="">
      <xdr:nvSpPr>
        <xdr:cNvPr id="4" name="TextBox 3">
          <a:extLst>
            <a:ext uri="{FF2B5EF4-FFF2-40B4-BE49-F238E27FC236}">
              <a16:creationId xmlns:a16="http://schemas.microsoft.com/office/drawing/2014/main" id="{4287AA93-465B-45F6-A63E-48CF4B269C80}"/>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 name="TextBox 4">
          <a:extLst>
            <a:ext uri="{FF2B5EF4-FFF2-40B4-BE49-F238E27FC236}">
              <a16:creationId xmlns:a16="http://schemas.microsoft.com/office/drawing/2014/main" id="{42DA560B-2DD6-4793-9BAE-474866138F5C}"/>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6" name="TextBox 5">
          <a:extLst>
            <a:ext uri="{FF2B5EF4-FFF2-40B4-BE49-F238E27FC236}">
              <a16:creationId xmlns:a16="http://schemas.microsoft.com/office/drawing/2014/main" id="{1BE60AA9-9FE8-4566-A6CF-444E1FEC43CF}"/>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7" name="TextBox 6">
          <a:extLst>
            <a:ext uri="{FF2B5EF4-FFF2-40B4-BE49-F238E27FC236}">
              <a16:creationId xmlns:a16="http://schemas.microsoft.com/office/drawing/2014/main" id="{7AFB9D1F-7634-445D-8EDE-E7747649EE6A}"/>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8" name="TextBox 7">
          <a:extLst>
            <a:ext uri="{FF2B5EF4-FFF2-40B4-BE49-F238E27FC236}">
              <a16:creationId xmlns:a16="http://schemas.microsoft.com/office/drawing/2014/main" id="{5ECDD6CE-9C85-4196-A1D8-F66932BCDA42}"/>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9" name="TextBox 8">
          <a:extLst>
            <a:ext uri="{FF2B5EF4-FFF2-40B4-BE49-F238E27FC236}">
              <a16:creationId xmlns:a16="http://schemas.microsoft.com/office/drawing/2014/main" id="{3DB572B1-8725-4F08-9A2B-F6861B0FE4D3}"/>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0" name="TextBox 9">
          <a:extLst>
            <a:ext uri="{FF2B5EF4-FFF2-40B4-BE49-F238E27FC236}">
              <a16:creationId xmlns:a16="http://schemas.microsoft.com/office/drawing/2014/main" id="{E0A122EC-B59B-4F6D-B424-F2069C3DC9D3}"/>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1" name="TextBox 10">
          <a:extLst>
            <a:ext uri="{FF2B5EF4-FFF2-40B4-BE49-F238E27FC236}">
              <a16:creationId xmlns:a16="http://schemas.microsoft.com/office/drawing/2014/main" id="{C077AD75-20A7-4B6C-8C17-F64436A40D34}"/>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2" name="TextBox 11">
          <a:extLst>
            <a:ext uri="{FF2B5EF4-FFF2-40B4-BE49-F238E27FC236}">
              <a16:creationId xmlns:a16="http://schemas.microsoft.com/office/drawing/2014/main" id="{9BAE97FC-EAB8-4B82-BA98-B2C3192A1712}"/>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3" name="TextBox 12">
          <a:extLst>
            <a:ext uri="{FF2B5EF4-FFF2-40B4-BE49-F238E27FC236}">
              <a16:creationId xmlns:a16="http://schemas.microsoft.com/office/drawing/2014/main" id="{8028F99B-FF2C-4542-997D-2B3DCF6C3301}"/>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4" name="TextBox 13">
          <a:extLst>
            <a:ext uri="{FF2B5EF4-FFF2-40B4-BE49-F238E27FC236}">
              <a16:creationId xmlns:a16="http://schemas.microsoft.com/office/drawing/2014/main" id="{7DA9309C-40FD-4BB7-AAD3-AD9C7C64538B}"/>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5" name="TextBox 14">
          <a:extLst>
            <a:ext uri="{FF2B5EF4-FFF2-40B4-BE49-F238E27FC236}">
              <a16:creationId xmlns:a16="http://schemas.microsoft.com/office/drawing/2014/main" id="{9DC142B7-4273-4E59-A346-DC8134223A05}"/>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6" name="TextBox 15">
          <a:extLst>
            <a:ext uri="{FF2B5EF4-FFF2-40B4-BE49-F238E27FC236}">
              <a16:creationId xmlns:a16="http://schemas.microsoft.com/office/drawing/2014/main" id="{18E33990-4B50-4B6B-8825-15FAB2E9D80D}"/>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303466"/>
    <xdr:sp macro="" textlink="">
      <xdr:nvSpPr>
        <xdr:cNvPr id="17" name="TextBox 16">
          <a:extLst>
            <a:ext uri="{FF2B5EF4-FFF2-40B4-BE49-F238E27FC236}">
              <a16:creationId xmlns:a16="http://schemas.microsoft.com/office/drawing/2014/main" id="{56E0BE05-6703-4CD5-9BFC-89B79B5994F7}"/>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8" name="TextBox 17">
          <a:extLst>
            <a:ext uri="{FF2B5EF4-FFF2-40B4-BE49-F238E27FC236}">
              <a16:creationId xmlns:a16="http://schemas.microsoft.com/office/drawing/2014/main" id="{E88259C2-CA02-4EA0-A4C3-8B18CBA48501}"/>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9" name="TextBox 18">
          <a:extLst>
            <a:ext uri="{FF2B5EF4-FFF2-40B4-BE49-F238E27FC236}">
              <a16:creationId xmlns:a16="http://schemas.microsoft.com/office/drawing/2014/main" id="{66F6D9BE-4E36-4D1A-AC9C-CE304C040C8D}"/>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0" name="TextBox 19">
          <a:extLst>
            <a:ext uri="{FF2B5EF4-FFF2-40B4-BE49-F238E27FC236}">
              <a16:creationId xmlns:a16="http://schemas.microsoft.com/office/drawing/2014/main" id="{BB72221F-63B4-455D-8D46-0B1DB98A375A}"/>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1" name="TextBox 20">
          <a:extLst>
            <a:ext uri="{FF2B5EF4-FFF2-40B4-BE49-F238E27FC236}">
              <a16:creationId xmlns:a16="http://schemas.microsoft.com/office/drawing/2014/main" id="{81572F86-E073-43CF-A24C-20B6C3125CF4}"/>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2" name="TextBox 21">
          <a:extLst>
            <a:ext uri="{FF2B5EF4-FFF2-40B4-BE49-F238E27FC236}">
              <a16:creationId xmlns:a16="http://schemas.microsoft.com/office/drawing/2014/main" id="{93D19A07-0407-4C2C-8CF7-142D51957B35}"/>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3" name="TextBox 22">
          <a:extLst>
            <a:ext uri="{FF2B5EF4-FFF2-40B4-BE49-F238E27FC236}">
              <a16:creationId xmlns:a16="http://schemas.microsoft.com/office/drawing/2014/main" id="{8ED479DE-F8B7-41E5-AE47-FE63867BF952}"/>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4" name="TextBox 23">
          <a:extLst>
            <a:ext uri="{FF2B5EF4-FFF2-40B4-BE49-F238E27FC236}">
              <a16:creationId xmlns:a16="http://schemas.microsoft.com/office/drawing/2014/main" id="{EA482F38-9453-4D29-A022-5BD8BC050D64}"/>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5" name="TextBox 24">
          <a:extLst>
            <a:ext uri="{FF2B5EF4-FFF2-40B4-BE49-F238E27FC236}">
              <a16:creationId xmlns:a16="http://schemas.microsoft.com/office/drawing/2014/main" id="{1E6AECC2-F984-4364-9F20-D323090F67C5}"/>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6" name="TextBox 25">
          <a:extLst>
            <a:ext uri="{FF2B5EF4-FFF2-40B4-BE49-F238E27FC236}">
              <a16:creationId xmlns:a16="http://schemas.microsoft.com/office/drawing/2014/main" id="{F2F387D1-5466-4A31-8827-A3064B86100A}"/>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7" name="TextBox 26">
          <a:extLst>
            <a:ext uri="{FF2B5EF4-FFF2-40B4-BE49-F238E27FC236}">
              <a16:creationId xmlns:a16="http://schemas.microsoft.com/office/drawing/2014/main" id="{53B0CE95-1935-4DA6-928E-1963B18B131E}"/>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8" name="TextBox 27">
          <a:extLst>
            <a:ext uri="{FF2B5EF4-FFF2-40B4-BE49-F238E27FC236}">
              <a16:creationId xmlns:a16="http://schemas.microsoft.com/office/drawing/2014/main" id="{01CE22EB-173C-4B67-8E0C-CB0CC1103EF3}"/>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29" name="TextBox 28">
          <a:extLst>
            <a:ext uri="{FF2B5EF4-FFF2-40B4-BE49-F238E27FC236}">
              <a16:creationId xmlns:a16="http://schemas.microsoft.com/office/drawing/2014/main" id="{DD46BE42-2730-42AB-AD86-EBB69362D1A4}"/>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303466"/>
    <xdr:sp macro="" textlink="">
      <xdr:nvSpPr>
        <xdr:cNvPr id="30" name="TextBox 29">
          <a:extLst>
            <a:ext uri="{FF2B5EF4-FFF2-40B4-BE49-F238E27FC236}">
              <a16:creationId xmlns:a16="http://schemas.microsoft.com/office/drawing/2014/main" id="{C55CF084-D2C4-4AA4-9C9C-41AC696E389B}"/>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1" name="TextBox 30">
          <a:extLst>
            <a:ext uri="{FF2B5EF4-FFF2-40B4-BE49-F238E27FC236}">
              <a16:creationId xmlns:a16="http://schemas.microsoft.com/office/drawing/2014/main" id="{3182B312-CE4D-4A84-B978-6BA1E42E3A9B}"/>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2" name="TextBox 31">
          <a:extLst>
            <a:ext uri="{FF2B5EF4-FFF2-40B4-BE49-F238E27FC236}">
              <a16:creationId xmlns:a16="http://schemas.microsoft.com/office/drawing/2014/main" id="{3C15ACD8-B5C7-4EBC-A8BE-F0EF2B1F40EB}"/>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3" name="TextBox 32">
          <a:extLst>
            <a:ext uri="{FF2B5EF4-FFF2-40B4-BE49-F238E27FC236}">
              <a16:creationId xmlns:a16="http://schemas.microsoft.com/office/drawing/2014/main" id="{3445C708-874E-4529-9A08-BA8180E08C20}"/>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4" name="TextBox 33">
          <a:extLst>
            <a:ext uri="{FF2B5EF4-FFF2-40B4-BE49-F238E27FC236}">
              <a16:creationId xmlns:a16="http://schemas.microsoft.com/office/drawing/2014/main" id="{74AD6068-6367-44A4-BA64-DA0E92D0E332}"/>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5" name="TextBox 34">
          <a:extLst>
            <a:ext uri="{FF2B5EF4-FFF2-40B4-BE49-F238E27FC236}">
              <a16:creationId xmlns:a16="http://schemas.microsoft.com/office/drawing/2014/main" id="{C095474B-1222-4D0A-8A82-7BA6D2106E8E}"/>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6" name="TextBox 35">
          <a:extLst>
            <a:ext uri="{FF2B5EF4-FFF2-40B4-BE49-F238E27FC236}">
              <a16:creationId xmlns:a16="http://schemas.microsoft.com/office/drawing/2014/main" id="{A74D7C8B-59D1-48C5-A0D4-E4A4B150CD48}"/>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7" name="TextBox 36">
          <a:extLst>
            <a:ext uri="{FF2B5EF4-FFF2-40B4-BE49-F238E27FC236}">
              <a16:creationId xmlns:a16="http://schemas.microsoft.com/office/drawing/2014/main" id="{4887C93F-54C8-4BD6-8041-370C4427544B}"/>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8" name="TextBox 37">
          <a:extLst>
            <a:ext uri="{FF2B5EF4-FFF2-40B4-BE49-F238E27FC236}">
              <a16:creationId xmlns:a16="http://schemas.microsoft.com/office/drawing/2014/main" id="{5AFE0C72-4527-44B0-8AEB-1C7617424DDD}"/>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39" name="TextBox 38">
          <a:extLst>
            <a:ext uri="{FF2B5EF4-FFF2-40B4-BE49-F238E27FC236}">
              <a16:creationId xmlns:a16="http://schemas.microsoft.com/office/drawing/2014/main" id="{9DE6ACAB-356D-4B42-A505-B57E7C968B6F}"/>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40" name="TextBox 39">
          <a:extLst>
            <a:ext uri="{FF2B5EF4-FFF2-40B4-BE49-F238E27FC236}">
              <a16:creationId xmlns:a16="http://schemas.microsoft.com/office/drawing/2014/main" id="{B7F91BF0-D242-4CBE-9A18-B7CA0C8BE02E}"/>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69</xdr:row>
      <xdr:rowOff>0</xdr:rowOff>
    </xdr:from>
    <xdr:ext cx="192763" cy="264560"/>
    <xdr:sp macro="" textlink="">
      <xdr:nvSpPr>
        <xdr:cNvPr id="41" name="TextBox 40">
          <a:extLst>
            <a:ext uri="{FF2B5EF4-FFF2-40B4-BE49-F238E27FC236}">
              <a16:creationId xmlns:a16="http://schemas.microsoft.com/office/drawing/2014/main" id="{755EED09-26A1-40B9-8008-2FF0762423F5}"/>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69</xdr:row>
      <xdr:rowOff>0</xdr:rowOff>
    </xdr:from>
    <xdr:ext cx="192763" cy="264560"/>
    <xdr:sp macro="" textlink="">
      <xdr:nvSpPr>
        <xdr:cNvPr id="42" name="TextBox 41">
          <a:extLst>
            <a:ext uri="{FF2B5EF4-FFF2-40B4-BE49-F238E27FC236}">
              <a16:creationId xmlns:a16="http://schemas.microsoft.com/office/drawing/2014/main" id="{CDA869C6-CD48-4F02-865F-FC48F3BE0523}"/>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69</xdr:row>
      <xdr:rowOff>0</xdr:rowOff>
    </xdr:from>
    <xdr:ext cx="192763" cy="264560"/>
    <xdr:sp macro="" textlink="">
      <xdr:nvSpPr>
        <xdr:cNvPr id="43" name="TextBox 42">
          <a:extLst>
            <a:ext uri="{FF2B5EF4-FFF2-40B4-BE49-F238E27FC236}">
              <a16:creationId xmlns:a16="http://schemas.microsoft.com/office/drawing/2014/main" id="{37F76C17-6548-479E-9CF4-1FAAEC10C619}"/>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70</xdr:row>
      <xdr:rowOff>0</xdr:rowOff>
    </xdr:from>
    <xdr:ext cx="183125" cy="264560"/>
    <xdr:sp macro="" textlink="">
      <xdr:nvSpPr>
        <xdr:cNvPr id="44" name="TextBox 43">
          <a:extLst>
            <a:ext uri="{FF2B5EF4-FFF2-40B4-BE49-F238E27FC236}">
              <a16:creationId xmlns:a16="http://schemas.microsoft.com/office/drawing/2014/main" id="{A8CE9172-999D-448D-90F8-6725AA2A5FCE}"/>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70</xdr:row>
      <xdr:rowOff>0</xdr:rowOff>
    </xdr:from>
    <xdr:ext cx="184731" cy="271710"/>
    <xdr:sp macro="" textlink="">
      <xdr:nvSpPr>
        <xdr:cNvPr id="45" name="TextBox 44">
          <a:extLst>
            <a:ext uri="{FF2B5EF4-FFF2-40B4-BE49-F238E27FC236}">
              <a16:creationId xmlns:a16="http://schemas.microsoft.com/office/drawing/2014/main" id="{2BCDCD21-E8E8-49FD-AF60-00B22A7683F0}"/>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3139440</xdr:colOff>
      <xdr:row>42</xdr:row>
      <xdr:rowOff>0</xdr:rowOff>
    </xdr:from>
    <xdr:ext cx="192763" cy="264560"/>
    <xdr:sp macro="" textlink="">
      <xdr:nvSpPr>
        <xdr:cNvPr id="2" name="TextBox 1">
          <a:extLst>
            <a:ext uri="{FF2B5EF4-FFF2-40B4-BE49-F238E27FC236}">
              <a16:creationId xmlns:a16="http://schemas.microsoft.com/office/drawing/2014/main" id="{9549E166-1051-429B-9EC9-E00F459B27D5}"/>
            </a:ext>
          </a:extLst>
        </xdr:cNvPr>
        <xdr:cNvSpPr txBox="1"/>
      </xdr:nvSpPr>
      <xdr:spPr>
        <a:xfrm>
          <a:off x="21297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3" name="TextBox 2">
          <a:extLst>
            <a:ext uri="{FF2B5EF4-FFF2-40B4-BE49-F238E27FC236}">
              <a16:creationId xmlns:a16="http://schemas.microsoft.com/office/drawing/2014/main" id="{7094F7AE-1CF7-4458-B958-8E7738D19AC8}"/>
            </a:ext>
          </a:extLst>
        </xdr:cNvPr>
        <xdr:cNvSpPr txBox="1"/>
      </xdr:nvSpPr>
      <xdr:spPr>
        <a:xfrm>
          <a:off x="2129790" y="7343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303466"/>
    <xdr:sp macro="" textlink="">
      <xdr:nvSpPr>
        <xdr:cNvPr id="4" name="TextBox 3">
          <a:extLst>
            <a:ext uri="{FF2B5EF4-FFF2-40B4-BE49-F238E27FC236}">
              <a16:creationId xmlns:a16="http://schemas.microsoft.com/office/drawing/2014/main" id="{83EC4517-AAF7-4DF1-A39D-A0CA74629142}"/>
            </a:ext>
          </a:extLst>
        </xdr:cNvPr>
        <xdr:cNvSpPr txBox="1"/>
      </xdr:nvSpPr>
      <xdr:spPr>
        <a:xfrm>
          <a:off x="2129790" y="75057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5" name="TextBox 4">
          <a:extLst>
            <a:ext uri="{FF2B5EF4-FFF2-40B4-BE49-F238E27FC236}">
              <a16:creationId xmlns:a16="http://schemas.microsoft.com/office/drawing/2014/main" id="{3826BC8F-09BC-4733-93BD-7E525FC2A3E6}"/>
            </a:ext>
          </a:extLst>
        </xdr:cNvPr>
        <xdr:cNvSpPr txBox="1"/>
      </xdr:nvSpPr>
      <xdr:spPr>
        <a:xfrm>
          <a:off x="2129790" y="766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6" name="TextBox 5">
          <a:extLst>
            <a:ext uri="{FF2B5EF4-FFF2-40B4-BE49-F238E27FC236}">
              <a16:creationId xmlns:a16="http://schemas.microsoft.com/office/drawing/2014/main" id="{E775DABB-FC74-4659-9E96-B40078849F47}"/>
            </a:ext>
          </a:extLst>
        </xdr:cNvPr>
        <xdr:cNvSpPr txBox="1"/>
      </xdr:nvSpPr>
      <xdr:spPr>
        <a:xfrm>
          <a:off x="2129790" y="766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7" name="TextBox 6">
          <a:extLst>
            <a:ext uri="{FF2B5EF4-FFF2-40B4-BE49-F238E27FC236}">
              <a16:creationId xmlns:a16="http://schemas.microsoft.com/office/drawing/2014/main" id="{3D0534C1-C1B1-40C5-AD16-40A859D680C9}"/>
            </a:ext>
          </a:extLst>
        </xdr:cNvPr>
        <xdr:cNvSpPr txBox="1"/>
      </xdr:nvSpPr>
      <xdr:spPr>
        <a:xfrm>
          <a:off x="2129790" y="7829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8" name="TextBox 7">
          <a:extLst>
            <a:ext uri="{FF2B5EF4-FFF2-40B4-BE49-F238E27FC236}">
              <a16:creationId xmlns:a16="http://schemas.microsoft.com/office/drawing/2014/main" id="{9A8E3958-DB93-460C-BAE0-F5FA04A7C1FB}"/>
            </a:ext>
          </a:extLst>
        </xdr:cNvPr>
        <xdr:cNvSpPr txBox="1"/>
      </xdr:nvSpPr>
      <xdr:spPr>
        <a:xfrm>
          <a:off x="2129790" y="7829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9" name="TextBox 8">
          <a:extLst>
            <a:ext uri="{FF2B5EF4-FFF2-40B4-BE49-F238E27FC236}">
              <a16:creationId xmlns:a16="http://schemas.microsoft.com/office/drawing/2014/main" id="{73DD05FF-0D8F-4896-9D53-88067F86D337}"/>
            </a:ext>
          </a:extLst>
        </xdr:cNvPr>
        <xdr:cNvSpPr txBox="1"/>
      </xdr:nvSpPr>
      <xdr:spPr>
        <a:xfrm>
          <a:off x="2129790" y="7991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10" name="TextBox 9">
          <a:extLst>
            <a:ext uri="{FF2B5EF4-FFF2-40B4-BE49-F238E27FC236}">
              <a16:creationId xmlns:a16="http://schemas.microsoft.com/office/drawing/2014/main" id="{B0AC45AB-624D-47B6-8640-0F36A3FC2332}"/>
            </a:ext>
          </a:extLst>
        </xdr:cNvPr>
        <xdr:cNvSpPr txBox="1"/>
      </xdr:nvSpPr>
      <xdr:spPr>
        <a:xfrm>
          <a:off x="2129790" y="7991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1" name="TextBox 10">
          <a:extLst>
            <a:ext uri="{FF2B5EF4-FFF2-40B4-BE49-F238E27FC236}">
              <a16:creationId xmlns:a16="http://schemas.microsoft.com/office/drawing/2014/main" id="{3C64071E-8F33-41CF-B54A-8A3DF976FF33}"/>
            </a:ext>
          </a:extLst>
        </xdr:cNvPr>
        <xdr:cNvSpPr txBox="1"/>
      </xdr:nvSpPr>
      <xdr:spPr>
        <a:xfrm>
          <a:off x="2129790" y="8153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2" name="TextBox 11">
          <a:extLst>
            <a:ext uri="{FF2B5EF4-FFF2-40B4-BE49-F238E27FC236}">
              <a16:creationId xmlns:a16="http://schemas.microsoft.com/office/drawing/2014/main" id="{F7B272F6-C21F-4E43-92F8-C44FE8C623BB}"/>
            </a:ext>
          </a:extLst>
        </xdr:cNvPr>
        <xdr:cNvSpPr txBox="1"/>
      </xdr:nvSpPr>
      <xdr:spPr>
        <a:xfrm>
          <a:off x="2129790" y="8153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3" name="TextBox 12">
          <a:extLst>
            <a:ext uri="{FF2B5EF4-FFF2-40B4-BE49-F238E27FC236}">
              <a16:creationId xmlns:a16="http://schemas.microsoft.com/office/drawing/2014/main" id="{A3DDC5D3-1563-400B-B195-E8127506C6BD}"/>
            </a:ext>
          </a:extLst>
        </xdr:cNvPr>
        <xdr:cNvSpPr txBox="1"/>
      </xdr:nvSpPr>
      <xdr:spPr>
        <a:xfrm>
          <a:off x="2129790" y="8315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4" name="TextBox 13">
          <a:extLst>
            <a:ext uri="{FF2B5EF4-FFF2-40B4-BE49-F238E27FC236}">
              <a16:creationId xmlns:a16="http://schemas.microsoft.com/office/drawing/2014/main" id="{552557A1-477E-4049-83EC-C29F1607FDF0}"/>
            </a:ext>
          </a:extLst>
        </xdr:cNvPr>
        <xdr:cNvSpPr txBox="1"/>
      </xdr:nvSpPr>
      <xdr:spPr>
        <a:xfrm>
          <a:off x="2129790" y="8315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15" name="TextBox 14">
          <a:extLst>
            <a:ext uri="{FF2B5EF4-FFF2-40B4-BE49-F238E27FC236}">
              <a16:creationId xmlns:a16="http://schemas.microsoft.com/office/drawing/2014/main" id="{D0B0B369-C879-436F-B792-39ED620DE529}"/>
            </a:ext>
          </a:extLst>
        </xdr:cNvPr>
        <xdr:cNvSpPr txBox="1"/>
      </xdr:nvSpPr>
      <xdr:spPr>
        <a:xfrm>
          <a:off x="2705100" y="718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16" name="TextBox 15">
          <a:extLst>
            <a:ext uri="{FF2B5EF4-FFF2-40B4-BE49-F238E27FC236}">
              <a16:creationId xmlns:a16="http://schemas.microsoft.com/office/drawing/2014/main" id="{E52A284C-FB5D-404C-BA6D-CFB3A6E99D2D}"/>
            </a:ext>
          </a:extLst>
        </xdr:cNvPr>
        <xdr:cNvSpPr txBox="1"/>
      </xdr:nvSpPr>
      <xdr:spPr>
        <a:xfrm>
          <a:off x="2705100" y="734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44</xdr:row>
      <xdr:rowOff>0</xdr:rowOff>
    </xdr:from>
    <xdr:ext cx="184731" cy="303466"/>
    <xdr:sp macro="" textlink="">
      <xdr:nvSpPr>
        <xdr:cNvPr id="17" name="TextBox 16">
          <a:extLst>
            <a:ext uri="{FF2B5EF4-FFF2-40B4-BE49-F238E27FC236}">
              <a16:creationId xmlns:a16="http://schemas.microsoft.com/office/drawing/2014/main" id="{2AE04A5C-43A5-455B-BE30-4FF185E35CDB}"/>
            </a:ext>
          </a:extLst>
        </xdr:cNvPr>
        <xdr:cNvSpPr txBox="1"/>
      </xdr:nvSpPr>
      <xdr:spPr>
        <a:xfrm>
          <a:off x="2705100" y="75057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8" name="TextBox 17">
          <a:extLst>
            <a:ext uri="{FF2B5EF4-FFF2-40B4-BE49-F238E27FC236}">
              <a16:creationId xmlns:a16="http://schemas.microsoft.com/office/drawing/2014/main" id="{3EF962E2-45CC-4410-A399-86B06500740E}"/>
            </a:ext>
          </a:extLst>
        </xdr:cNvPr>
        <xdr:cNvSpPr txBox="1"/>
      </xdr:nvSpPr>
      <xdr:spPr>
        <a:xfrm>
          <a:off x="2705100"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9" name="TextBox 18">
          <a:extLst>
            <a:ext uri="{FF2B5EF4-FFF2-40B4-BE49-F238E27FC236}">
              <a16:creationId xmlns:a16="http://schemas.microsoft.com/office/drawing/2014/main" id="{CEA24832-DEDA-4B0F-921A-7983952E6E0A}"/>
            </a:ext>
          </a:extLst>
        </xdr:cNvPr>
        <xdr:cNvSpPr txBox="1"/>
      </xdr:nvSpPr>
      <xdr:spPr>
        <a:xfrm>
          <a:off x="2705100"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0" name="TextBox 19">
          <a:extLst>
            <a:ext uri="{FF2B5EF4-FFF2-40B4-BE49-F238E27FC236}">
              <a16:creationId xmlns:a16="http://schemas.microsoft.com/office/drawing/2014/main" id="{B7A32CD5-953C-4947-8575-8A27299CDCAD}"/>
            </a:ext>
          </a:extLst>
        </xdr:cNvPr>
        <xdr:cNvSpPr txBox="1"/>
      </xdr:nvSpPr>
      <xdr:spPr>
        <a:xfrm>
          <a:off x="2705100"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1" name="TextBox 20">
          <a:extLst>
            <a:ext uri="{FF2B5EF4-FFF2-40B4-BE49-F238E27FC236}">
              <a16:creationId xmlns:a16="http://schemas.microsoft.com/office/drawing/2014/main" id="{7DE17F2E-D102-4A0A-8EB7-1BF61A113B5C}"/>
            </a:ext>
          </a:extLst>
        </xdr:cNvPr>
        <xdr:cNvSpPr txBox="1"/>
      </xdr:nvSpPr>
      <xdr:spPr>
        <a:xfrm>
          <a:off x="2705100"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2" name="TextBox 21">
          <a:extLst>
            <a:ext uri="{FF2B5EF4-FFF2-40B4-BE49-F238E27FC236}">
              <a16:creationId xmlns:a16="http://schemas.microsoft.com/office/drawing/2014/main" id="{CF886FA4-4DA8-4D91-9C1E-7F85720A04F0}"/>
            </a:ext>
          </a:extLst>
        </xdr:cNvPr>
        <xdr:cNvSpPr txBox="1"/>
      </xdr:nvSpPr>
      <xdr:spPr>
        <a:xfrm>
          <a:off x="2705100"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3" name="TextBox 22">
          <a:extLst>
            <a:ext uri="{FF2B5EF4-FFF2-40B4-BE49-F238E27FC236}">
              <a16:creationId xmlns:a16="http://schemas.microsoft.com/office/drawing/2014/main" id="{A01F3BEB-CAD6-4DEC-914B-F5DC7EFBCE5E}"/>
            </a:ext>
          </a:extLst>
        </xdr:cNvPr>
        <xdr:cNvSpPr txBox="1"/>
      </xdr:nvSpPr>
      <xdr:spPr>
        <a:xfrm>
          <a:off x="2705100"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4" name="TextBox 23">
          <a:extLst>
            <a:ext uri="{FF2B5EF4-FFF2-40B4-BE49-F238E27FC236}">
              <a16:creationId xmlns:a16="http://schemas.microsoft.com/office/drawing/2014/main" id="{86098BD7-E906-4B8C-AAE1-09778AD8AC75}"/>
            </a:ext>
          </a:extLst>
        </xdr:cNvPr>
        <xdr:cNvSpPr txBox="1"/>
      </xdr:nvSpPr>
      <xdr:spPr>
        <a:xfrm>
          <a:off x="2705100"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5" name="TextBox 24">
          <a:extLst>
            <a:ext uri="{FF2B5EF4-FFF2-40B4-BE49-F238E27FC236}">
              <a16:creationId xmlns:a16="http://schemas.microsoft.com/office/drawing/2014/main" id="{79CA0DEC-6424-4A3D-ABFE-7C7CB32CA633}"/>
            </a:ext>
          </a:extLst>
        </xdr:cNvPr>
        <xdr:cNvSpPr txBox="1"/>
      </xdr:nvSpPr>
      <xdr:spPr>
        <a:xfrm>
          <a:off x="2705100"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6" name="TextBox 25">
          <a:extLst>
            <a:ext uri="{FF2B5EF4-FFF2-40B4-BE49-F238E27FC236}">
              <a16:creationId xmlns:a16="http://schemas.microsoft.com/office/drawing/2014/main" id="{4BA4F6AA-51C0-49FD-89E3-6B6F45EE4A69}"/>
            </a:ext>
          </a:extLst>
        </xdr:cNvPr>
        <xdr:cNvSpPr txBox="1"/>
      </xdr:nvSpPr>
      <xdr:spPr>
        <a:xfrm>
          <a:off x="27051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7" name="TextBox 26">
          <a:extLst>
            <a:ext uri="{FF2B5EF4-FFF2-40B4-BE49-F238E27FC236}">
              <a16:creationId xmlns:a16="http://schemas.microsoft.com/office/drawing/2014/main" id="{4690B46C-F3D3-4BE0-AF05-678EB1C39FE3}"/>
            </a:ext>
          </a:extLst>
        </xdr:cNvPr>
        <xdr:cNvSpPr txBox="1"/>
      </xdr:nvSpPr>
      <xdr:spPr>
        <a:xfrm>
          <a:off x="27051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28" name="TextBox 27">
          <a:extLst>
            <a:ext uri="{FF2B5EF4-FFF2-40B4-BE49-F238E27FC236}">
              <a16:creationId xmlns:a16="http://schemas.microsoft.com/office/drawing/2014/main" id="{29844CA8-259A-445B-BC5A-5E9AECB478B9}"/>
            </a:ext>
          </a:extLst>
        </xdr:cNvPr>
        <xdr:cNvSpPr txBox="1"/>
      </xdr:nvSpPr>
      <xdr:spPr>
        <a:xfrm>
          <a:off x="3686175" y="718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29" name="TextBox 28">
          <a:extLst>
            <a:ext uri="{FF2B5EF4-FFF2-40B4-BE49-F238E27FC236}">
              <a16:creationId xmlns:a16="http://schemas.microsoft.com/office/drawing/2014/main" id="{D5DD067A-89BD-49E5-9512-51A9D58DE192}"/>
            </a:ext>
          </a:extLst>
        </xdr:cNvPr>
        <xdr:cNvSpPr txBox="1"/>
      </xdr:nvSpPr>
      <xdr:spPr>
        <a:xfrm>
          <a:off x="3686175" y="734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44</xdr:row>
      <xdr:rowOff>0</xdr:rowOff>
    </xdr:from>
    <xdr:ext cx="184731" cy="303466"/>
    <xdr:sp macro="" textlink="">
      <xdr:nvSpPr>
        <xdr:cNvPr id="30" name="TextBox 29">
          <a:extLst>
            <a:ext uri="{FF2B5EF4-FFF2-40B4-BE49-F238E27FC236}">
              <a16:creationId xmlns:a16="http://schemas.microsoft.com/office/drawing/2014/main" id="{15C7653C-948E-4F4C-BD09-3B2B77046BDE}"/>
            </a:ext>
          </a:extLst>
        </xdr:cNvPr>
        <xdr:cNvSpPr txBox="1"/>
      </xdr:nvSpPr>
      <xdr:spPr>
        <a:xfrm>
          <a:off x="3686175" y="75057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1" name="TextBox 30">
          <a:extLst>
            <a:ext uri="{FF2B5EF4-FFF2-40B4-BE49-F238E27FC236}">
              <a16:creationId xmlns:a16="http://schemas.microsoft.com/office/drawing/2014/main" id="{FCC053D0-75F6-480D-8273-752EF71F612B}"/>
            </a:ext>
          </a:extLst>
        </xdr:cNvPr>
        <xdr:cNvSpPr txBox="1"/>
      </xdr:nvSpPr>
      <xdr:spPr>
        <a:xfrm>
          <a:off x="3686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2" name="TextBox 31">
          <a:extLst>
            <a:ext uri="{FF2B5EF4-FFF2-40B4-BE49-F238E27FC236}">
              <a16:creationId xmlns:a16="http://schemas.microsoft.com/office/drawing/2014/main" id="{C3DA1020-9FE1-4CE2-85F1-BA671E6B3026}"/>
            </a:ext>
          </a:extLst>
        </xdr:cNvPr>
        <xdr:cNvSpPr txBox="1"/>
      </xdr:nvSpPr>
      <xdr:spPr>
        <a:xfrm>
          <a:off x="3686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3" name="TextBox 32">
          <a:extLst>
            <a:ext uri="{FF2B5EF4-FFF2-40B4-BE49-F238E27FC236}">
              <a16:creationId xmlns:a16="http://schemas.microsoft.com/office/drawing/2014/main" id="{DB88F0E3-38DA-429B-8FAC-780C50F19055}"/>
            </a:ext>
          </a:extLst>
        </xdr:cNvPr>
        <xdr:cNvSpPr txBox="1"/>
      </xdr:nvSpPr>
      <xdr:spPr>
        <a:xfrm>
          <a:off x="3686175"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4" name="TextBox 33">
          <a:extLst>
            <a:ext uri="{FF2B5EF4-FFF2-40B4-BE49-F238E27FC236}">
              <a16:creationId xmlns:a16="http://schemas.microsoft.com/office/drawing/2014/main" id="{039DA9E5-7410-43D7-8614-6B8A54AFB87E}"/>
            </a:ext>
          </a:extLst>
        </xdr:cNvPr>
        <xdr:cNvSpPr txBox="1"/>
      </xdr:nvSpPr>
      <xdr:spPr>
        <a:xfrm>
          <a:off x="3686175"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5" name="TextBox 34">
          <a:extLst>
            <a:ext uri="{FF2B5EF4-FFF2-40B4-BE49-F238E27FC236}">
              <a16:creationId xmlns:a16="http://schemas.microsoft.com/office/drawing/2014/main" id="{B063A537-F3BC-49B0-9E78-22413534BABA}"/>
            </a:ext>
          </a:extLst>
        </xdr:cNvPr>
        <xdr:cNvSpPr txBox="1"/>
      </xdr:nvSpPr>
      <xdr:spPr>
        <a:xfrm>
          <a:off x="3686175"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6" name="TextBox 35">
          <a:extLst>
            <a:ext uri="{FF2B5EF4-FFF2-40B4-BE49-F238E27FC236}">
              <a16:creationId xmlns:a16="http://schemas.microsoft.com/office/drawing/2014/main" id="{69ADB44E-2C85-4530-846C-8BCFD517D417}"/>
            </a:ext>
          </a:extLst>
        </xdr:cNvPr>
        <xdr:cNvSpPr txBox="1"/>
      </xdr:nvSpPr>
      <xdr:spPr>
        <a:xfrm>
          <a:off x="3686175"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7" name="TextBox 36">
          <a:extLst>
            <a:ext uri="{FF2B5EF4-FFF2-40B4-BE49-F238E27FC236}">
              <a16:creationId xmlns:a16="http://schemas.microsoft.com/office/drawing/2014/main" id="{EEF2D340-ADEA-4371-80B6-F1F53570EF39}"/>
            </a:ext>
          </a:extLst>
        </xdr:cNvPr>
        <xdr:cNvSpPr txBox="1"/>
      </xdr:nvSpPr>
      <xdr:spPr>
        <a:xfrm>
          <a:off x="36861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8" name="TextBox 37">
          <a:extLst>
            <a:ext uri="{FF2B5EF4-FFF2-40B4-BE49-F238E27FC236}">
              <a16:creationId xmlns:a16="http://schemas.microsoft.com/office/drawing/2014/main" id="{3045359C-009B-45D9-BA1B-80F74BB8FF6B}"/>
            </a:ext>
          </a:extLst>
        </xdr:cNvPr>
        <xdr:cNvSpPr txBox="1"/>
      </xdr:nvSpPr>
      <xdr:spPr>
        <a:xfrm>
          <a:off x="36861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39" name="TextBox 38">
          <a:extLst>
            <a:ext uri="{FF2B5EF4-FFF2-40B4-BE49-F238E27FC236}">
              <a16:creationId xmlns:a16="http://schemas.microsoft.com/office/drawing/2014/main" id="{593C4E93-328F-4186-8D90-9AED3CF9AB57}"/>
            </a:ext>
          </a:extLst>
        </xdr:cNvPr>
        <xdr:cNvSpPr txBox="1"/>
      </xdr:nvSpPr>
      <xdr:spPr>
        <a:xfrm>
          <a:off x="3686175"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40" name="TextBox 39">
          <a:extLst>
            <a:ext uri="{FF2B5EF4-FFF2-40B4-BE49-F238E27FC236}">
              <a16:creationId xmlns:a16="http://schemas.microsoft.com/office/drawing/2014/main" id="{A9FA28D4-3A8E-421B-A828-9708AF4B1FA5}"/>
            </a:ext>
          </a:extLst>
        </xdr:cNvPr>
        <xdr:cNvSpPr txBox="1"/>
      </xdr:nvSpPr>
      <xdr:spPr>
        <a:xfrm>
          <a:off x="3686175"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41" name="TextBox 40">
          <a:extLst>
            <a:ext uri="{FF2B5EF4-FFF2-40B4-BE49-F238E27FC236}">
              <a16:creationId xmlns:a16="http://schemas.microsoft.com/office/drawing/2014/main" id="{E85E96EB-C269-4E02-B4A1-A9121F9171F0}"/>
            </a:ext>
          </a:extLst>
        </xdr:cNvPr>
        <xdr:cNvSpPr txBox="1"/>
      </xdr:nvSpPr>
      <xdr:spPr>
        <a:xfrm>
          <a:off x="27012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42</xdr:row>
      <xdr:rowOff>0</xdr:rowOff>
    </xdr:from>
    <xdr:ext cx="192763" cy="264560"/>
    <xdr:sp macro="" textlink="">
      <xdr:nvSpPr>
        <xdr:cNvPr id="42" name="TextBox 41">
          <a:extLst>
            <a:ext uri="{FF2B5EF4-FFF2-40B4-BE49-F238E27FC236}">
              <a16:creationId xmlns:a16="http://schemas.microsoft.com/office/drawing/2014/main" id="{34652E9B-3527-4DB8-99E9-4AD7DCAF10FC}"/>
            </a:ext>
          </a:extLst>
        </xdr:cNvPr>
        <xdr:cNvSpPr txBox="1"/>
      </xdr:nvSpPr>
      <xdr:spPr>
        <a:xfrm>
          <a:off x="3682365"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42</xdr:row>
      <xdr:rowOff>0</xdr:rowOff>
    </xdr:from>
    <xdr:ext cx="192763" cy="264560"/>
    <xdr:sp macro="" textlink="">
      <xdr:nvSpPr>
        <xdr:cNvPr id="43" name="TextBox 42">
          <a:extLst>
            <a:ext uri="{FF2B5EF4-FFF2-40B4-BE49-F238E27FC236}">
              <a16:creationId xmlns:a16="http://schemas.microsoft.com/office/drawing/2014/main" id="{7BAC5884-5809-43CD-913E-C18C2B43598B}"/>
            </a:ext>
          </a:extLst>
        </xdr:cNvPr>
        <xdr:cNvSpPr txBox="1"/>
      </xdr:nvSpPr>
      <xdr:spPr>
        <a:xfrm>
          <a:off x="48348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43</xdr:row>
      <xdr:rowOff>0</xdr:rowOff>
    </xdr:from>
    <xdr:ext cx="183125" cy="264560"/>
    <xdr:sp macro="" textlink="">
      <xdr:nvSpPr>
        <xdr:cNvPr id="44" name="TextBox 43">
          <a:extLst>
            <a:ext uri="{FF2B5EF4-FFF2-40B4-BE49-F238E27FC236}">
              <a16:creationId xmlns:a16="http://schemas.microsoft.com/office/drawing/2014/main" id="{5968035A-4730-46DF-B28F-CE6126549DAF}"/>
            </a:ext>
          </a:extLst>
        </xdr:cNvPr>
        <xdr:cNvSpPr txBox="1"/>
      </xdr:nvSpPr>
      <xdr:spPr>
        <a:xfrm>
          <a:off x="2129790" y="7343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43</xdr:row>
      <xdr:rowOff>0</xdr:rowOff>
    </xdr:from>
    <xdr:ext cx="184731" cy="271710"/>
    <xdr:sp macro="" textlink="">
      <xdr:nvSpPr>
        <xdr:cNvPr id="45" name="TextBox 44">
          <a:extLst>
            <a:ext uri="{FF2B5EF4-FFF2-40B4-BE49-F238E27FC236}">
              <a16:creationId xmlns:a16="http://schemas.microsoft.com/office/drawing/2014/main" id="{931B2370-8D90-4AE8-815D-EC6BD3D7C255}"/>
            </a:ext>
          </a:extLst>
        </xdr:cNvPr>
        <xdr:cNvSpPr txBox="1"/>
      </xdr:nvSpPr>
      <xdr:spPr>
        <a:xfrm>
          <a:off x="1102995" y="7343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3139440</xdr:colOff>
      <xdr:row>61</xdr:row>
      <xdr:rowOff>0</xdr:rowOff>
    </xdr:from>
    <xdr:ext cx="192763" cy="264560"/>
    <xdr:sp macro="" textlink="">
      <xdr:nvSpPr>
        <xdr:cNvPr id="2" name="TextBox 1">
          <a:extLst>
            <a:ext uri="{FF2B5EF4-FFF2-40B4-BE49-F238E27FC236}">
              <a16:creationId xmlns:a16="http://schemas.microsoft.com/office/drawing/2014/main" id="{355E57D0-A405-478D-B966-09F021B654B6}"/>
            </a:ext>
          </a:extLst>
        </xdr:cNvPr>
        <xdr:cNvSpPr txBox="1"/>
      </xdr:nvSpPr>
      <xdr:spPr>
        <a:xfrm>
          <a:off x="2901315"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3" name="TextBox 2">
          <a:extLst>
            <a:ext uri="{FF2B5EF4-FFF2-40B4-BE49-F238E27FC236}">
              <a16:creationId xmlns:a16="http://schemas.microsoft.com/office/drawing/2014/main" id="{DB14CF86-EB99-4039-A31A-6C3548789012}"/>
            </a:ext>
          </a:extLst>
        </xdr:cNvPr>
        <xdr:cNvSpPr txBox="1"/>
      </xdr:nvSpPr>
      <xdr:spPr>
        <a:xfrm>
          <a:off x="2901315" y="1038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303466"/>
    <xdr:sp macro="" textlink="">
      <xdr:nvSpPr>
        <xdr:cNvPr id="4" name="TextBox 3">
          <a:extLst>
            <a:ext uri="{FF2B5EF4-FFF2-40B4-BE49-F238E27FC236}">
              <a16:creationId xmlns:a16="http://schemas.microsoft.com/office/drawing/2014/main" id="{C6ED9B58-4B7B-4268-AE3B-7526338949A8}"/>
            </a:ext>
          </a:extLst>
        </xdr:cNvPr>
        <xdr:cNvSpPr txBox="1"/>
      </xdr:nvSpPr>
      <xdr:spPr>
        <a:xfrm>
          <a:off x="2901315" y="105441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5" name="TextBox 4">
          <a:extLst>
            <a:ext uri="{FF2B5EF4-FFF2-40B4-BE49-F238E27FC236}">
              <a16:creationId xmlns:a16="http://schemas.microsoft.com/office/drawing/2014/main" id="{7A93CE60-6F85-4EE4-8E6E-2DDA9EAD725A}"/>
            </a:ext>
          </a:extLst>
        </xdr:cNvPr>
        <xdr:cNvSpPr txBox="1"/>
      </xdr:nvSpPr>
      <xdr:spPr>
        <a:xfrm>
          <a:off x="2901315" y="10706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6" name="TextBox 5">
          <a:extLst>
            <a:ext uri="{FF2B5EF4-FFF2-40B4-BE49-F238E27FC236}">
              <a16:creationId xmlns:a16="http://schemas.microsoft.com/office/drawing/2014/main" id="{3E244D29-024E-4F32-B093-FEFB5C4260E5}"/>
            </a:ext>
          </a:extLst>
        </xdr:cNvPr>
        <xdr:cNvSpPr txBox="1"/>
      </xdr:nvSpPr>
      <xdr:spPr>
        <a:xfrm>
          <a:off x="2901315" y="10706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7" name="TextBox 6">
          <a:extLst>
            <a:ext uri="{FF2B5EF4-FFF2-40B4-BE49-F238E27FC236}">
              <a16:creationId xmlns:a16="http://schemas.microsoft.com/office/drawing/2014/main" id="{C809A420-B351-4AFE-8FF0-9F5849063478}"/>
            </a:ext>
          </a:extLst>
        </xdr:cNvPr>
        <xdr:cNvSpPr txBox="1"/>
      </xdr:nvSpPr>
      <xdr:spPr>
        <a:xfrm>
          <a:off x="2901315" y="1086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8" name="TextBox 7">
          <a:extLst>
            <a:ext uri="{FF2B5EF4-FFF2-40B4-BE49-F238E27FC236}">
              <a16:creationId xmlns:a16="http://schemas.microsoft.com/office/drawing/2014/main" id="{50EE83BC-D325-4CB2-9E64-CB5165498F1B}"/>
            </a:ext>
          </a:extLst>
        </xdr:cNvPr>
        <xdr:cNvSpPr txBox="1"/>
      </xdr:nvSpPr>
      <xdr:spPr>
        <a:xfrm>
          <a:off x="2901315" y="1086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9" name="TextBox 8">
          <a:extLst>
            <a:ext uri="{FF2B5EF4-FFF2-40B4-BE49-F238E27FC236}">
              <a16:creationId xmlns:a16="http://schemas.microsoft.com/office/drawing/2014/main" id="{32480553-B829-460D-BD9C-E42A76F6174F}"/>
            </a:ext>
          </a:extLst>
        </xdr:cNvPr>
        <xdr:cNvSpPr txBox="1"/>
      </xdr:nvSpPr>
      <xdr:spPr>
        <a:xfrm>
          <a:off x="2901315" y="1102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10" name="TextBox 9">
          <a:extLst>
            <a:ext uri="{FF2B5EF4-FFF2-40B4-BE49-F238E27FC236}">
              <a16:creationId xmlns:a16="http://schemas.microsoft.com/office/drawing/2014/main" id="{36879B3C-ECB3-4F7B-841A-0DB68595CBBA}"/>
            </a:ext>
          </a:extLst>
        </xdr:cNvPr>
        <xdr:cNvSpPr txBox="1"/>
      </xdr:nvSpPr>
      <xdr:spPr>
        <a:xfrm>
          <a:off x="2901315" y="1102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1" name="TextBox 10">
          <a:extLst>
            <a:ext uri="{FF2B5EF4-FFF2-40B4-BE49-F238E27FC236}">
              <a16:creationId xmlns:a16="http://schemas.microsoft.com/office/drawing/2014/main" id="{0D4F2B2A-B075-4675-907E-8B3FED952077}"/>
            </a:ext>
          </a:extLst>
        </xdr:cNvPr>
        <xdr:cNvSpPr txBox="1"/>
      </xdr:nvSpPr>
      <xdr:spPr>
        <a:xfrm>
          <a:off x="2901315" y="1119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2" name="TextBox 11">
          <a:extLst>
            <a:ext uri="{FF2B5EF4-FFF2-40B4-BE49-F238E27FC236}">
              <a16:creationId xmlns:a16="http://schemas.microsoft.com/office/drawing/2014/main" id="{15AC030D-2E2D-4979-BCF5-9941FAFB1EB4}"/>
            </a:ext>
          </a:extLst>
        </xdr:cNvPr>
        <xdr:cNvSpPr txBox="1"/>
      </xdr:nvSpPr>
      <xdr:spPr>
        <a:xfrm>
          <a:off x="2901315" y="1119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3" name="TextBox 12">
          <a:extLst>
            <a:ext uri="{FF2B5EF4-FFF2-40B4-BE49-F238E27FC236}">
              <a16:creationId xmlns:a16="http://schemas.microsoft.com/office/drawing/2014/main" id="{CE54E63A-44DC-491A-B133-68F115E4B7E7}"/>
            </a:ext>
          </a:extLst>
        </xdr:cNvPr>
        <xdr:cNvSpPr txBox="1"/>
      </xdr:nvSpPr>
      <xdr:spPr>
        <a:xfrm>
          <a:off x="2901315" y="1135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4" name="TextBox 13">
          <a:extLst>
            <a:ext uri="{FF2B5EF4-FFF2-40B4-BE49-F238E27FC236}">
              <a16:creationId xmlns:a16="http://schemas.microsoft.com/office/drawing/2014/main" id="{5F741EFD-C110-41D5-A819-91E8723A5553}"/>
            </a:ext>
          </a:extLst>
        </xdr:cNvPr>
        <xdr:cNvSpPr txBox="1"/>
      </xdr:nvSpPr>
      <xdr:spPr>
        <a:xfrm>
          <a:off x="2901315" y="1135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15" name="TextBox 14">
          <a:extLst>
            <a:ext uri="{FF2B5EF4-FFF2-40B4-BE49-F238E27FC236}">
              <a16:creationId xmlns:a16="http://schemas.microsoft.com/office/drawing/2014/main" id="{0A023B0E-49D8-43E8-9B01-81AFE0415218}"/>
            </a:ext>
          </a:extLst>
        </xdr:cNvPr>
        <xdr:cNvSpPr txBox="1"/>
      </xdr:nvSpPr>
      <xdr:spPr>
        <a:xfrm>
          <a:off x="3390900" y="102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16" name="TextBox 15">
          <a:extLst>
            <a:ext uri="{FF2B5EF4-FFF2-40B4-BE49-F238E27FC236}">
              <a16:creationId xmlns:a16="http://schemas.microsoft.com/office/drawing/2014/main" id="{C6398756-8C05-41BE-B7EC-F0B78ACB7513}"/>
            </a:ext>
          </a:extLst>
        </xdr:cNvPr>
        <xdr:cNvSpPr txBox="1"/>
      </xdr:nvSpPr>
      <xdr:spPr>
        <a:xfrm>
          <a:off x="3390900"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63</xdr:row>
      <xdr:rowOff>0</xdr:rowOff>
    </xdr:from>
    <xdr:ext cx="184731" cy="303466"/>
    <xdr:sp macro="" textlink="">
      <xdr:nvSpPr>
        <xdr:cNvPr id="17" name="TextBox 16">
          <a:extLst>
            <a:ext uri="{FF2B5EF4-FFF2-40B4-BE49-F238E27FC236}">
              <a16:creationId xmlns:a16="http://schemas.microsoft.com/office/drawing/2014/main" id="{FF79C156-A69D-4859-A150-A7DA309B5DDE}"/>
            </a:ext>
          </a:extLst>
        </xdr:cNvPr>
        <xdr:cNvSpPr txBox="1"/>
      </xdr:nvSpPr>
      <xdr:spPr>
        <a:xfrm>
          <a:off x="3390900" y="10544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8" name="TextBox 17">
          <a:extLst>
            <a:ext uri="{FF2B5EF4-FFF2-40B4-BE49-F238E27FC236}">
              <a16:creationId xmlns:a16="http://schemas.microsoft.com/office/drawing/2014/main" id="{04E56CEA-4E73-4B62-A165-426AEDC724D2}"/>
            </a:ext>
          </a:extLst>
        </xdr:cNvPr>
        <xdr:cNvSpPr txBox="1"/>
      </xdr:nvSpPr>
      <xdr:spPr>
        <a:xfrm>
          <a:off x="339090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9" name="TextBox 18">
          <a:extLst>
            <a:ext uri="{FF2B5EF4-FFF2-40B4-BE49-F238E27FC236}">
              <a16:creationId xmlns:a16="http://schemas.microsoft.com/office/drawing/2014/main" id="{81BE9BEB-9CA1-4AB0-83F7-C8091F130015}"/>
            </a:ext>
          </a:extLst>
        </xdr:cNvPr>
        <xdr:cNvSpPr txBox="1"/>
      </xdr:nvSpPr>
      <xdr:spPr>
        <a:xfrm>
          <a:off x="339090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0" name="TextBox 19">
          <a:extLst>
            <a:ext uri="{FF2B5EF4-FFF2-40B4-BE49-F238E27FC236}">
              <a16:creationId xmlns:a16="http://schemas.microsoft.com/office/drawing/2014/main" id="{5F48EAD8-27CB-4C7F-8E59-C21009886FFB}"/>
            </a:ext>
          </a:extLst>
        </xdr:cNvPr>
        <xdr:cNvSpPr txBox="1"/>
      </xdr:nvSpPr>
      <xdr:spPr>
        <a:xfrm>
          <a:off x="3390900"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1" name="TextBox 20">
          <a:extLst>
            <a:ext uri="{FF2B5EF4-FFF2-40B4-BE49-F238E27FC236}">
              <a16:creationId xmlns:a16="http://schemas.microsoft.com/office/drawing/2014/main" id="{5E7D7EE7-9436-4280-8815-58BC8A41DB6E}"/>
            </a:ext>
          </a:extLst>
        </xdr:cNvPr>
        <xdr:cNvSpPr txBox="1"/>
      </xdr:nvSpPr>
      <xdr:spPr>
        <a:xfrm>
          <a:off x="3390900"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2" name="TextBox 21">
          <a:extLst>
            <a:ext uri="{FF2B5EF4-FFF2-40B4-BE49-F238E27FC236}">
              <a16:creationId xmlns:a16="http://schemas.microsoft.com/office/drawing/2014/main" id="{61C82625-1A61-4AB8-99E9-61535E75A8BB}"/>
            </a:ext>
          </a:extLst>
        </xdr:cNvPr>
        <xdr:cNvSpPr txBox="1"/>
      </xdr:nvSpPr>
      <xdr:spPr>
        <a:xfrm>
          <a:off x="339090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3" name="TextBox 22">
          <a:extLst>
            <a:ext uri="{FF2B5EF4-FFF2-40B4-BE49-F238E27FC236}">
              <a16:creationId xmlns:a16="http://schemas.microsoft.com/office/drawing/2014/main" id="{4045D60B-986E-46A4-A855-B21B0A1FF04A}"/>
            </a:ext>
          </a:extLst>
        </xdr:cNvPr>
        <xdr:cNvSpPr txBox="1"/>
      </xdr:nvSpPr>
      <xdr:spPr>
        <a:xfrm>
          <a:off x="339090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4" name="TextBox 23">
          <a:extLst>
            <a:ext uri="{FF2B5EF4-FFF2-40B4-BE49-F238E27FC236}">
              <a16:creationId xmlns:a16="http://schemas.microsoft.com/office/drawing/2014/main" id="{2031571D-E5AF-4EEE-BBEB-13B02E5A07DD}"/>
            </a:ext>
          </a:extLst>
        </xdr:cNvPr>
        <xdr:cNvSpPr txBox="1"/>
      </xdr:nvSpPr>
      <xdr:spPr>
        <a:xfrm>
          <a:off x="339090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5" name="TextBox 24">
          <a:extLst>
            <a:ext uri="{FF2B5EF4-FFF2-40B4-BE49-F238E27FC236}">
              <a16:creationId xmlns:a16="http://schemas.microsoft.com/office/drawing/2014/main" id="{9D47BA89-C787-4D29-B55A-B4D5263835F8}"/>
            </a:ext>
          </a:extLst>
        </xdr:cNvPr>
        <xdr:cNvSpPr txBox="1"/>
      </xdr:nvSpPr>
      <xdr:spPr>
        <a:xfrm>
          <a:off x="339090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6" name="TextBox 25">
          <a:extLst>
            <a:ext uri="{FF2B5EF4-FFF2-40B4-BE49-F238E27FC236}">
              <a16:creationId xmlns:a16="http://schemas.microsoft.com/office/drawing/2014/main" id="{851B8743-F1D6-415A-9DC8-CF183F8518FD}"/>
            </a:ext>
          </a:extLst>
        </xdr:cNvPr>
        <xdr:cNvSpPr txBox="1"/>
      </xdr:nvSpPr>
      <xdr:spPr>
        <a:xfrm>
          <a:off x="3390900"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7" name="TextBox 26">
          <a:extLst>
            <a:ext uri="{FF2B5EF4-FFF2-40B4-BE49-F238E27FC236}">
              <a16:creationId xmlns:a16="http://schemas.microsoft.com/office/drawing/2014/main" id="{C5A163CA-853F-408C-852E-7C896398DDF3}"/>
            </a:ext>
          </a:extLst>
        </xdr:cNvPr>
        <xdr:cNvSpPr txBox="1"/>
      </xdr:nvSpPr>
      <xdr:spPr>
        <a:xfrm>
          <a:off x="3390900"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28" name="TextBox 27">
          <a:extLst>
            <a:ext uri="{FF2B5EF4-FFF2-40B4-BE49-F238E27FC236}">
              <a16:creationId xmlns:a16="http://schemas.microsoft.com/office/drawing/2014/main" id="{80A33D3F-0D2E-4CFA-AD67-94FA7BBAF63D}"/>
            </a:ext>
          </a:extLst>
        </xdr:cNvPr>
        <xdr:cNvSpPr txBox="1"/>
      </xdr:nvSpPr>
      <xdr:spPr>
        <a:xfrm>
          <a:off x="5972175" y="102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29" name="TextBox 28">
          <a:extLst>
            <a:ext uri="{FF2B5EF4-FFF2-40B4-BE49-F238E27FC236}">
              <a16:creationId xmlns:a16="http://schemas.microsoft.com/office/drawing/2014/main" id="{40DCB291-3D04-49ED-A5B7-F86631860390}"/>
            </a:ext>
          </a:extLst>
        </xdr:cNvPr>
        <xdr:cNvSpPr txBox="1"/>
      </xdr:nvSpPr>
      <xdr:spPr>
        <a:xfrm>
          <a:off x="5972175"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63</xdr:row>
      <xdr:rowOff>0</xdr:rowOff>
    </xdr:from>
    <xdr:ext cx="184731" cy="303466"/>
    <xdr:sp macro="" textlink="">
      <xdr:nvSpPr>
        <xdr:cNvPr id="30" name="TextBox 29">
          <a:extLst>
            <a:ext uri="{FF2B5EF4-FFF2-40B4-BE49-F238E27FC236}">
              <a16:creationId xmlns:a16="http://schemas.microsoft.com/office/drawing/2014/main" id="{B8D35818-2038-49E9-B738-192CCD7F357D}"/>
            </a:ext>
          </a:extLst>
        </xdr:cNvPr>
        <xdr:cNvSpPr txBox="1"/>
      </xdr:nvSpPr>
      <xdr:spPr>
        <a:xfrm>
          <a:off x="5972175" y="10544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1" name="TextBox 30">
          <a:extLst>
            <a:ext uri="{FF2B5EF4-FFF2-40B4-BE49-F238E27FC236}">
              <a16:creationId xmlns:a16="http://schemas.microsoft.com/office/drawing/2014/main" id="{B9707333-DA0D-4AB4-B602-A9E9200C8055}"/>
            </a:ext>
          </a:extLst>
        </xdr:cNvPr>
        <xdr:cNvSpPr txBox="1"/>
      </xdr:nvSpPr>
      <xdr:spPr>
        <a:xfrm>
          <a:off x="597217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2" name="TextBox 31">
          <a:extLst>
            <a:ext uri="{FF2B5EF4-FFF2-40B4-BE49-F238E27FC236}">
              <a16:creationId xmlns:a16="http://schemas.microsoft.com/office/drawing/2014/main" id="{E2B54718-5459-4DF8-985B-3078E89EB59F}"/>
            </a:ext>
          </a:extLst>
        </xdr:cNvPr>
        <xdr:cNvSpPr txBox="1"/>
      </xdr:nvSpPr>
      <xdr:spPr>
        <a:xfrm>
          <a:off x="597217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3" name="TextBox 32">
          <a:extLst>
            <a:ext uri="{FF2B5EF4-FFF2-40B4-BE49-F238E27FC236}">
              <a16:creationId xmlns:a16="http://schemas.microsoft.com/office/drawing/2014/main" id="{6DED586E-A0A1-49F9-BD5C-090AC3F79F94}"/>
            </a:ext>
          </a:extLst>
        </xdr:cNvPr>
        <xdr:cNvSpPr txBox="1"/>
      </xdr:nvSpPr>
      <xdr:spPr>
        <a:xfrm>
          <a:off x="5972175"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4" name="TextBox 33">
          <a:extLst>
            <a:ext uri="{FF2B5EF4-FFF2-40B4-BE49-F238E27FC236}">
              <a16:creationId xmlns:a16="http://schemas.microsoft.com/office/drawing/2014/main" id="{6EF6CF7C-673A-46F3-B806-EB2F669ACE82}"/>
            </a:ext>
          </a:extLst>
        </xdr:cNvPr>
        <xdr:cNvSpPr txBox="1"/>
      </xdr:nvSpPr>
      <xdr:spPr>
        <a:xfrm>
          <a:off x="5972175"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5" name="TextBox 34">
          <a:extLst>
            <a:ext uri="{FF2B5EF4-FFF2-40B4-BE49-F238E27FC236}">
              <a16:creationId xmlns:a16="http://schemas.microsoft.com/office/drawing/2014/main" id="{E4E64BD1-597E-4E73-BFFF-7EA19467851A}"/>
            </a:ext>
          </a:extLst>
        </xdr:cNvPr>
        <xdr:cNvSpPr txBox="1"/>
      </xdr:nvSpPr>
      <xdr:spPr>
        <a:xfrm>
          <a:off x="5972175"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6" name="TextBox 35">
          <a:extLst>
            <a:ext uri="{FF2B5EF4-FFF2-40B4-BE49-F238E27FC236}">
              <a16:creationId xmlns:a16="http://schemas.microsoft.com/office/drawing/2014/main" id="{29A11C28-F433-423F-A0C7-95CBF13A22E4}"/>
            </a:ext>
          </a:extLst>
        </xdr:cNvPr>
        <xdr:cNvSpPr txBox="1"/>
      </xdr:nvSpPr>
      <xdr:spPr>
        <a:xfrm>
          <a:off x="5972175"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7" name="TextBox 36">
          <a:extLst>
            <a:ext uri="{FF2B5EF4-FFF2-40B4-BE49-F238E27FC236}">
              <a16:creationId xmlns:a16="http://schemas.microsoft.com/office/drawing/2014/main" id="{02E285C8-4DC4-41B7-A252-C7AC5B7C2DE7}"/>
            </a:ext>
          </a:extLst>
        </xdr:cNvPr>
        <xdr:cNvSpPr txBox="1"/>
      </xdr:nvSpPr>
      <xdr:spPr>
        <a:xfrm>
          <a:off x="59721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8" name="TextBox 37">
          <a:extLst>
            <a:ext uri="{FF2B5EF4-FFF2-40B4-BE49-F238E27FC236}">
              <a16:creationId xmlns:a16="http://schemas.microsoft.com/office/drawing/2014/main" id="{BF60EE44-177B-4A3E-8B7F-5A7C382F6A8A}"/>
            </a:ext>
          </a:extLst>
        </xdr:cNvPr>
        <xdr:cNvSpPr txBox="1"/>
      </xdr:nvSpPr>
      <xdr:spPr>
        <a:xfrm>
          <a:off x="59721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9" name="TextBox 38">
          <a:extLst>
            <a:ext uri="{FF2B5EF4-FFF2-40B4-BE49-F238E27FC236}">
              <a16:creationId xmlns:a16="http://schemas.microsoft.com/office/drawing/2014/main" id="{4D1AB7F5-CD62-4042-B969-8447E3ED5668}"/>
            </a:ext>
          </a:extLst>
        </xdr:cNvPr>
        <xdr:cNvSpPr txBox="1"/>
      </xdr:nvSpPr>
      <xdr:spPr>
        <a:xfrm>
          <a:off x="5972175"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40" name="TextBox 39">
          <a:extLst>
            <a:ext uri="{FF2B5EF4-FFF2-40B4-BE49-F238E27FC236}">
              <a16:creationId xmlns:a16="http://schemas.microsoft.com/office/drawing/2014/main" id="{C7AEF0D3-0558-4763-8E98-0613B2444DD2}"/>
            </a:ext>
          </a:extLst>
        </xdr:cNvPr>
        <xdr:cNvSpPr txBox="1"/>
      </xdr:nvSpPr>
      <xdr:spPr>
        <a:xfrm>
          <a:off x="5972175"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61</xdr:row>
      <xdr:rowOff>0</xdr:rowOff>
    </xdr:from>
    <xdr:ext cx="192763" cy="264560"/>
    <xdr:sp macro="" textlink="">
      <xdr:nvSpPr>
        <xdr:cNvPr id="41" name="TextBox 40">
          <a:extLst>
            <a:ext uri="{FF2B5EF4-FFF2-40B4-BE49-F238E27FC236}">
              <a16:creationId xmlns:a16="http://schemas.microsoft.com/office/drawing/2014/main" id="{CFF647A0-AA74-44DE-877E-5A9C8F1385E8}"/>
            </a:ext>
          </a:extLst>
        </xdr:cNvPr>
        <xdr:cNvSpPr txBox="1"/>
      </xdr:nvSpPr>
      <xdr:spPr>
        <a:xfrm>
          <a:off x="3387090"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61</xdr:row>
      <xdr:rowOff>0</xdr:rowOff>
    </xdr:from>
    <xdr:ext cx="192763" cy="264560"/>
    <xdr:sp macro="" textlink="">
      <xdr:nvSpPr>
        <xdr:cNvPr id="42" name="TextBox 41">
          <a:extLst>
            <a:ext uri="{FF2B5EF4-FFF2-40B4-BE49-F238E27FC236}">
              <a16:creationId xmlns:a16="http://schemas.microsoft.com/office/drawing/2014/main" id="{859FE01D-9250-4963-814E-80A6CBAF7422}"/>
            </a:ext>
          </a:extLst>
        </xdr:cNvPr>
        <xdr:cNvSpPr txBox="1"/>
      </xdr:nvSpPr>
      <xdr:spPr>
        <a:xfrm>
          <a:off x="5968365"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61</xdr:row>
      <xdr:rowOff>0</xdr:rowOff>
    </xdr:from>
    <xdr:ext cx="192763" cy="264560"/>
    <xdr:sp macro="" textlink="">
      <xdr:nvSpPr>
        <xdr:cNvPr id="43" name="TextBox 42">
          <a:extLst>
            <a:ext uri="{FF2B5EF4-FFF2-40B4-BE49-F238E27FC236}">
              <a16:creationId xmlns:a16="http://schemas.microsoft.com/office/drawing/2014/main" id="{A3673758-741D-4490-A92A-CD590AD99A25}"/>
            </a:ext>
          </a:extLst>
        </xdr:cNvPr>
        <xdr:cNvSpPr txBox="1"/>
      </xdr:nvSpPr>
      <xdr:spPr>
        <a:xfrm>
          <a:off x="7235190"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62</xdr:row>
      <xdr:rowOff>0</xdr:rowOff>
    </xdr:from>
    <xdr:ext cx="183125" cy="264560"/>
    <xdr:sp macro="" textlink="">
      <xdr:nvSpPr>
        <xdr:cNvPr id="44" name="TextBox 43">
          <a:extLst>
            <a:ext uri="{FF2B5EF4-FFF2-40B4-BE49-F238E27FC236}">
              <a16:creationId xmlns:a16="http://schemas.microsoft.com/office/drawing/2014/main" id="{F00658B7-0E2E-435D-AECC-3C23C9A5ABE3}"/>
            </a:ext>
          </a:extLst>
        </xdr:cNvPr>
        <xdr:cNvSpPr txBox="1"/>
      </xdr:nvSpPr>
      <xdr:spPr>
        <a:xfrm>
          <a:off x="2901315" y="10382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62</xdr:row>
      <xdr:rowOff>0</xdr:rowOff>
    </xdr:from>
    <xdr:ext cx="184731" cy="271710"/>
    <xdr:sp macro="" textlink="">
      <xdr:nvSpPr>
        <xdr:cNvPr id="45" name="TextBox 44">
          <a:extLst>
            <a:ext uri="{FF2B5EF4-FFF2-40B4-BE49-F238E27FC236}">
              <a16:creationId xmlns:a16="http://schemas.microsoft.com/office/drawing/2014/main" id="{0F7BAFD9-3D61-4827-88D3-F5F8EC34ACE8}"/>
            </a:ext>
          </a:extLst>
        </xdr:cNvPr>
        <xdr:cNvSpPr txBox="1"/>
      </xdr:nvSpPr>
      <xdr:spPr>
        <a:xfrm>
          <a:off x="1102995" y="10382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4F192BE5-485A-451E-AFA9-D7204A06617E}"/>
            </a:ext>
          </a:extLst>
        </xdr:cNvPr>
        <xdr:cNvSpPr txBox="1"/>
      </xdr:nvSpPr>
      <xdr:spPr>
        <a:xfrm>
          <a:off x="224409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792C4130-D680-4694-B139-952715291D9F}"/>
            </a:ext>
          </a:extLst>
        </xdr:cNvPr>
        <xdr:cNvSpPr txBox="1"/>
      </xdr:nvSpPr>
      <xdr:spPr>
        <a:xfrm>
          <a:off x="2244090" y="11096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C1E4B702-4E2D-4867-ABA4-AF6BF0301ABE}"/>
            </a:ext>
          </a:extLst>
        </xdr:cNvPr>
        <xdr:cNvSpPr txBox="1"/>
      </xdr:nvSpPr>
      <xdr:spPr>
        <a:xfrm>
          <a:off x="2244090" y="112585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76C92FDB-B955-4094-AD5D-FEE28D0847FC}"/>
            </a:ext>
          </a:extLst>
        </xdr:cNvPr>
        <xdr:cNvSpPr txBox="1"/>
      </xdr:nvSpPr>
      <xdr:spPr>
        <a:xfrm>
          <a:off x="22440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B6175657-F88C-4BB9-B5AC-00620851EC11}"/>
            </a:ext>
          </a:extLst>
        </xdr:cNvPr>
        <xdr:cNvSpPr txBox="1"/>
      </xdr:nvSpPr>
      <xdr:spPr>
        <a:xfrm>
          <a:off x="22440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65B8C9E8-4598-423E-A685-EDB413FB91F6}"/>
            </a:ext>
          </a:extLst>
        </xdr:cNvPr>
        <xdr:cNvSpPr txBox="1"/>
      </xdr:nvSpPr>
      <xdr:spPr>
        <a:xfrm>
          <a:off x="22440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6DD9CD13-82B8-4F5D-A4D0-06C684FF58C2}"/>
            </a:ext>
          </a:extLst>
        </xdr:cNvPr>
        <xdr:cNvSpPr txBox="1"/>
      </xdr:nvSpPr>
      <xdr:spPr>
        <a:xfrm>
          <a:off x="22440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1CF2DD5F-6E07-472F-B6CE-354EA686EE6F}"/>
            </a:ext>
          </a:extLst>
        </xdr:cNvPr>
        <xdr:cNvSpPr txBox="1"/>
      </xdr:nvSpPr>
      <xdr:spPr>
        <a:xfrm>
          <a:off x="22440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91CF88A9-F201-4751-AA10-B1D71F33FA72}"/>
            </a:ext>
          </a:extLst>
        </xdr:cNvPr>
        <xdr:cNvSpPr txBox="1"/>
      </xdr:nvSpPr>
      <xdr:spPr>
        <a:xfrm>
          <a:off x="22440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FA882AC8-ED67-4A4A-8394-3AB7F24F1ED3}"/>
            </a:ext>
          </a:extLst>
        </xdr:cNvPr>
        <xdr:cNvSpPr txBox="1"/>
      </xdr:nvSpPr>
      <xdr:spPr>
        <a:xfrm>
          <a:off x="22440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0C87713A-60BC-4762-A4B0-EE43266D4139}"/>
            </a:ext>
          </a:extLst>
        </xdr:cNvPr>
        <xdr:cNvSpPr txBox="1"/>
      </xdr:nvSpPr>
      <xdr:spPr>
        <a:xfrm>
          <a:off x="22440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ECC92C1D-50CF-48C2-B929-E43B4632445A}"/>
            </a:ext>
          </a:extLst>
        </xdr:cNvPr>
        <xdr:cNvSpPr txBox="1"/>
      </xdr:nvSpPr>
      <xdr:spPr>
        <a:xfrm>
          <a:off x="2244090" y="1206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28A51B79-C961-4E4F-B96C-B6E73FA7480F}"/>
            </a:ext>
          </a:extLst>
        </xdr:cNvPr>
        <xdr:cNvSpPr txBox="1"/>
      </xdr:nvSpPr>
      <xdr:spPr>
        <a:xfrm>
          <a:off x="2244090" y="1206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68C7FCF1-C23F-4431-9942-396BFC8DE395}"/>
            </a:ext>
          </a:extLst>
        </xdr:cNvPr>
        <xdr:cNvSpPr txBox="1"/>
      </xdr:nvSpPr>
      <xdr:spPr>
        <a:xfrm>
          <a:off x="3495675"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2C84A06D-8A20-4AE2-932E-D6F9845E36C6}"/>
            </a:ext>
          </a:extLst>
        </xdr:cNvPr>
        <xdr:cNvSpPr txBox="1"/>
      </xdr:nvSpPr>
      <xdr:spPr>
        <a:xfrm>
          <a:off x="3495675" y="1109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F1FB33F1-2B6A-485F-BE77-E60DD72D191B}"/>
            </a:ext>
          </a:extLst>
        </xdr:cNvPr>
        <xdr:cNvSpPr txBox="1"/>
      </xdr:nvSpPr>
      <xdr:spPr>
        <a:xfrm>
          <a:off x="3495675" y="112585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550CBA76-9532-4A35-BB3B-BD6217679B63}"/>
            </a:ext>
          </a:extLst>
        </xdr:cNvPr>
        <xdr:cNvSpPr txBox="1"/>
      </xdr:nvSpPr>
      <xdr:spPr>
        <a:xfrm>
          <a:off x="3495675"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469CFF03-32B9-4270-A2E7-8554F6B69CEF}"/>
            </a:ext>
          </a:extLst>
        </xdr:cNvPr>
        <xdr:cNvSpPr txBox="1"/>
      </xdr:nvSpPr>
      <xdr:spPr>
        <a:xfrm>
          <a:off x="3495675"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3DE4AFCF-D4E2-4E73-BFB2-DAE8C6C2A071}"/>
            </a:ext>
          </a:extLst>
        </xdr:cNvPr>
        <xdr:cNvSpPr txBox="1"/>
      </xdr:nvSpPr>
      <xdr:spPr>
        <a:xfrm>
          <a:off x="3495675"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A8889BFB-6B70-4D81-AEDD-E423B306B19D}"/>
            </a:ext>
          </a:extLst>
        </xdr:cNvPr>
        <xdr:cNvSpPr txBox="1"/>
      </xdr:nvSpPr>
      <xdr:spPr>
        <a:xfrm>
          <a:off x="3495675"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72A95021-8AF5-4238-978B-07D30B93F454}"/>
            </a:ext>
          </a:extLst>
        </xdr:cNvPr>
        <xdr:cNvSpPr txBox="1"/>
      </xdr:nvSpPr>
      <xdr:spPr>
        <a:xfrm>
          <a:off x="3495675"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32EB735D-80E9-4541-85D0-0C4A8389A6AB}"/>
            </a:ext>
          </a:extLst>
        </xdr:cNvPr>
        <xdr:cNvSpPr txBox="1"/>
      </xdr:nvSpPr>
      <xdr:spPr>
        <a:xfrm>
          <a:off x="3495675"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1E73FB98-9362-4CD2-BCE4-D598103ACD58}"/>
            </a:ext>
          </a:extLst>
        </xdr:cNvPr>
        <xdr:cNvSpPr txBox="1"/>
      </xdr:nvSpPr>
      <xdr:spPr>
        <a:xfrm>
          <a:off x="3495675"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2A79325C-6143-4393-9D3F-2E0BDBD3C586}"/>
            </a:ext>
          </a:extLst>
        </xdr:cNvPr>
        <xdr:cNvSpPr txBox="1"/>
      </xdr:nvSpPr>
      <xdr:spPr>
        <a:xfrm>
          <a:off x="3495675"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8170C46C-B6C7-493D-80F5-95E44A7E9D47}"/>
            </a:ext>
          </a:extLst>
        </xdr:cNvPr>
        <xdr:cNvSpPr txBox="1"/>
      </xdr:nvSpPr>
      <xdr:spPr>
        <a:xfrm>
          <a:off x="3495675"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905F6BC1-54D9-418E-A943-594815C170DF}"/>
            </a:ext>
          </a:extLst>
        </xdr:cNvPr>
        <xdr:cNvSpPr txBox="1"/>
      </xdr:nvSpPr>
      <xdr:spPr>
        <a:xfrm>
          <a:off x="3495675"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0F190E4C-51FE-4422-AB12-44E9CB8F70C9}"/>
            </a:ext>
          </a:extLst>
        </xdr:cNvPr>
        <xdr:cNvSpPr txBox="1"/>
      </xdr:nvSpPr>
      <xdr:spPr>
        <a:xfrm>
          <a:off x="474345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83B4F5E4-C730-40D1-AC14-4FEAF81D3AF9}"/>
            </a:ext>
          </a:extLst>
        </xdr:cNvPr>
        <xdr:cNvSpPr txBox="1"/>
      </xdr:nvSpPr>
      <xdr:spPr>
        <a:xfrm>
          <a:off x="4743450" y="1109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2A57DC38-D84B-44F7-ABB4-393F529B0E2B}"/>
            </a:ext>
          </a:extLst>
        </xdr:cNvPr>
        <xdr:cNvSpPr txBox="1"/>
      </xdr:nvSpPr>
      <xdr:spPr>
        <a:xfrm>
          <a:off x="4743450" y="112585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D3064891-FBA8-46B4-8AA5-9A1D80CDDE99}"/>
            </a:ext>
          </a:extLst>
        </xdr:cNvPr>
        <xdr:cNvSpPr txBox="1"/>
      </xdr:nvSpPr>
      <xdr:spPr>
        <a:xfrm>
          <a:off x="474345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A50F63E5-BC81-4D92-B226-B3C40867F2FA}"/>
            </a:ext>
          </a:extLst>
        </xdr:cNvPr>
        <xdr:cNvSpPr txBox="1"/>
      </xdr:nvSpPr>
      <xdr:spPr>
        <a:xfrm>
          <a:off x="474345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54D88F51-DD5E-4F49-9FA5-E7F70371F375}"/>
            </a:ext>
          </a:extLst>
        </xdr:cNvPr>
        <xdr:cNvSpPr txBox="1"/>
      </xdr:nvSpPr>
      <xdr:spPr>
        <a:xfrm>
          <a:off x="47434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A6ACA26C-C9A9-46C5-829C-77330DBE06BA}"/>
            </a:ext>
          </a:extLst>
        </xdr:cNvPr>
        <xdr:cNvSpPr txBox="1"/>
      </xdr:nvSpPr>
      <xdr:spPr>
        <a:xfrm>
          <a:off x="47434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FC452C98-0793-4730-B01F-595275622CB9}"/>
            </a:ext>
          </a:extLst>
        </xdr:cNvPr>
        <xdr:cNvSpPr txBox="1"/>
      </xdr:nvSpPr>
      <xdr:spPr>
        <a:xfrm>
          <a:off x="474345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8B548C37-CF1E-470B-8C01-07DB0A350FF4}"/>
            </a:ext>
          </a:extLst>
        </xdr:cNvPr>
        <xdr:cNvSpPr txBox="1"/>
      </xdr:nvSpPr>
      <xdr:spPr>
        <a:xfrm>
          <a:off x="474345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C8FD7023-6CF1-456C-B83E-1FB402431BBD}"/>
            </a:ext>
          </a:extLst>
        </xdr:cNvPr>
        <xdr:cNvSpPr txBox="1"/>
      </xdr:nvSpPr>
      <xdr:spPr>
        <a:xfrm>
          <a:off x="474345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229F13C1-9423-425B-B55A-81D7E97066CE}"/>
            </a:ext>
          </a:extLst>
        </xdr:cNvPr>
        <xdr:cNvSpPr txBox="1"/>
      </xdr:nvSpPr>
      <xdr:spPr>
        <a:xfrm>
          <a:off x="474345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03E261A2-0D76-4175-86E6-E5A5F23D3C58}"/>
            </a:ext>
          </a:extLst>
        </xdr:cNvPr>
        <xdr:cNvSpPr txBox="1"/>
      </xdr:nvSpPr>
      <xdr:spPr>
        <a:xfrm>
          <a:off x="4743450"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CA8A1FB6-4567-4E34-8FAC-BF45364E3A3B}"/>
            </a:ext>
          </a:extLst>
        </xdr:cNvPr>
        <xdr:cNvSpPr txBox="1"/>
      </xdr:nvSpPr>
      <xdr:spPr>
        <a:xfrm>
          <a:off x="4743450"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3E19B383-06B4-442E-A50F-B73D874F5382}"/>
            </a:ext>
          </a:extLst>
        </xdr:cNvPr>
        <xdr:cNvSpPr txBox="1"/>
      </xdr:nvSpPr>
      <xdr:spPr>
        <a:xfrm>
          <a:off x="3491865"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2AFC8153-76D3-472B-A61E-B83A70120085}"/>
            </a:ext>
          </a:extLst>
        </xdr:cNvPr>
        <xdr:cNvSpPr txBox="1"/>
      </xdr:nvSpPr>
      <xdr:spPr>
        <a:xfrm>
          <a:off x="473964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5D0C701B-E898-4A0B-AF0A-1FB3AFDE6FA3}"/>
            </a:ext>
          </a:extLst>
        </xdr:cNvPr>
        <xdr:cNvSpPr txBox="1"/>
      </xdr:nvSpPr>
      <xdr:spPr>
        <a:xfrm>
          <a:off x="5987415"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9BDD1298-4328-4C7A-9846-BB524701C832}"/>
            </a:ext>
          </a:extLst>
        </xdr:cNvPr>
        <xdr:cNvSpPr txBox="1"/>
      </xdr:nvSpPr>
      <xdr:spPr>
        <a:xfrm>
          <a:off x="2244090" y="110966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D4BEE12E-8DD7-48C1-A6DA-F2882701B1AB}"/>
            </a:ext>
          </a:extLst>
        </xdr:cNvPr>
        <xdr:cNvSpPr txBox="1"/>
      </xdr:nvSpPr>
      <xdr:spPr>
        <a:xfrm>
          <a:off x="1102995" y="110966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74</xdr:row>
      <xdr:rowOff>0</xdr:rowOff>
    </xdr:from>
    <xdr:ext cx="184731" cy="264560"/>
    <xdr:sp macro="" textlink="">
      <xdr:nvSpPr>
        <xdr:cNvPr id="46" name="TextBox 45">
          <a:extLst>
            <a:ext uri="{FF2B5EF4-FFF2-40B4-BE49-F238E27FC236}">
              <a16:creationId xmlns:a16="http://schemas.microsoft.com/office/drawing/2014/main" id="{62BADA9E-63A7-4EC8-810D-6553559FABC1}"/>
            </a:ext>
          </a:extLst>
        </xdr:cNvPr>
        <xdr:cNvSpPr txBox="1"/>
      </xdr:nvSpPr>
      <xdr:spPr>
        <a:xfrm>
          <a:off x="27813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77</xdr:row>
      <xdr:rowOff>87630</xdr:rowOff>
    </xdr:from>
    <xdr:ext cx="184731" cy="272577"/>
    <xdr:sp macro="" textlink="">
      <xdr:nvSpPr>
        <xdr:cNvPr id="47" name="TextBox 46">
          <a:extLst>
            <a:ext uri="{FF2B5EF4-FFF2-40B4-BE49-F238E27FC236}">
              <a16:creationId xmlns:a16="http://schemas.microsoft.com/office/drawing/2014/main" id="{BAA09555-0553-46F2-9D3D-6210DCEB87DE}"/>
            </a:ext>
          </a:extLst>
        </xdr:cNvPr>
        <xdr:cNvSpPr txBox="1"/>
      </xdr:nvSpPr>
      <xdr:spPr>
        <a:xfrm>
          <a:off x="4208145" y="15165705"/>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75</xdr:row>
      <xdr:rowOff>0</xdr:rowOff>
    </xdr:from>
    <xdr:ext cx="184731" cy="264560"/>
    <xdr:sp macro="" textlink="">
      <xdr:nvSpPr>
        <xdr:cNvPr id="48" name="TextBox 47">
          <a:extLst>
            <a:ext uri="{FF2B5EF4-FFF2-40B4-BE49-F238E27FC236}">
              <a16:creationId xmlns:a16="http://schemas.microsoft.com/office/drawing/2014/main" id="{AE675525-27AB-4552-A566-E6A72EA25195}"/>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76</xdr:row>
      <xdr:rowOff>0</xdr:rowOff>
    </xdr:from>
    <xdr:ext cx="184731" cy="274009"/>
    <xdr:sp macro="" textlink="">
      <xdr:nvSpPr>
        <xdr:cNvPr id="49" name="TextBox 48">
          <a:extLst>
            <a:ext uri="{FF2B5EF4-FFF2-40B4-BE49-F238E27FC236}">
              <a16:creationId xmlns:a16="http://schemas.microsoft.com/office/drawing/2014/main" id="{A9144C36-3FFB-43C3-A0CD-78FFB327C4F4}"/>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50" name="TextBox 49">
          <a:extLst>
            <a:ext uri="{FF2B5EF4-FFF2-40B4-BE49-F238E27FC236}">
              <a16:creationId xmlns:a16="http://schemas.microsoft.com/office/drawing/2014/main" id="{1CFC51AF-E312-4883-9A7B-D59F4319E279}"/>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75</xdr:row>
      <xdr:rowOff>0</xdr:rowOff>
    </xdr:from>
    <xdr:ext cx="184731" cy="264560"/>
    <xdr:sp macro="" textlink="">
      <xdr:nvSpPr>
        <xdr:cNvPr id="51" name="TextBox 50">
          <a:extLst>
            <a:ext uri="{FF2B5EF4-FFF2-40B4-BE49-F238E27FC236}">
              <a16:creationId xmlns:a16="http://schemas.microsoft.com/office/drawing/2014/main" id="{EA6402D4-2DF1-418C-B720-0E22F2124E79}"/>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76</xdr:row>
      <xdr:rowOff>0</xdr:rowOff>
    </xdr:from>
    <xdr:ext cx="184731" cy="274009"/>
    <xdr:sp macro="" textlink="">
      <xdr:nvSpPr>
        <xdr:cNvPr id="52" name="TextBox 51">
          <a:extLst>
            <a:ext uri="{FF2B5EF4-FFF2-40B4-BE49-F238E27FC236}">
              <a16:creationId xmlns:a16="http://schemas.microsoft.com/office/drawing/2014/main" id="{73D59E4C-F147-4BAB-A8C1-0647A59C3FD2}"/>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53" name="TextBox 52">
          <a:extLst>
            <a:ext uri="{FF2B5EF4-FFF2-40B4-BE49-F238E27FC236}">
              <a16:creationId xmlns:a16="http://schemas.microsoft.com/office/drawing/2014/main" id="{6AB4490F-D7A0-492C-8E8E-EF5B75E7FC8F}"/>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1093470</xdr:colOff>
      <xdr:row>78</xdr:row>
      <xdr:rowOff>87630</xdr:rowOff>
    </xdr:from>
    <xdr:ext cx="184731" cy="272577"/>
    <xdr:sp macro="" textlink="">
      <xdr:nvSpPr>
        <xdr:cNvPr id="54" name="TextBox 53">
          <a:extLst>
            <a:ext uri="{FF2B5EF4-FFF2-40B4-BE49-F238E27FC236}">
              <a16:creationId xmlns:a16="http://schemas.microsoft.com/office/drawing/2014/main" id="{E4881087-14CD-4883-B2E4-CC0A8346169E}"/>
            </a:ext>
          </a:extLst>
        </xdr:cNvPr>
        <xdr:cNvSpPr txBox="1"/>
      </xdr:nvSpPr>
      <xdr:spPr>
        <a:xfrm>
          <a:off x="4208145" y="15403830"/>
          <a:ext cx="184731" cy="27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55" name="TextBox 54">
          <a:extLst>
            <a:ext uri="{FF2B5EF4-FFF2-40B4-BE49-F238E27FC236}">
              <a16:creationId xmlns:a16="http://schemas.microsoft.com/office/drawing/2014/main" id="{9C1DAB6A-6DE9-4ABB-9B71-7F0CADE5A4A8}"/>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78</xdr:row>
      <xdr:rowOff>0</xdr:rowOff>
    </xdr:from>
    <xdr:ext cx="184731" cy="264560"/>
    <xdr:sp macro="" textlink="">
      <xdr:nvSpPr>
        <xdr:cNvPr id="56" name="TextBox 55">
          <a:extLst>
            <a:ext uri="{FF2B5EF4-FFF2-40B4-BE49-F238E27FC236}">
              <a16:creationId xmlns:a16="http://schemas.microsoft.com/office/drawing/2014/main" id="{DEFED7F1-6C8A-4632-AED1-3BC7EA7EBF51}"/>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57" name="TextBox 56">
          <a:extLst>
            <a:ext uri="{FF2B5EF4-FFF2-40B4-BE49-F238E27FC236}">
              <a16:creationId xmlns:a16="http://schemas.microsoft.com/office/drawing/2014/main" id="{FBC62BFA-7769-4992-BD12-95ADBC1B0D20}"/>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78</xdr:row>
      <xdr:rowOff>0</xdr:rowOff>
    </xdr:from>
    <xdr:ext cx="184731" cy="264560"/>
    <xdr:sp macro="" textlink="">
      <xdr:nvSpPr>
        <xdr:cNvPr id="58" name="TextBox 57">
          <a:extLst>
            <a:ext uri="{FF2B5EF4-FFF2-40B4-BE49-F238E27FC236}">
              <a16:creationId xmlns:a16="http://schemas.microsoft.com/office/drawing/2014/main" id="{F4345C79-5298-4CF9-A188-58FA3F11FB90}"/>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74</xdr:row>
      <xdr:rowOff>0</xdr:rowOff>
    </xdr:from>
    <xdr:ext cx="184731" cy="264560"/>
    <xdr:sp macro="" textlink="">
      <xdr:nvSpPr>
        <xdr:cNvPr id="59" name="TextBox 58">
          <a:extLst>
            <a:ext uri="{FF2B5EF4-FFF2-40B4-BE49-F238E27FC236}">
              <a16:creationId xmlns:a16="http://schemas.microsoft.com/office/drawing/2014/main" id="{7BAF485F-6CA5-4D50-9813-826058044CB4}"/>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74</xdr:row>
      <xdr:rowOff>0</xdr:rowOff>
    </xdr:from>
    <xdr:ext cx="184731" cy="264560"/>
    <xdr:sp macro="" textlink="">
      <xdr:nvSpPr>
        <xdr:cNvPr id="60" name="TextBox 59">
          <a:extLst>
            <a:ext uri="{FF2B5EF4-FFF2-40B4-BE49-F238E27FC236}">
              <a16:creationId xmlns:a16="http://schemas.microsoft.com/office/drawing/2014/main" id="{BA9B7D5D-9370-4333-99F9-4CD2E2ABA0B8}"/>
            </a:ext>
          </a:extLst>
        </xdr:cNvPr>
        <xdr:cNvSpPr txBox="1"/>
      </xdr:nvSpPr>
      <xdr:spPr>
        <a:xfrm>
          <a:off x="31432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61" name="TextBox 60">
          <a:extLst>
            <a:ext uri="{FF2B5EF4-FFF2-40B4-BE49-F238E27FC236}">
              <a16:creationId xmlns:a16="http://schemas.microsoft.com/office/drawing/2014/main" id="{4E74E0ED-C27F-43ED-B6AF-BBF788BF356B}"/>
            </a:ext>
          </a:extLst>
        </xdr:cNvPr>
        <xdr:cNvSpPr txBox="1"/>
      </xdr:nvSpPr>
      <xdr:spPr>
        <a:xfrm>
          <a:off x="42100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62" name="TextBox 61">
          <a:extLst>
            <a:ext uri="{FF2B5EF4-FFF2-40B4-BE49-F238E27FC236}">
              <a16:creationId xmlns:a16="http://schemas.microsoft.com/office/drawing/2014/main" id="{1745C086-9226-4EE6-BF8A-A93D167C687C}"/>
            </a:ext>
          </a:extLst>
        </xdr:cNvPr>
        <xdr:cNvSpPr txBox="1"/>
      </xdr:nvSpPr>
      <xdr:spPr>
        <a:xfrm>
          <a:off x="5191125"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74</xdr:row>
      <xdr:rowOff>0</xdr:rowOff>
    </xdr:from>
    <xdr:ext cx="184731" cy="264560"/>
    <xdr:sp macro="" textlink="">
      <xdr:nvSpPr>
        <xdr:cNvPr id="63" name="TextBox 62">
          <a:extLst>
            <a:ext uri="{FF2B5EF4-FFF2-40B4-BE49-F238E27FC236}">
              <a16:creationId xmlns:a16="http://schemas.microsoft.com/office/drawing/2014/main" id="{D1F370A7-9C24-4EE5-AD5B-6912D862DEE5}"/>
            </a:ext>
          </a:extLst>
        </xdr:cNvPr>
        <xdr:cNvSpPr txBox="1"/>
      </xdr:nvSpPr>
      <xdr:spPr>
        <a:xfrm>
          <a:off x="6534150"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75</xdr:row>
      <xdr:rowOff>0</xdr:rowOff>
    </xdr:from>
    <xdr:ext cx="184731" cy="264560"/>
    <xdr:sp macro="" textlink="">
      <xdr:nvSpPr>
        <xdr:cNvPr id="64" name="TextBox 63">
          <a:extLst>
            <a:ext uri="{FF2B5EF4-FFF2-40B4-BE49-F238E27FC236}">
              <a16:creationId xmlns:a16="http://schemas.microsoft.com/office/drawing/2014/main" id="{F570BD88-037B-4F68-BF9F-C435E496C7FF}"/>
            </a:ext>
          </a:extLst>
        </xdr:cNvPr>
        <xdr:cNvSpPr txBox="1"/>
      </xdr:nvSpPr>
      <xdr:spPr>
        <a:xfrm>
          <a:off x="27813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75</xdr:row>
      <xdr:rowOff>0</xdr:rowOff>
    </xdr:from>
    <xdr:ext cx="184731" cy="264560"/>
    <xdr:sp macro="" textlink="">
      <xdr:nvSpPr>
        <xdr:cNvPr id="65" name="TextBox 64">
          <a:extLst>
            <a:ext uri="{FF2B5EF4-FFF2-40B4-BE49-F238E27FC236}">
              <a16:creationId xmlns:a16="http://schemas.microsoft.com/office/drawing/2014/main" id="{D0447730-6919-4F2B-B52D-50D76F1C9F89}"/>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75</xdr:row>
      <xdr:rowOff>0</xdr:rowOff>
    </xdr:from>
    <xdr:ext cx="184731" cy="264560"/>
    <xdr:sp macro="" textlink="">
      <xdr:nvSpPr>
        <xdr:cNvPr id="66" name="TextBox 65">
          <a:extLst>
            <a:ext uri="{FF2B5EF4-FFF2-40B4-BE49-F238E27FC236}">
              <a16:creationId xmlns:a16="http://schemas.microsoft.com/office/drawing/2014/main" id="{0496AE79-6E4F-4942-889E-BC8AE150513D}"/>
            </a:ext>
          </a:extLst>
        </xdr:cNvPr>
        <xdr:cNvSpPr txBox="1"/>
      </xdr:nvSpPr>
      <xdr:spPr>
        <a:xfrm>
          <a:off x="31432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67" name="TextBox 66">
          <a:extLst>
            <a:ext uri="{FF2B5EF4-FFF2-40B4-BE49-F238E27FC236}">
              <a16:creationId xmlns:a16="http://schemas.microsoft.com/office/drawing/2014/main" id="{85285423-333D-4635-B795-FF03AAEE788E}"/>
            </a:ext>
          </a:extLst>
        </xdr:cNvPr>
        <xdr:cNvSpPr txBox="1"/>
      </xdr:nvSpPr>
      <xdr:spPr>
        <a:xfrm>
          <a:off x="42100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68" name="TextBox 67">
          <a:extLst>
            <a:ext uri="{FF2B5EF4-FFF2-40B4-BE49-F238E27FC236}">
              <a16:creationId xmlns:a16="http://schemas.microsoft.com/office/drawing/2014/main" id="{08972C0A-EECB-484B-B24A-1C114DE4E3E6}"/>
            </a:ext>
          </a:extLst>
        </xdr:cNvPr>
        <xdr:cNvSpPr txBox="1"/>
      </xdr:nvSpPr>
      <xdr:spPr>
        <a:xfrm>
          <a:off x="5191125"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75</xdr:row>
      <xdr:rowOff>0</xdr:rowOff>
    </xdr:from>
    <xdr:ext cx="184731" cy="264560"/>
    <xdr:sp macro="" textlink="">
      <xdr:nvSpPr>
        <xdr:cNvPr id="69" name="TextBox 68">
          <a:extLst>
            <a:ext uri="{FF2B5EF4-FFF2-40B4-BE49-F238E27FC236}">
              <a16:creationId xmlns:a16="http://schemas.microsoft.com/office/drawing/2014/main" id="{9354BEB8-7D30-4C27-9428-87A330A02192}"/>
            </a:ext>
          </a:extLst>
        </xdr:cNvPr>
        <xdr:cNvSpPr txBox="1"/>
      </xdr:nvSpPr>
      <xdr:spPr>
        <a:xfrm>
          <a:off x="6534150" y="1459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76</xdr:row>
      <xdr:rowOff>0</xdr:rowOff>
    </xdr:from>
    <xdr:ext cx="184731" cy="274009"/>
    <xdr:sp macro="" textlink="">
      <xdr:nvSpPr>
        <xdr:cNvPr id="70" name="TextBox 69">
          <a:extLst>
            <a:ext uri="{FF2B5EF4-FFF2-40B4-BE49-F238E27FC236}">
              <a16:creationId xmlns:a16="http://schemas.microsoft.com/office/drawing/2014/main" id="{303262BC-B477-4D1A-84D5-DCD29CA1D153}"/>
            </a:ext>
          </a:extLst>
        </xdr:cNvPr>
        <xdr:cNvSpPr txBox="1"/>
      </xdr:nvSpPr>
      <xdr:spPr>
        <a:xfrm>
          <a:off x="2781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3810</xdr:colOff>
      <xdr:row>76</xdr:row>
      <xdr:rowOff>0</xdr:rowOff>
    </xdr:from>
    <xdr:ext cx="184731" cy="274009"/>
    <xdr:sp macro="" textlink="">
      <xdr:nvSpPr>
        <xdr:cNvPr id="71" name="TextBox 70">
          <a:extLst>
            <a:ext uri="{FF2B5EF4-FFF2-40B4-BE49-F238E27FC236}">
              <a16:creationId xmlns:a16="http://schemas.microsoft.com/office/drawing/2014/main" id="{9B6BCB72-7542-45A9-B236-08B7F13C2539}"/>
            </a:ext>
          </a:extLst>
        </xdr:cNvPr>
        <xdr:cNvSpPr txBox="1"/>
      </xdr:nvSpPr>
      <xdr:spPr>
        <a:xfrm>
          <a:off x="31470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76</xdr:row>
      <xdr:rowOff>0</xdr:rowOff>
    </xdr:from>
    <xdr:ext cx="184731" cy="274009"/>
    <xdr:sp macro="" textlink="">
      <xdr:nvSpPr>
        <xdr:cNvPr id="72" name="TextBox 71">
          <a:extLst>
            <a:ext uri="{FF2B5EF4-FFF2-40B4-BE49-F238E27FC236}">
              <a16:creationId xmlns:a16="http://schemas.microsoft.com/office/drawing/2014/main" id="{6E166F24-D695-46BA-9F86-616F941811E6}"/>
            </a:ext>
          </a:extLst>
        </xdr:cNvPr>
        <xdr:cNvSpPr txBox="1"/>
      </xdr:nvSpPr>
      <xdr:spPr>
        <a:xfrm>
          <a:off x="314325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1064895</xdr:colOff>
      <xdr:row>76</xdr:row>
      <xdr:rowOff>0</xdr:rowOff>
    </xdr:from>
    <xdr:ext cx="184731" cy="274009"/>
    <xdr:sp macro="" textlink="">
      <xdr:nvSpPr>
        <xdr:cNvPr id="73" name="TextBox 72">
          <a:extLst>
            <a:ext uri="{FF2B5EF4-FFF2-40B4-BE49-F238E27FC236}">
              <a16:creationId xmlns:a16="http://schemas.microsoft.com/office/drawing/2014/main" id="{FB2295A2-3076-4DFA-9EDF-4B3965548CC3}"/>
            </a:ext>
          </a:extLst>
        </xdr:cNvPr>
        <xdr:cNvSpPr txBox="1"/>
      </xdr:nvSpPr>
      <xdr:spPr>
        <a:xfrm>
          <a:off x="4208145"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1905</xdr:colOff>
      <xdr:row>76</xdr:row>
      <xdr:rowOff>0</xdr:rowOff>
    </xdr:from>
    <xdr:ext cx="184731" cy="274009"/>
    <xdr:sp macro="" textlink="">
      <xdr:nvSpPr>
        <xdr:cNvPr id="74" name="TextBox 73">
          <a:extLst>
            <a:ext uri="{FF2B5EF4-FFF2-40B4-BE49-F238E27FC236}">
              <a16:creationId xmlns:a16="http://schemas.microsoft.com/office/drawing/2014/main" id="{6CFBD6E5-7249-46AB-9710-645E1012C33F}"/>
            </a:ext>
          </a:extLst>
        </xdr:cNvPr>
        <xdr:cNvSpPr txBox="1"/>
      </xdr:nvSpPr>
      <xdr:spPr>
        <a:xfrm>
          <a:off x="519303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3810</xdr:colOff>
      <xdr:row>76</xdr:row>
      <xdr:rowOff>0</xdr:rowOff>
    </xdr:from>
    <xdr:ext cx="184731" cy="274009"/>
    <xdr:sp macro="" textlink="">
      <xdr:nvSpPr>
        <xdr:cNvPr id="75" name="TextBox 74">
          <a:extLst>
            <a:ext uri="{FF2B5EF4-FFF2-40B4-BE49-F238E27FC236}">
              <a16:creationId xmlns:a16="http://schemas.microsoft.com/office/drawing/2014/main" id="{5B116DBC-04AE-4AF4-8B9B-176797D6F7B9}"/>
            </a:ext>
          </a:extLst>
        </xdr:cNvPr>
        <xdr:cNvSpPr txBox="1"/>
      </xdr:nvSpPr>
      <xdr:spPr>
        <a:xfrm>
          <a:off x="6537960" y="14830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77</xdr:row>
      <xdr:rowOff>0</xdr:rowOff>
    </xdr:from>
    <xdr:ext cx="184731" cy="264560"/>
    <xdr:sp macro="" textlink="">
      <xdr:nvSpPr>
        <xdr:cNvPr id="76" name="TextBox 75">
          <a:extLst>
            <a:ext uri="{FF2B5EF4-FFF2-40B4-BE49-F238E27FC236}">
              <a16:creationId xmlns:a16="http://schemas.microsoft.com/office/drawing/2014/main" id="{75ADC62D-05C2-4541-AFEF-AC67A3FDEAE9}"/>
            </a:ext>
          </a:extLst>
        </xdr:cNvPr>
        <xdr:cNvSpPr txBox="1"/>
      </xdr:nvSpPr>
      <xdr:spPr>
        <a:xfrm>
          <a:off x="27813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77" name="TextBox 76">
          <a:extLst>
            <a:ext uri="{FF2B5EF4-FFF2-40B4-BE49-F238E27FC236}">
              <a16:creationId xmlns:a16="http://schemas.microsoft.com/office/drawing/2014/main" id="{9DCAED5D-2B3E-4393-BC8A-BDAC5A64C0E4}"/>
            </a:ext>
          </a:extLst>
        </xdr:cNvPr>
        <xdr:cNvSpPr txBox="1"/>
      </xdr:nvSpPr>
      <xdr:spPr>
        <a:xfrm>
          <a:off x="42100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78" name="TextBox 77">
          <a:extLst>
            <a:ext uri="{FF2B5EF4-FFF2-40B4-BE49-F238E27FC236}">
              <a16:creationId xmlns:a16="http://schemas.microsoft.com/office/drawing/2014/main" id="{DD2EACEC-0CF8-46F5-86DE-C0667375EA4E}"/>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77</xdr:row>
      <xdr:rowOff>0</xdr:rowOff>
    </xdr:from>
    <xdr:ext cx="184731" cy="264560"/>
    <xdr:sp macro="" textlink="">
      <xdr:nvSpPr>
        <xdr:cNvPr id="79" name="TextBox 78">
          <a:extLst>
            <a:ext uri="{FF2B5EF4-FFF2-40B4-BE49-F238E27FC236}">
              <a16:creationId xmlns:a16="http://schemas.microsoft.com/office/drawing/2014/main" id="{911EF954-439E-4560-88C6-C3D7C80253FF}"/>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80" name="TextBox 79">
          <a:extLst>
            <a:ext uri="{FF2B5EF4-FFF2-40B4-BE49-F238E27FC236}">
              <a16:creationId xmlns:a16="http://schemas.microsoft.com/office/drawing/2014/main" id="{DA3ACF7B-75DA-406B-A78A-1CFA6FC177E0}"/>
            </a:ext>
          </a:extLst>
        </xdr:cNvPr>
        <xdr:cNvSpPr txBox="1"/>
      </xdr:nvSpPr>
      <xdr:spPr>
        <a:xfrm>
          <a:off x="5191125"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77</xdr:row>
      <xdr:rowOff>0</xdr:rowOff>
    </xdr:from>
    <xdr:ext cx="184731" cy="264560"/>
    <xdr:sp macro="" textlink="">
      <xdr:nvSpPr>
        <xdr:cNvPr id="81" name="TextBox 80">
          <a:extLst>
            <a:ext uri="{FF2B5EF4-FFF2-40B4-BE49-F238E27FC236}">
              <a16:creationId xmlns:a16="http://schemas.microsoft.com/office/drawing/2014/main" id="{0E5746CE-0133-45E6-A4CE-1F49E98EF033}"/>
            </a:ext>
          </a:extLst>
        </xdr:cNvPr>
        <xdr:cNvSpPr txBox="1"/>
      </xdr:nvSpPr>
      <xdr:spPr>
        <a:xfrm>
          <a:off x="6534150"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78</xdr:row>
      <xdr:rowOff>0</xdr:rowOff>
    </xdr:from>
    <xdr:ext cx="184731" cy="264560"/>
    <xdr:sp macro="" textlink="">
      <xdr:nvSpPr>
        <xdr:cNvPr id="82" name="TextBox 81">
          <a:extLst>
            <a:ext uri="{FF2B5EF4-FFF2-40B4-BE49-F238E27FC236}">
              <a16:creationId xmlns:a16="http://schemas.microsoft.com/office/drawing/2014/main" id="{DE1BB367-1535-495C-97B6-02ACDDA2B09C}"/>
            </a:ext>
          </a:extLst>
        </xdr:cNvPr>
        <xdr:cNvSpPr txBox="1"/>
      </xdr:nvSpPr>
      <xdr:spPr>
        <a:xfrm>
          <a:off x="27813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78</xdr:row>
      <xdr:rowOff>0</xdr:rowOff>
    </xdr:from>
    <xdr:ext cx="184731" cy="264560"/>
    <xdr:sp macro="" textlink="">
      <xdr:nvSpPr>
        <xdr:cNvPr id="83" name="TextBox 82">
          <a:extLst>
            <a:ext uri="{FF2B5EF4-FFF2-40B4-BE49-F238E27FC236}">
              <a16:creationId xmlns:a16="http://schemas.microsoft.com/office/drawing/2014/main" id="{A92B0E18-7009-45F8-947A-2C67221EBF7B}"/>
            </a:ext>
          </a:extLst>
        </xdr:cNvPr>
        <xdr:cNvSpPr txBox="1"/>
      </xdr:nvSpPr>
      <xdr:spPr>
        <a:xfrm>
          <a:off x="42100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78</xdr:row>
      <xdr:rowOff>0</xdr:rowOff>
    </xdr:from>
    <xdr:ext cx="184731" cy="264560"/>
    <xdr:sp macro="" textlink="">
      <xdr:nvSpPr>
        <xdr:cNvPr id="84" name="TextBox 83">
          <a:extLst>
            <a:ext uri="{FF2B5EF4-FFF2-40B4-BE49-F238E27FC236}">
              <a16:creationId xmlns:a16="http://schemas.microsoft.com/office/drawing/2014/main" id="{E432DF71-7364-40BB-A275-C7EA83AC6C5C}"/>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78</xdr:row>
      <xdr:rowOff>0</xdr:rowOff>
    </xdr:from>
    <xdr:ext cx="184731" cy="264560"/>
    <xdr:sp macro="" textlink="">
      <xdr:nvSpPr>
        <xdr:cNvPr id="85" name="TextBox 84">
          <a:extLst>
            <a:ext uri="{FF2B5EF4-FFF2-40B4-BE49-F238E27FC236}">
              <a16:creationId xmlns:a16="http://schemas.microsoft.com/office/drawing/2014/main" id="{3CD22D17-97E6-461A-9384-3AEB6844E6E2}"/>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78</xdr:row>
      <xdr:rowOff>0</xdr:rowOff>
    </xdr:from>
    <xdr:ext cx="184731" cy="264560"/>
    <xdr:sp macro="" textlink="">
      <xdr:nvSpPr>
        <xdr:cNvPr id="86" name="TextBox 85">
          <a:extLst>
            <a:ext uri="{FF2B5EF4-FFF2-40B4-BE49-F238E27FC236}">
              <a16:creationId xmlns:a16="http://schemas.microsoft.com/office/drawing/2014/main" id="{2F8C0414-AB0F-47F4-9495-0F573D34DEFB}"/>
            </a:ext>
          </a:extLst>
        </xdr:cNvPr>
        <xdr:cNvSpPr txBox="1"/>
      </xdr:nvSpPr>
      <xdr:spPr>
        <a:xfrm>
          <a:off x="5191125"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78</xdr:row>
      <xdr:rowOff>0</xdr:rowOff>
    </xdr:from>
    <xdr:ext cx="184731" cy="264560"/>
    <xdr:sp macro="" textlink="">
      <xdr:nvSpPr>
        <xdr:cNvPr id="87" name="TextBox 86">
          <a:extLst>
            <a:ext uri="{FF2B5EF4-FFF2-40B4-BE49-F238E27FC236}">
              <a16:creationId xmlns:a16="http://schemas.microsoft.com/office/drawing/2014/main" id="{1930B909-BC03-4B83-AED0-D3EC4253E975}"/>
            </a:ext>
          </a:extLst>
        </xdr:cNvPr>
        <xdr:cNvSpPr txBox="1"/>
      </xdr:nvSpPr>
      <xdr:spPr>
        <a:xfrm>
          <a:off x="6534150" y="1531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79</xdr:row>
      <xdr:rowOff>0</xdr:rowOff>
    </xdr:from>
    <xdr:ext cx="184731" cy="264560"/>
    <xdr:sp macro="" textlink="">
      <xdr:nvSpPr>
        <xdr:cNvPr id="88" name="TextBox 87">
          <a:extLst>
            <a:ext uri="{FF2B5EF4-FFF2-40B4-BE49-F238E27FC236}">
              <a16:creationId xmlns:a16="http://schemas.microsoft.com/office/drawing/2014/main" id="{800CAB79-6BD2-45F5-BB20-B3D7D915904D}"/>
            </a:ext>
          </a:extLst>
        </xdr:cNvPr>
        <xdr:cNvSpPr txBox="1"/>
      </xdr:nvSpPr>
      <xdr:spPr>
        <a:xfrm>
          <a:off x="27813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79</xdr:row>
      <xdr:rowOff>0</xdr:rowOff>
    </xdr:from>
    <xdr:ext cx="184731" cy="264560"/>
    <xdr:sp macro="" textlink="">
      <xdr:nvSpPr>
        <xdr:cNvPr id="89" name="TextBox 88">
          <a:extLst>
            <a:ext uri="{FF2B5EF4-FFF2-40B4-BE49-F238E27FC236}">
              <a16:creationId xmlns:a16="http://schemas.microsoft.com/office/drawing/2014/main" id="{5D8D5399-3808-4027-854F-34B825911B0A}"/>
            </a:ext>
          </a:extLst>
        </xdr:cNvPr>
        <xdr:cNvSpPr txBox="1"/>
      </xdr:nvSpPr>
      <xdr:spPr>
        <a:xfrm>
          <a:off x="42100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90" name="TextBox 89">
          <a:extLst>
            <a:ext uri="{FF2B5EF4-FFF2-40B4-BE49-F238E27FC236}">
              <a16:creationId xmlns:a16="http://schemas.microsoft.com/office/drawing/2014/main" id="{09E1D6E4-3423-4D61-9872-A00714E5C675}"/>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79</xdr:row>
      <xdr:rowOff>0</xdr:rowOff>
    </xdr:from>
    <xdr:ext cx="184731" cy="264560"/>
    <xdr:sp macro="" textlink="">
      <xdr:nvSpPr>
        <xdr:cNvPr id="91" name="TextBox 90">
          <a:extLst>
            <a:ext uri="{FF2B5EF4-FFF2-40B4-BE49-F238E27FC236}">
              <a16:creationId xmlns:a16="http://schemas.microsoft.com/office/drawing/2014/main" id="{B4003E06-A7D5-4D08-9992-1B4DBE25A577}"/>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79</xdr:row>
      <xdr:rowOff>0</xdr:rowOff>
    </xdr:from>
    <xdr:ext cx="184731" cy="264560"/>
    <xdr:sp macro="" textlink="">
      <xdr:nvSpPr>
        <xdr:cNvPr id="92" name="TextBox 91">
          <a:extLst>
            <a:ext uri="{FF2B5EF4-FFF2-40B4-BE49-F238E27FC236}">
              <a16:creationId xmlns:a16="http://schemas.microsoft.com/office/drawing/2014/main" id="{0AFC63AD-A1A8-4A2A-8466-24AAFD8CAF26}"/>
            </a:ext>
          </a:extLst>
        </xdr:cNvPr>
        <xdr:cNvSpPr txBox="1"/>
      </xdr:nvSpPr>
      <xdr:spPr>
        <a:xfrm>
          <a:off x="5191125"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79</xdr:row>
      <xdr:rowOff>0</xdr:rowOff>
    </xdr:from>
    <xdr:ext cx="184731" cy="264560"/>
    <xdr:sp macro="" textlink="">
      <xdr:nvSpPr>
        <xdr:cNvPr id="93" name="TextBox 92">
          <a:extLst>
            <a:ext uri="{FF2B5EF4-FFF2-40B4-BE49-F238E27FC236}">
              <a16:creationId xmlns:a16="http://schemas.microsoft.com/office/drawing/2014/main" id="{1C350CED-882D-4D7E-BB6B-F3DEC5C21940}"/>
            </a:ext>
          </a:extLst>
        </xdr:cNvPr>
        <xdr:cNvSpPr txBox="1"/>
      </xdr:nvSpPr>
      <xdr:spPr>
        <a:xfrm>
          <a:off x="6534150"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80</xdr:row>
      <xdr:rowOff>0</xdr:rowOff>
    </xdr:from>
    <xdr:ext cx="184731" cy="264560"/>
    <xdr:sp macro="" textlink="">
      <xdr:nvSpPr>
        <xdr:cNvPr id="94" name="TextBox 93">
          <a:extLst>
            <a:ext uri="{FF2B5EF4-FFF2-40B4-BE49-F238E27FC236}">
              <a16:creationId xmlns:a16="http://schemas.microsoft.com/office/drawing/2014/main" id="{DFD333C9-020F-4514-9EBC-01E0D2538474}"/>
            </a:ext>
          </a:extLst>
        </xdr:cNvPr>
        <xdr:cNvSpPr txBox="1"/>
      </xdr:nvSpPr>
      <xdr:spPr>
        <a:xfrm>
          <a:off x="27813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95" name="TextBox 94">
          <a:extLst>
            <a:ext uri="{FF2B5EF4-FFF2-40B4-BE49-F238E27FC236}">
              <a16:creationId xmlns:a16="http://schemas.microsoft.com/office/drawing/2014/main" id="{E9B1D8C7-4D59-4C5C-B4CE-7604499F08DE}"/>
            </a:ext>
          </a:extLst>
        </xdr:cNvPr>
        <xdr:cNvSpPr txBox="1"/>
      </xdr:nvSpPr>
      <xdr:spPr>
        <a:xfrm>
          <a:off x="42100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96" name="TextBox 95">
          <a:extLst>
            <a:ext uri="{FF2B5EF4-FFF2-40B4-BE49-F238E27FC236}">
              <a16:creationId xmlns:a16="http://schemas.microsoft.com/office/drawing/2014/main" id="{76B09550-48E1-4F9D-80B8-DAB6F40D9957}"/>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80</xdr:row>
      <xdr:rowOff>0</xdr:rowOff>
    </xdr:from>
    <xdr:ext cx="184731" cy="264560"/>
    <xdr:sp macro="" textlink="">
      <xdr:nvSpPr>
        <xdr:cNvPr id="97" name="TextBox 96">
          <a:extLst>
            <a:ext uri="{FF2B5EF4-FFF2-40B4-BE49-F238E27FC236}">
              <a16:creationId xmlns:a16="http://schemas.microsoft.com/office/drawing/2014/main" id="{2B467CB2-1962-4F9E-AED0-D4E5C695586B}"/>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98" name="TextBox 97">
          <a:extLst>
            <a:ext uri="{FF2B5EF4-FFF2-40B4-BE49-F238E27FC236}">
              <a16:creationId xmlns:a16="http://schemas.microsoft.com/office/drawing/2014/main" id="{C985C282-F2C0-49CF-A1F8-AD3DB8531746}"/>
            </a:ext>
          </a:extLst>
        </xdr:cNvPr>
        <xdr:cNvSpPr txBox="1"/>
      </xdr:nvSpPr>
      <xdr:spPr>
        <a:xfrm>
          <a:off x="5191125"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80</xdr:row>
      <xdr:rowOff>0</xdr:rowOff>
    </xdr:from>
    <xdr:ext cx="184731" cy="264560"/>
    <xdr:sp macro="" textlink="">
      <xdr:nvSpPr>
        <xdr:cNvPr id="99" name="TextBox 98">
          <a:extLst>
            <a:ext uri="{FF2B5EF4-FFF2-40B4-BE49-F238E27FC236}">
              <a16:creationId xmlns:a16="http://schemas.microsoft.com/office/drawing/2014/main" id="{56382E8D-9367-45DF-B2F6-B08CAC475F92}"/>
            </a:ext>
          </a:extLst>
        </xdr:cNvPr>
        <xdr:cNvSpPr txBox="1"/>
      </xdr:nvSpPr>
      <xdr:spPr>
        <a:xfrm>
          <a:off x="6534150" y="1579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81</xdr:row>
      <xdr:rowOff>0</xdr:rowOff>
    </xdr:from>
    <xdr:ext cx="184731" cy="264560"/>
    <xdr:sp macro="" textlink="">
      <xdr:nvSpPr>
        <xdr:cNvPr id="100" name="TextBox 99">
          <a:extLst>
            <a:ext uri="{FF2B5EF4-FFF2-40B4-BE49-F238E27FC236}">
              <a16:creationId xmlns:a16="http://schemas.microsoft.com/office/drawing/2014/main" id="{C7594059-9C77-4651-99A0-5EB390E4C35B}"/>
            </a:ext>
          </a:extLst>
        </xdr:cNvPr>
        <xdr:cNvSpPr txBox="1"/>
      </xdr:nvSpPr>
      <xdr:spPr>
        <a:xfrm>
          <a:off x="27813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101" name="TextBox 100">
          <a:extLst>
            <a:ext uri="{FF2B5EF4-FFF2-40B4-BE49-F238E27FC236}">
              <a16:creationId xmlns:a16="http://schemas.microsoft.com/office/drawing/2014/main" id="{7DD80401-061A-4CB2-A298-1A8184603BF5}"/>
            </a:ext>
          </a:extLst>
        </xdr:cNvPr>
        <xdr:cNvSpPr txBox="1"/>
      </xdr:nvSpPr>
      <xdr:spPr>
        <a:xfrm>
          <a:off x="42100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02" name="TextBox 101">
          <a:extLst>
            <a:ext uri="{FF2B5EF4-FFF2-40B4-BE49-F238E27FC236}">
              <a16:creationId xmlns:a16="http://schemas.microsoft.com/office/drawing/2014/main" id="{6009F452-2AAF-4FF7-844E-6CCA624617B0}"/>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81</xdr:row>
      <xdr:rowOff>0</xdr:rowOff>
    </xdr:from>
    <xdr:ext cx="184731" cy="264560"/>
    <xdr:sp macro="" textlink="">
      <xdr:nvSpPr>
        <xdr:cNvPr id="103" name="TextBox 102">
          <a:extLst>
            <a:ext uri="{FF2B5EF4-FFF2-40B4-BE49-F238E27FC236}">
              <a16:creationId xmlns:a16="http://schemas.microsoft.com/office/drawing/2014/main" id="{14E23EBC-ECD9-440A-B326-AED05E6399D1}"/>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104" name="TextBox 103">
          <a:extLst>
            <a:ext uri="{FF2B5EF4-FFF2-40B4-BE49-F238E27FC236}">
              <a16:creationId xmlns:a16="http://schemas.microsoft.com/office/drawing/2014/main" id="{7CDA8DA3-6320-45B6-B12E-9A301D392A35}"/>
            </a:ext>
          </a:extLst>
        </xdr:cNvPr>
        <xdr:cNvSpPr txBox="1"/>
      </xdr:nvSpPr>
      <xdr:spPr>
        <a:xfrm>
          <a:off x="519112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81</xdr:row>
      <xdr:rowOff>0</xdr:rowOff>
    </xdr:from>
    <xdr:ext cx="184731" cy="264560"/>
    <xdr:sp macro="" textlink="">
      <xdr:nvSpPr>
        <xdr:cNvPr id="105" name="TextBox 104">
          <a:extLst>
            <a:ext uri="{FF2B5EF4-FFF2-40B4-BE49-F238E27FC236}">
              <a16:creationId xmlns:a16="http://schemas.microsoft.com/office/drawing/2014/main" id="{1342C2A0-7531-426B-BC15-7C8689392A8E}"/>
            </a:ext>
          </a:extLst>
        </xdr:cNvPr>
        <xdr:cNvSpPr txBox="1"/>
      </xdr:nvSpPr>
      <xdr:spPr>
        <a:xfrm>
          <a:off x="653415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1905</xdr:colOff>
      <xdr:row>82</xdr:row>
      <xdr:rowOff>0</xdr:rowOff>
    </xdr:from>
    <xdr:ext cx="184731" cy="264560"/>
    <xdr:sp macro="" textlink="">
      <xdr:nvSpPr>
        <xdr:cNvPr id="106" name="TextBox 105">
          <a:extLst>
            <a:ext uri="{FF2B5EF4-FFF2-40B4-BE49-F238E27FC236}">
              <a16:creationId xmlns:a16="http://schemas.microsoft.com/office/drawing/2014/main" id="{254A087D-0C10-4A88-8FA1-A51252FC244E}"/>
            </a:ext>
          </a:extLst>
        </xdr:cNvPr>
        <xdr:cNvSpPr txBox="1"/>
      </xdr:nvSpPr>
      <xdr:spPr>
        <a:xfrm>
          <a:off x="27813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107" name="TextBox 106">
          <a:extLst>
            <a:ext uri="{FF2B5EF4-FFF2-40B4-BE49-F238E27FC236}">
              <a16:creationId xmlns:a16="http://schemas.microsoft.com/office/drawing/2014/main" id="{2A1802FB-3F6E-47E3-A0B2-F1A83AA5B9A1}"/>
            </a:ext>
          </a:extLst>
        </xdr:cNvPr>
        <xdr:cNvSpPr txBox="1"/>
      </xdr:nvSpPr>
      <xdr:spPr>
        <a:xfrm>
          <a:off x="42100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108" name="TextBox 107">
          <a:extLst>
            <a:ext uri="{FF2B5EF4-FFF2-40B4-BE49-F238E27FC236}">
              <a16:creationId xmlns:a16="http://schemas.microsoft.com/office/drawing/2014/main" id="{63D1E55C-B72C-47A5-97D8-F13F483AD199}"/>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82</xdr:row>
      <xdr:rowOff>0</xdr:rowOff>
    </xdr:from>
    <xdr:ext cx="184731" cy="264560"/>
    <xdr:sp macro="" textlink="">
      <xdr:nvSpPr>
        <xdr:cNvPr id="109" name="TextBox 108">
          <a:extLst>
            <a:ext uri="{FF2B5EF4-FFF2-40B4-BE49-F238E27FC236}">
              <a16:creationId xmlns:a16="http://schemas.microsoft.com/office/drawing/2014/main" id="{9E4B58F7-510F-4383-92D8-ED966E6D62FB}"/>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110" name="TextBox 109">
          <a:extLst>
            <a:ext uri="{FF2B5EF4-FFF2-40B4-BE49-F238E27FC236}">
              <a16:creationId xmlns:a16="http://schemas.microsoft.com/office/drawing/2014/main" id="{428E7C26-CBD1-43DC-992C-08DA67A1D214}"/>
            </a:ext>
          </a:extLst>
        </xdr:cNvPr>
        <xdr:cNvSpPr txBox="1"/>
      </xdr:nvSpPr>
      <xdr:spPr>
        <a:xfrm>
          <a:off x="5191125"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82</xdr:row>
      <xdr:rowOff>0</xdr:rowOff>
    </xdr:from>
    <xdr:ext cx="184731" cy="264560"/>
    <xdr:sp macro="" textlink="">
      <xdr:nvSpPr>
        <xdr:cNvPr id="111" name="TextBox 110">
          <a:extLst>
            <a:ext uri="{FF2B5EF4-FFF2-40B4-BE49-F238E27FC236}">
              <a16:creationId xmlns:a16="http://schemas.microsoft.com/office/drawing/2014/main" id="{329F3E1A-31C7-452C-AB37-4BE45401F0CC}"/>
            </a:ext>
          </a:extLst>
        </xdr:cNvPr>
        <xdr:cNvSpPr txBox="1"/>
      </xdr:nvSpPr>
      <xdr:spPr>
        <a:xfrm>
          <a:off x="6534150" y="1626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FDCB1710-8196-4F36-8285-43C1EFDB83F6}"/>
            </a:ext>
          </a:extLst>
        </xdr:cNvPr>
        <xdr:cNvSpPr txBox="1"/>
      </xdr:nvSpPr>
      <xdr:spPr>
        <a:xfrm>
          <a:off x="29679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7C6A0D1B-0DF6-48DF-873C-C76B167F97B2}"/>
            </a:ext>
          </a:extLst>
        </xdr:cNvPr>
        <xdr:cNvSpPr txBox="1"/>
      </xdr:nvSpPr>
      <xdr:spPr>
        <a:xfrm>
          <a:off x="296799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D50B0D8E-152D-4CF3-8CA4-DCC5F98A39D7}"/>
            </a:ext>
          </a:extLst>
        </xdr:cNvPr>
        <xdr:cNvSpPr txBox="1"/>
      </xdr:nvSpPr>
      <xdr:spPr>
        <a:xfrm>
          <a:off x="2967990" y="110966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6982B64F-3438-42F2-867D-33F992962C5E}"/>
            </a:ext>
          </a:extLst>
        </xdr:cNvPr>
        <xdr:cNvSpPr txBox="1"/>
      </xdr:nvSpPr>
      <xdr:spPr>
        <a:xfrm>
          <a:off x="2967990" y="11258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22A65377-3EA2-430C-91C2-A2E44041AE38}"/>
            </a:ext>
          </a:extLst>
        </xdr:cNvPr>
        <xdr:cNvSpPr txBox="1"/>
      </xdr:nvSpPr>
      <xdr:spPr>
        <a:xfrm>
          <a:off x="2967990" y="11258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F4BCA444-C616-4F92-8714-86851DC19DE2}"/>
            </a:ext>
          </a:extLst>
        </xdr:cNvPr>
        <xdr:cNvSpPr txBox="1"/>
      </xdr:nvSpPr>
      <xdr:spPr>
        <a:xfrm>
          <a:off x="29679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DD162575-FBAD-481F-9151-C317CD942FCE}"/>
            </a:ext>
          </a:extLst>
        </xdr:cNvPr>
        <xdr:cNvSpPr txBox="1"/>
      </xdr:nvSpPr>
      <xdr:spPr>
        <a:xfrm>
          <a:off x="29679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2CA358D3-D47D-4AAF-934E-8A05660F3291}"/>
            </a:ext>
          </a:extLst>
        </xdr:cNvPr>
        <xdr:cNvSpPr txBox="1"/>
      </xdr:nvSpPr>
      <xdr:spPr>
        <a:xfrm>
          <a:off x="29679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228A7D1B-0125-439F-8523-CE968473968D}"/>
            </a:ext>
          </a:extLst>
        </xdr:cNvPr>
        <xdr:cNvSpPr txBox="1"/>
      </xdr:nvSpPr>
      <xdr:spPr>
        <a:xfrm>
          <a:off x="29679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81A90AFB-18EB-42EA-AAAC-168FED29A066}"/>
            </a:ext>
          </a:extLst>
        </xdr:cNvPr>
        <xdr:cNvSpPr txBox="1"/>
      </xdr:nvSpPr>
      <xdr:spPr>
        <a:xfrm>
          <a:off x="29679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CC83D47C-9659-484C-8BC8-950282C1713B}"/>
            </a:ext>
          </a:extLst>
        </xdr:cNvPr>
        <xdr:cNvSpPr txBox="1"/>
      </xdr:nvSpPr>
      <xdr:spPr>
        <a:xfrm>
          <a:off x="29679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70F5D12E-0A83-4DC8-BD6E-78FB18A98292}"/>
            </a:ext>
          </a:extLst>
        </xdr:cNvPr>
        <xdr:cNvSpPr txBox="1"/>
      </xdr:nvSpPr>
      <xdr:spPr>
        <a:xfrm>
          <a:off x="29679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C19378E8-D796-4B52-B73A-A5C24815985A}"/>
            </a:ext>
          </a:extLst>
        </xdr:cNvPr>
        <xdr:cNvSpPr txBox="1"/>
      </xdr:nvSpPr>
      <xdr:spPr>
        <a:xfrm>
          <a:off x="29679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8FD7ADBA-8C77-4523-A738-18E2C9DA8F99}"/>
            </a:ext>
          </a:extLst>
        </xdr:cNvPr>
        <xdr:cNvSpPr txBox="1"/>
      </xdr:nvSpPr>
      <xdr:spPr>
        <a:xfrm>
          <a:off x="4419600"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F1A5A293-AC1B-4DD3-A8EB-133E1653457E}"/>
            </a:ext>
          </a:extLst>
        </xdr:cNvPr>
        <xdr:cNvSpPr txBox="1"/>
      </xdr:nvSpPr>
      <xdr:spPr>
        <a:xfrm>
          <a:off x="441960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10EE02AD-1144-438A-8053-81F5AC52C97F}"/>
            </a:ext>
          </a:extLst>
        </xdr:cNvPr>
        <xdr:cNvSpPr txBox="1"/>
      </xdr:nvSpPr>
      <xdr:spPr>
        <a:xfrm>
          <a:off x="4419600" y="110966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57C2C4FB-8E3C-490A-B48F-FC55A4B78190}"/>
            </a:ext>
          </a:extLst>
        </xdr:cNvPr>
        <xdr:cNvSpPr txBox="1"/>
      </xdr:nvSpPr>
      <xdr:spPr>
        <a:xfrm>
          <a:off x="44196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11EEC175-A60B-489A-9B14-C2EC87E9B61C}"/>
            </a:ext>
          </a:extLst>
        </xdr:cNvPr>
        <xdr:cNvSpPr txBox="1"/>
      </xdr:nvSpPr>
      <xdr:spPr>
        <a:xfrm>
          <a:off x="44196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899EC020-9AC1-4D68-A333-CF204DA8E598}"/>
            </a:ext>
          </a:extLst>
        </xdr:cNvPr>
        <xdr:cNvSpPr txBox="1"/>
      </xdr:nvSpPr>
      <xdr:spPr>
        <a:xfrm>
          <a:off x="44196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F650B149-9999-4AC2-82A6-E97B768550DD}"/>
            </a:ext>
          </a:extLst>
        </xdr:cNvPr>
        <xdr:cNvSpPr txBox="1"/>
      </xdr:nvSpPr>
      <xdr:spPr>
        <a:xfrm>
          <a:off x="44196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9B60C07B-3FF7-404A-81F3-356EE94CDBB1}"/>
            </a:ext>
          </a:extLst>
        </xdr:cNvPr>
        <xdr:cNvSpPr txBox="1"/>
      </xdr:nvSpPr>
      <xdr:spPr>
        <a:xfrm>
          <a:off x="44196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A85A7D62-1163-4D55-A609-18B1E0F4683B}"/>
            </a:ext>
          </a:extLst>
        </xdr:cNvPr>
        <xdr:cNvSpPr txBox="1"/>
      </xdr:nvSpPr>
      <xdr:spPr>
        <a:xfrm>
          <a:off x="44196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BDDF3DAB-4159-474F-99F0-5A6CF566048A}"/>
            </a:ext>
          </a:extLst>
        </xdr:cNvPr>
        <xdr:cNvSpPr txBox="1"/>
      </xdr:nvSpPr>
      <xdr:spPr>
        <a:xfrm>
          <a:off x="44196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DBF33AA7-E09F-47C5-A17A-1DE26B396387}"/>
            </a:ext>
          </a:extLst>
        </xdr:cNvPr>
        <xdr:cNvSpPr txBox="1"/>
      </xdr:nvSpPr>
      <xdr:spPr>
        <a:xfrm>
          <a:off x="44196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913F31AB-C31D-4EB7-A554-EEBA70556956}"/>
            </a:ext>
          </a:extLst>
        </xdr:cNvPr>
        <xdr:cNvSpPr txBox="1"/>
      </xdr:nvSpPr>
      <xdr:spPr>
        <a:xfrm>
          <a:off x="44196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AE84C9FD-9983-4683-A605-5C26098144E9}"/>
            </a:ext>
          </a:extLst>
        </xdr:cNvPr>
        <xdr:cNvSpPr txBox="1"/>
      </xdr:nvSpPr>
      <xdr:spPr>
        <a:xfrm>
          <a:off x="44196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F5A6C6B1-AC07-4AFE-A2F5-2FA39B95BECD}"/>
            </a:ext>
          </a:extLst>
        </xdr:cNvPr>
        <xdr:cNvSpPr txBox="1"/>
      </xdr:nvSpPr>
      <xdr:spPr>
        <a:xfrm>
          <a:off x="5867400"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E98A578D-0C33-4BB7-9276-1E57438CC465}"/>
            </a:ext>
          </a:extLst>
        </xdr:cNvPr>
        <xdr:cNvSpPr txBox="1"/>
      </xdr:nvSpPr>
      <xdr:spPr>
        <a:xfrm>
          <a:off x="586740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97095C49-EE1A-4978-8CB1-581146E37061}"/>
            </a:ext>
          </a:extLst>
        </xdr:cNvPr>
        <xdr:cNvSpPr txBox="1"/>
      </xdr:nvSpPr>
      <xdr:spPr>
        <a:xfrm>
          <a:off x="5867400" y="110966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A96B160A-F9F9-4908-A94E-DB33C7979F4E}"/>
            </a:ext>
          </a:extLst>
        </xdr:cNvPr>
        <xdr:cNvSpPr txBox="1"/>
      </xdr:nvSpPr>
      <xdr:spPr>
        <a:xfrm>
          <a:off x="58674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3B348774-B3D0-4DE8-836C-87D7CCA288DC}"/>
            </a:ext>
          </a:extLst>
        </xdr:cNvPr>
        <xdr:cNvSpPr txBox="1"/>
      </xdr:nvSpPr>
      <xdr:spPr>
        <a:xfrm>
          <a:off x="58674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29D8F3B8-F204-49AA-8654-361CB6AAA220}"/>
            </a:ext>
          </a:extLst>
        </xdr:cNvPr>
        <xdr:cNvSpPr txBox="1"/>
      </xdr:nvSpPr>
      <xdr:spPr>
        <a:xfrm>
          <a:off x="58674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A06DB00C-2357-43CF-A50D-E5A9994DC2FC}"/>
            </a:ext>
          </a:extLst>
        </xdr:cNvPr>
        <xdr:cNvSpPr txBox="1"/>
      </xdr:nvSpPr>
      <xdr:spPr>
        <a:xfrm>
          <a:off x="58674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1EE0357E-6878-43B7-B4A8-0F967D0F016B}"/>
            </a:ext>
          </a:extLst>
        </xdr:cNvPr>
        <xdr:cNvSpPr txBox="1"/>
      </xdr:nvSpPr>
      <xdr:spPr>
        <a:xfrm>
          <a:off x="58674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001C0995-0BFC-4153-BE94-20043BD6A707}"/>
            </a:ext>
          </a:extLst>
        </xdr:cNvPr>
        <xdr:cNvSpPr txBox="1"/>
      </xdr:nvSpPr>
      <xdr:spPr>
        <a:xfrm>
          <a:off x="58674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44833B47-F877-4DF5-A816-418CBDAD4F2B}"/>
            </a:ext>
          </a:extLst>
        </xdr:cNvPr>
        <xdr:cNvSpPr txBox="1"/>
      </xdr:nvSpPr>
      <xdr:spPr>
        <a:xfrm>
          <a:off x="58674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260A70E8-BECC-4EB7-82D5-341C8E5BC7E4}"/>
            </a:ext>
          </a:extLst>
        </xdr:cNvPr>
        <xdr:cNvSpPr txBox="1"/>
      </xdr:nvSpPr>
      <xdr:spPr>
        <a:xfrm>
          <a:off x="58674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4E785F38-9934-443A-B7E6-0C013F6E67C2}"/>
            </a:ext>
          </a:extLst>
        </xdr:cNvPr>
        <xdr:cNvSpPr txBox="1"/>
      </xdr:nvSpPr>
      <xdr:spPr>
        <a:xfrm>
          <a:off x="58674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0ABB9C30-27FC-4F38-B7FB-2FDEE23E8678}"/>
            </a:ext>
          </a:extLst>
        </xdr:cNvPr>
        <xdr:cNvSpPr txBox="1"/>
      </xdr:nvSpPr>
      <xdr:spPr>
        <a:xfrm>
          <a:off x="58674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84950BBF-FA6A-439F-B442-9C5C06643580}"/>
            </a:ext>
          </a:extLst>
        </xdr:cNvPr>
        <xdr:cNvSpPr txBox="1"/>
      </xdr:nvSpPr>
      <xdr:spPr>
        <a:xfrm>
          <a:off x="44157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18F0B0E1-ADCC-44AA-A025-2E9C81A18257}"/>
            </a:ext>
          </a:extLst>
        </xdr:cNvPr>
        <xdr:cNvSpPr txBox="1"/>
      </xdr:nvSpPr>
      <xdr:spPr>
        <a:xfrm>
          <a:off x="58635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E9602DC6-E945-4CED-B240-C72D04DE5372}"/>
            </a:ext>
          </a:extLst>
        </xdr:cNvPr>
        <xdr:cNvSpPr txBox="1"/>
      </xdr:nvSpPr>
      <xdr:spPr>
        <a:xfrm>
          <a:off x="73113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DA2A720D-D0DB-4EAD-99DD-1DA032C3DA33}"/>
            </a:ext>
          </a:extLst>
        </xdr:cNvPr>
        <xdr:cNvSpPr txBox="1"/>
      </xdr:nvSpPr>
      <xdr:spPr>
        <a:xfrm>
          <a:off x="2967990" y="109347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5278C239-56F9-4C2E-A198-7DEB3A8D3BD8}"/>
            </a:ext>
          </a:extLst>
        </xdr:cNvPr>
        <xdr:cNvSpPr txBox="1"/>
      </xdr:nvSpPr>
      <xdr:spPr>
        <a:xfrm>
          <a:off x="1102995" y="109347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3148965</xdr:colOff>
      <xdr:row>167</xdr:row>
      <xdr:rowOff>0</xdr:rowOff>
    </xdr:from>
    <xdr:ext cx="183125" cy="264560"/>
    <xdr:sp macro="" textlink="">
      <xdr:nvSpPr>
        <xdr:cNvPr id="2" name="TextBox 1">
          <a:extLst>
            <a:ext uri="{FF2B5EF4-FFF2-40B4-BE49-F238E27FC236}">
              <a16:creationId xmlns:a16="http://schemas.microsoft.com/office/drawing/2014/main" id="{647F2B72-5EB1-4EC0-8AA6-1BA0A2BE3A0C}"/>
            </a:ext>
          </a:extLst>
        </xdr:cNvPr>
        <xdr:cNvSpPr txBox="1"/>
      </xdr:nvSpPr>
      <xdr:spPr>
        <a:xfrm>
          <a:off x="3148965" y="2586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167</xdr:row>
      <xdr:rowOff>0</xdr:rowOff>
    </xdr:from>
    <xdr:ext cx="184731" cy="271710"/>
    <xdr:sp macro="" textlink="">
      <xdr:nvSpPr>
        <xdr:cNvPr id="3" name="TextBox 2">
          <a:extLst>
            <a:ext uri="{FF2B5EF4-FFF2-40B4-BE49-F238E27FC236}">
              <a16:creationId xmlns:a16="http://schemas.microsoft.com/office/drawing/2014/main" id="{F9F49060-F16F-4E8F-BB3E-BF1D750E770D}"/>
            </a:ext>
          </a:extLst>
        </xdr:cNvPr>
        <xdr:cNvSpPr txBox="1"/>
      </xdr:nvSpPr>
      <xdr:spPr>
        <a:xfrm>
          <a:off x="331470" y="2586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ilguun_ch/Desktop/&#1060;&#1080;&#1085;&#1072;/&#1045;&#1088;&#1076;&#1080;&#1081;&#1085;/IDXXXXXXXq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04101a"/>
      <sheetName val="i.04101"/>
      <sheetName val="i.04102a"/>
      <sheetName val="i.04102"/>
      <sheetName val="i.04103"/>
      <sheetName val="i.04104"/>
      <sheetName val="i.04105"/>
      <sheetName val="i.04106"/>
      <sheetName val="i.04107"/>
      <sheetName val="i.04108"/>
      <sheetName val="i.04109"/>
      <sheetName val="i.04110"/>
      <sheetName val="i.04111"/>
      <sheetName val="i.04112"/>
      <sheetName val="i.04113"/>
      <sheetName val="i.04114"/>
      <sheetName val="i.04115"/>
      <sheetName val="i.04116"/>
      <sheetName val="i.04117"/>
      <sheetName val="i.04118a"/>
      <sheetName val="i.04118b"/>
      <sheetName val="i.04144a"/>
      <sheetName val="i.04144"/>
      <sheetName val="i.04145"/>
      <sheetName val="i.04148"/>
      <sheetName val="i.04152"/>
      <sheetName val="i.04153"/>
      <sheetName val="i.04153a"/>
      <sheetName val="i.04154"/>
      <sheetName val="i.04off1"/>
      <sheetName val="i.04off2"/>
      <sheetName val="УБХНС тооцоолол"/>
    </sheetNames>
    <sheetDataSet>
      <sheetData sheetId="0"/>
      <sheetData sheetId="1">
        <row r="18">
          <cell r="E18">
            <v>0</v>
          </cell>
        </row>
      </sheetData>
      <sheetData sheetId="2"/>
      <sheetData sheetId="3"/>
      <sheetData sheetId="4"/>
      <sheetData sheetId="5"/>
      <sheetData sheetId="6"/>
      <sheetData sheetId="7"/>
      <sheetData sheetId="8"/>
      <sheetData sheetId="9">
        <row r="7">
          <cell r="A7" t="str">
            <v>Даатгагчийн нэр:</v>
          </cell>
          <cell r="F7" t="str">
            <v>..... оны .... сарын ...-ны өдөр</v>
          </cell>
        </row>
        <row r="32">
          <cell r="C32" t="str">
            <v>тамга тэмдэг</v>
          </cell>
        </row>
        <row r="34">
          <cell r="C34" t="str">
            <v xml:space="preserve">ТАЙЛАН ГАРГАСАН:    </v>
          </cell>
        </row>
        <row r="36">
          <cell r="C36" t="str">
            <v xml:space="preserve"> Гүйцэтгэх захирал</v>
          </cell>
          <cell r="D36" t="str">
            <v xml:space="preserve">/................................../   </v>
          </cell>
          <cell r="F36" t="str">
            <v>/................................./</v>
          </cell>
        </row>
        <row r="38">
          <cell r="C38" t="str">
            <v xml:space="preserve"> Ерөнхий нягтлан бодогч  </v>
          </cell>
          <cell r="D38" t="str">
            <v xml:space="preserve">/.................................../   </v>
          </cell>
          <cell r="F38" t="str">
            <v>/................................/</v>
          </cell>
        </row>
        <row r="40">
          <cell r="C40" t="str">
            <v>...................................................</v>
          </cell>
          <cell r="D40" t="str">
            <v xml:space="preserve">/................................../   </v>
          </cell>
          <cell r="F40" t="str">
            <v>/................................/</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zoomScaleNormal="100" zoomScalePageLayoutView="60" workbookViewId="0">
      <selection activeCell="J25" sqref="J25"/>
    </sheetView>
  </sheetViews>
  <sheetFormatPr defaultRowHeight="12.75" x14ac:dyDescent="0.2"/>
  <cols>
    <col min="1" max="1" width="11.5703125" style="62"/>
    <col min="2" max="2" width="66.140625" style="62"/>
    <col min="3" max="11" width="21.85546875" style="62" customWidth="1"/>
    <col min="12" max="1025" width="11.5703125" style="62"/>
    <col min="1026" max="16384" width="9.140625" style="62"/>
  </cols>
  <sheetData>
    <row r="1" spans="1:11" x14ac:dyDescent="0.2">
      <c r="A1" s="123"/>
      <c r="B1" s="123"/>
      <c r="C1" s="123"/>
      <c r="D1" s="123"/>
      <c r="E1" s="123"/>
      <c r="F1" s="123"/>
      <c r="G1" s="123"/>
      <c r="H1" s="123"/>
      <c r="I1" s="123"/>
      <c r="J1" s="123"/>
      <c r="K1" s="123"/>
    </row>
    <row r="2" spans="1:11" x14ac:dyDescent="0.2">
      <c r="A2" s="123"/>
      <c r="B2" s="123"/>
      <c r="C2" s="123"/>
      <c r="D2" s="124" t="s">
        <v>276</v>
      </c>
      <c r="E2" s="123"/>
      <c r="F2" s="123"/>
      <c r="G2" s="123"/>
      <c r="H2" s="123"/>
      <c r="I2" s="123"/>
      <c r="J2" s="123"/>
      <c r="K2" s="123"/>
    </row>
    <row r="3" spans="1:11" x14ac:dyDescent="0.2">
      <c r="A3" s="123" t="s">
        <v>277</v>
      </c>
      <c r="B3" s="125"/>
      <c r="C3" s="123"/>
      <c r="D3" s="123"/>
      <c r="E3" s="123"/>
      <c r="F3" s="123"/>
      <c r="G3" s="123"/>
      <c r="H3" s="123"/>
      <c r="I3" s="123"/>
      <c r="J3" s="573" t="s">
        <v>278</v>
      </c>
      <c r="K3" s="573"/>
    </row>
    <row r="4" spans="1:11" x14ac:dyDescent="0.2">
      <c r="A4" s="123"/>
      <c r="B4" s="123"/>
      <c r="C4" s="123"/>
      <c r="D4" s="123"/>
      <c r="E4" s="123"/>
      <c r="F4" s="123"/>
      <c r="G4" s="123"/>
      <c r="H4" s="123"/>
      <c r="I4" s="123"/>
      <c r="J4" s="126"/>
      <c r="K4" s="1" t="s">
        <v>279</v>
      </c>
    </row>
    <row r="5" spans="1:11" ht="25.5" x14ac:dyDescent="0.2">
      <c r="A5" s="127" t="s">
        <v>280</v>
      </c>
      <c r="B5" s="128" t="s">
        <v>281</v>
      </c>
      <c r="C5" s="128" t="s">
        <v>2</v>
      </c>
      <c r="D5" s="128" t="s">
        <v>3</v>
      </c>
      <c r="E5" s="128" t="s">
        <v>4</v>
      </c>
      <c r="F5" s="128" t="s">
        <v>656</v>
      </c>
      <c r="G5" s="128" t="s">
        <v>6</v>
      </c>
      <c r="H5" s="128" t="s">
        <v>7</v>
      </c>
      <c r="I5" s="128" t="s">
        <v>8</v>
      </c>
      <c r="J5" s="128" t="s">
        <v>9</v>
      </c>
      <c r="K5" s="128" t="s">
        <v>10</v>
      </c>
    </row>
    <row r="6" spans="1:11" x14ac:dyDescent="0.2">
      <c r="A6" s="127" t="s">
        <v>282</v>
      </c>
      <c r="B6" s="128" t="s">
        <v>283</v>
      </c>
      <c r="C6" s="128">
        <v>1</v>
      </c>
      <c r="D6" s="128">
        <v>2</v>
      </c>
      <c r="E6" s="128">
        <v>3</v>
      </c>
      <c r="F6" s="128">
        <v>4</v>
      </c>
      <c r="G6" s="128">
        <v>5</v>
      </c>
      <c r="H6" s="128">
        <v>6</v>
      </c>
      <c r="I6" s="128">
        <v>7</v>
      </c>
      <c r="J6" s="128">
        <v>8</v>
      </c>
      <c r="K6" s="128">
        <v>9</v>
      </c>
    </row>
    <row r="7" spans="1:11" x14ac:dyDescent="0.2">
      <c r="A7" s="129">
        <v>1</v>
      </c>
      <c r="B7" s="130" t="s">
        <v>11</v>
      </c>
      <c r="C7" s="131"/>
      <c r="D7" s="131"/>
      <c r="E7" s="131"/>
      <c r="F7" s="131"/>
      <c r="G7" s="131"/>
      <c r="H7" s="131"/>
      <c r="I7" s="131"/>
      <c r="J7" s="131"/>
      <c r="K7" s="132">
        <f t="shared" ref="K7:K23" si="0">SUM(C7:J7)</f>
        <v>0</v>
      </c>
    </row>
    <row r="8" spans="1:11" x14ac:dyDescent="0.2">
      <c r="A8" s="133">
        <v>2</v>
      </c>
      <c r="B8" s="134" t="s">
        <v>12</v>
      </c>
      <c r="C8" s="131"/>
      <c r="D8" s="131"/>
      <c r="E8" s="131"/>
      <c r="F8" s="131"/>
      <c r="G8" s="131"/>
      <c r="H8" s="131"/>
      <c r="I8" s="131"/>
      <c r="J8" s="131"/>
      <c r="K8" s="132">
        <f t="shared" si="0"/>
        <v>0</v>
      </c>
    </row>
    <row r="9" spans="1:11" x14ac:dyDescent="0.2">
      <c r="A9" s="133">
        <v>3</v>
      </c>
      <c r="B9" s="135" t="s">
        <v>13</v>
      </c>
      <c r="C9" s="136">
        <f>C7+C8</f>
        <v>0</v>
      </c>
      <c r="D9" s="136">
        <f t="shared" ref="D9:J9" si="1">D7+D8</f>
        <v>0</v>
      </c>
      <c r="E9" s="136">
        <f t="shared" si="1"/>
        <v>0</v>
      </c>
      <c r="F9" s="136">
        <f t="shared" si="1"/>
        <v>0</v>
      </c>
      <c r="G9" s="136">
        <f t="shared" si="1"/>
        <v>0</v>
      </c>
      <c r="H9" s="136">
        <f t="shared" si="1"/>
        <v>0</v>
      </c>
      <c r="I9" s="136">
        <f t="shared" si="1"/>
        <v>0</v>
      </c>
      <c r="J9" s="136">
        <f t="shared" si="1"/>
        <v>0</v>
      </c>
      <c r="K9" s="132">
        <f t="shared" si="0"/>
        <v>0</v>
      </c>
    </row>
    <row r="10" spans="1:11" x14ac:dyDescent="0.2">
      <c r="A10" s="133">
        <v>4</v>
      </c>
      <c r="B10" s="134" t="s">
        <v>14</v>
      </c>
      <c r="C10" s="131"/>
      <c r="D10" s="131"/>
      <c r="E10" s="131"/>
      <c r="F10" s="131"/>
      <c r="G10" s="131"/>
      <c r="H10" s="131"/>
      <c r="I10" s="131"/>
      <c r="J10" s="131"/>
      <c r="K10" s="132">
        <f t="shared" si="0"/>
        <v>0</v>
      </c>
    </row>
    <row r="11" spans="1:11" x14ac:dyDescent="0.2">
      <c r="A11" s="133">
        <v>5</v>
      </c>
      <c r="B11" s="134" t="s">
        <v>15</v>
      </c>
      <c r="C11" s="131"/>
      <c r="D11" s="131"/>
      <c r="E11" s="131"/>
      <c r="F11" s="131"/>
      <c r="G11" s="131"/>
      <c r="H11" s="131"/>
      <c r="I11" s="131"/>
      <c r="J11" s="131"/>
      <c r="K11" s="132">
        <f t="shared" si="0"/>
        <v>0</v>
      </c>
    </row>
    <row r="12" spans="1:11" x14ac:dyDescent="0.2">
      <c r="A12" s="133">
        <v>6</v>
      </c>
      <c r="B12" s="134" t="s">
        <v>16</v>
      </c>
      <c r="C12" s="131"/>
      <c r="D12" s="131"/>
      <c r="E12" s="131"/>
      <c r="F12" s="131"/>
      <c r="G12" s="131"/>
      <c r="H12" s="131"/>
      <c r="I12" s="131"/>
      <c r="J12" s="131"/>
      <c r="K12" s="132">
        <f t="shared" si="0"/>
        <v>0</v>
      </c>
    </row>
    <row r="13" spans="1:11" x14ac:dyDescent="0.2">
      <c r="A13" s="133">
        <v>7</v>
      </c>
      <c r="B13" s="134" t="s">
        <v>17</v>
      </c>
      <c r="C13" s="131"/>
      <c r="D13" s="131"/>
      <c r="E13" s="131"/>
      <c r="F13" s="131"/>
      <c r="G13" s="131"/>
      <c r="H13" s="131"/>
      <c r="I13" s="131"/>
      <c r="J13" s="131"/>
      <c r="K13" s="132">
        <f t="shared" si="0"/>
        <v>0</v>
      </c>
    </row>
    <row r="14" spans="1:11" x14ac:dyDescent="0.2">
      <c r="A14" s="133">
        <v>8</v>
      </c>
      <c r="B14" s="134" t="s">
        <v>18</v>
      </c>
      <c r="C14" s="131"/>
      <c r="D14" s="131"/>
      <c r="E14" s="131"/>
      <c r="F14" s="131"/>
      <c r="G14" s="131"/>
      <c r="H14" s="131"/>
      <c r="I14" s="131"/>
      <c r="J14" s="131"/>
      <c r="K14" s="132">
        <f t="shared" si="0"/>
        <v>0</v>
      </c>
    </row>
    <row r="15" spans="1:11" x14ac:dyDescent="0.2">
      <c r="A15" s="129">
        <v>9</v>
      </c>
      <c r="B15" s="137" t="s">
        <v>284</v>
      </c>
      <c r="C15" s="132">
        <f>SUM(C9:C14)</f>
        <v>0</v>
      </c>
      <c r="D15" s="132">
        <f t="shared" ref="D15:J15" si="2">SUM(D9:D14)</f>
        <v>0</v>
      </c>
      <c r="E15" s="132">
        <f t="shared" si="2"/>
        <v>0</v>
      </c>
      <c r="F15" s="132">
        <f t="shared" si="2"/>
        <v>0</v>
      </c>
      <c r="G15" s="132">
        <f t="shared" si="2"/>
        <v>0</v>
      </c>
      <c r="H15" s="132">
        <f t="shared" si="2"/>
        <v>0</v>
      </c>
      <c r="I15" s="132">
        <f t="shared" si="2"/>
        <v>0</v>
      </c>
      <c r="J15" s="132">
        <f t="shared" si="2"/>
        <v>0</v>
      </c>
      <c r="K15" s="132">
        <f t="shared" si="0"/>
        <v>0</v>
      </c>
    </row>
    <row r="16" spans="1:11" x14ac:dyDescent="0.2">
      <c r="A16" s="133">
        <v>10</v>
      </c>
      <c r="B16" s="134" t="s">
        <v>12</v>
      </c>
      <c r="C16" s="131"/>
      <c r="D16" s="131"/>
      <c r="E16" s="131"/>
      <c r="F16" s="131"/>
      <c r="G16" s="131"/>
      <c r="H16" s="131"/>
      <c r="I16" s="131"/>
      <c r="J16" s="131"/>
      <c r="K16" s="136">
        <f t="shared" si="0"/>
        <v>0</v>
      </c>
    </row>
    <row r="17" spans="1:11" x14ac:dyDescent="0.2">
      <c r="A17" s="133">
        <v>11</v>
      </c>
      <c r="B17" s="135" t="s">
        <v>13</v>
      </c>
      <c r="C17" s="136">
        <f>C15+C16</f>
        <v>0</v>
      </c>
      <c r="D17" s="136">
        <f t="shared" ref="D17:J17" si="3">D15+D16</f>
        <v>0</v>
      </c>
      <c r="E17" s="136">
        <f t="shared" si="3"/>
        <v>0</v>
      </c>
      <c r="F17" s="136">
        <f t="shared" si="3"/>
        <v>0</v>
      </c>
      <c r="G17" s="136">
        <f t="shared" si="3"/>
        <v>0</v>
      </c>
      <c r="H17" s="136">
        <f t="shared" si="3"/>
        <v>0</v>
      </c>
      <c r="I17" s="136">
        <f t="shared" si="3"/>
        <v>0</v>
      </c>
      <c r="J17" s="136">
        <f t="shared" si="3"/>
        <v>0</v>
      </c>
      <c r="K17" s="136">
        <f t="shared" si="0"/>
        <v>0</v>
      </c>
    </row>
    <row r="18" spans="1:11" x14ac:dyDescent="0.2">
      <c r="A18" s="133">
        <v>12</v>
      </c>
      <c r="B18" s="134" t="s">
        <v>14</v>
      </c>
      <c r="C18" s="131"/>
      <c r="D18" s="131"/>
      <c r="E18" s="131"/>
      <c r="F18" s="131"/>
      <c r="G18" s="131"/>
      <c r="H18" s="131"/>
      <c r="I18" s="131"/>
      <c r="J18" s="138">
        <f>i.04131!E64</f>
        <v>0</v>
      </c>
      <c r="K18" s="136">
        <f t="shared" si="0"/>
        <v>0</v>
      </c>
    </row>
    <row r="19" spans="1:11" x14ac:dyDescent="0.2">
      <c r="A19" s="133">
        <v>13</v>
      </c>
      <c r="B19" s="134" t="s">
        <v>15</v>
      </c>
      <c r="C19" s="131"/>
      <c r="D19" s="131"/>
      <c r="E19" s="131"/>
      <c r="F19" s="131"/>
      <c r="G19" s="131"/>
      <c r="H19" s="131"/>
      <c r="I19" s="131"/>
      <c r="J19" s="131"/>
      <c r="K19" s="136">
        <f t="shared" si="0"/>
        <v>0</v>
      </c>
    </row>
    <row r="20" spans="1:11" x14ac:dyDescent="0.2">
      <c r="A20" s="133">
        <v>14</v>
      </c>
      <c r="B20" s="134" t="s">
        <v>16</v>
      </c>
      <c r="C20" s="131"/>
      <c r="D20" s="131"/>
      <c r="E20" s="131"/>
      <c r="F20" s="131"/>
      <c r="G20" s="131"/>
      <c r="H20" s="131"/>
      <c r="I20" s="131"/>
      <c r="J20" s="131"/>
      <c r="K20" s="136">
        <f t="shared" si="0"/>
        <v>0</v>
      </c>
    </row>
    <row r="21" spans="1:11" x14ac:dyDescent="0.2">
      <c r="A21" s="133">
        <v>15</v>
      </c>
      <c r="B21" s="134" t="s">
        <v>17</v>
      </c>
      <c r="C21" s="131"/>
      <c r="D21" s="131"/>
      <c r="E21" s="131"/>
      <c r="F21" s="131"/>
      <c r="G21" s="131"/>
      <c r="H21" s="131"/>
      <c r="I21" s="131"/>
      <c r="J21" s="131"/>
      <c r="K21" s="136">
        <f t="shared" si="0"/>
        <v>0</v>
      </c>
    </row>
    <row r="22" spans="1:11" x14ac:dyDescent="0.2">
      <c r="A22" s="133">
        <v>16</v>
      </c>
      <c r="B22" s="134" t="s">
        <v>18</v>
      </c>
      <c r="C22" s="131"/>
      <c r="D22" s="131"/>
      <c r="E22" s="131"/>
      <c r="F22" s="131"/>
      <c r="G22" s="131"/>
      <c r="H22" s="131"/>
      <c r="I22" s="131"/>
      <c r="J22" s="131"/>
      <c r="K22" s="136">
        <f t="shared" si="0"/>
        <v>0</v>
      </c>
    </row>
    <row r="23" spans="1:11" x14ac:dyDescent="0.2">
      <c r="A23" s="129">
        <v>17</v>
      </c>
      <c r="B23" s="137" t="s">
        <v>284</v>
      </c>
      <c r="C23" s="132">
        <f>SUM(C17:C22)</f>
        <v>0</v>
      </c>
      <c r="D23" s="132">
        <f t="shared" ref="D23:J23" si="4">SUM(D17:D22)</f>
        <v>0</v>
      </c>
      <c r="E23" s="132">
        <f t="shared" si="4"/>
        <v>0</v>
      </c>
      <c r="F23" s="132">
        <f t="shared" si="4"/>
        <v>0</v>
      </c>
      <c r="G23" s="132">
        <f t="shared" si="4"/>
        <v>0</v>
      </c>
      <c r="H23" s="132">
        <f t="shared" si="4"/>
        <v>0</v>
      </c>
      <c r="I23" s="132">
        <f t="shared" si="4"/>
        <v>0</v>
      </c>
      <c r="J23" s="132">
        <f t="shared" si="4"/>
        <v>0</v>
      </c>
      <c r="K23" s="132">
        <f t="shared" si="0"/>
        <v>0</v>
      </c>
    </row>
    <row r="24" spans="1:11" x14ac:dyDescent="0.2">
      <c r="B24" s="5"/>
      <c r="C24" s="3"/>
      <c r="D24" s="4"/>
      <c r="E24" s="4"/>
    </row>
    <row r="25" spans="1:11" x14ac:dyDescent="0.2">
      <c r="B25" s="2" t="s">
        <v>285</v>
      </c>
      <c r="C25" s="139">
        <f>C23-i.04130!E86</f>
        <v>0</v>
      </c>
      <c r="D25" s="139">
        <f>D23-i.04130!E87</f>
        <v>0</v>
      </c>
      <c r="E25" s="139">
        <f>E23-i.04130!E88</f>
        <v>0</v>
      </c>
      <c r="F25" s="139">
        <f>F23-i.04130!E89</f>
        <v>0</v>
      </c>
      <c r="G25" s="139">
        <f>G23-i.04130!E90</f>
        <v>0</v>
      </c>
      <c r="H25" s="139">
        <f>H23-i.04130!E91</f>
        <v>0</v>
      </c>
      <c r="I25" s="139">
        <f>I23-i.04130!E92</f>
        <v>0</v>
      </c>
      <c r="J25" s="139">
        <f>J23-i.04130!E93</f>
        <v>0</v>
      </c>
      <c r="K25" s="139">
        <f>K23-i.04130!E94</f>
        <v>0</v>
      </c>
    </row>
    <row r="26" spans="1:11" x14ac:dyDescent="0.2">
      <c r="B26" s="5"/>
      <c r="C26" s="3"/>
      <c r="D26" s="4"/>
      <c r="E26" s="4"/>
    </row>
    <row r="27" spans="1:11" x14ac:dyDescent="0.2">
      <c r="B27" s="5" t="s">
        <v>286</v>
      </c>
      <c r="C27" s="3"/>
      <c r="D27" s="4"/>
      <c r="E27" s="4"/>
    </row>
    <row r="28" spans="1:11" x14ac:dyDescent="0.2">
      <c r="B28" s="5"/>
      <c r="C28" s="3"/>
      <c r="D28" s="4"/>
      <c r="E28" s="4"/>
    </row>
    <row r="29" spans="1:11" x14ac:dyDescent="0.2">
      <c r="B29" s="6" t="s">
        <v>287</v>
      </c>
      <c r="C29" s="572" t="s">
        <v>288</v>
      </c>
      <c r="D29" s="572"/>
      <c r="E29" s="7" t="s">
        <v>289</v>
      </c>
    </row>
    <row r="30" spans="1:11" x14ac:dyDescent="0.2">
      <c r="B30" s="5"/>
      <c r="C30" s="572"/>
      <c r="D30" s="572"/>
      <c r="E30" s="4"/>
    </row>
    <row r="31" spans="1:11" x14ac:dyDescent="0.2">
      <c r="B31" s="6" t="s">
        <v>290</v>
      </c>
      <c r="C31" s="572" t="s">
        <v>291</v>
      </c>
      <c r="D31" s="572"/>
      <c r="E31" s="7" t="s">
        <v>292</v>
      </c>
    </row>
    <row r="32" spans="1:11" x14ac:dyDescent="0.2">
      <c r="B32" s="5"/>
      <c r="C32" s="572"/>
      <c r="D32" s="572"/>
      <c r="E32" s="4"/>
    </row>
    <row r="33" spans="2:5" x14ac:dyDescent="0.2">
      <c r="B33" s="8" t="s">
        <v>293</v>
      </c>
      <c r="C33" s="572" t="s">
        <v>288</v>
      </c>
      <c r="D33" s="572"/>
      <c r="E33" s="7" t="s">
        <v>292</v>
      </c>
    </row>
  </sheetData>
  <sheetProtection password="CA9F" sheet="1" objects="1" scenarios="1"/>
  <mergeCells count="6">
    <mergeCell ref="C30:D30"/>
    <mergeCell ref="C31:D31"/>
    <mergeCell ref="C32:D32"/>
    <mergeCell ref="C33:D33"/>
    <mergeCell ref="J3:K3"/>
    <mergeCell ref="C29:D29"/>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A3291-B358-479A-BFCC-5A2B29B865BA}">
  <dimension ref="A1:E106"/>
  <sheetViews>
    <sheetView topLeftCell="A13" zoomScaleNormal="100" zoomScalePageLayoutView="60" workbookViewId="0">
      <selection activeCell="E25" sqref="E25"/>
    </sheetView>
  </sheetViews>
  <sheetFormatPr defaultRowHeight="12.75" x14ac:dyDescent="0.2"/>
  <cols>
    <col min="1" max="1" width="6.5703125" style="286" bestFit="1" customWidth="1"/>
    <col min="2" max="2" width="71.5703125" style="286" customWidth="1"/>
    <col min="3" max="3" width="7.28515625" style="286" bestFit="1" customWidth="1"/>
    <col min="4" max="4" width="24.5703125" style="286" customWidth="1"/>
    <col min="5" max="5" width="23" style="286" customWidth="1"/>
    <col min="6" max="16384" width="9.140625" style="286"/>
  </cols>
  <sheetData>
    <row r="1" spans="1:5" x14ac:dyDescent="0.2">
      <c r="C1" s="621" t="s">
        <v>660</v>
      </c>
      <c r="D1" s="622"/>
      <c r="E1" s="622"/>
    </row>
    <row r="2" spans="1:5" x14ac:dyDescent="0.2">
      <c r="C2" s="622"/>
      <c r="D2" s="622"/>
      <c r="E2" s="622"/>
    </row>
    <row r="4" spans="1:5" x14ac:dyDescent="0.2">
      <c r="A4" s="619" t="s">
        <v>659</v>
      </c>
      <c r="B4" s="619"/>
      <c r="C4" s="619"/>
      <c r="D4" s="619"/>
      <c r="E4" s="619"/>
    </row>
    <row r="5" spans="1:5" x14ac:dyDescent="0.2">
      <c r="A5" s="401"/>
      <c r="B5" s="398"/>
      <c r="C5" s="402"/>
      <c r="D5" s="397"/>
      <c r="E5" s="397"/>
    </row>
    <row r="6" spans="1:5" x14ac:dyDescent="0.2">
      <c r="A6" s="620" t="s">
        <v>277</v>
      </c>
      <c r="B6" s="620"/>
      <c r="C6" s="395"/>
      <c r="D6" s="573" t="s">
        <v>278</v>
      </c>
      <c r="E6" s="573"/>
    </row>
    <row r="7" spans="1:5" ht="13.5" thickBot="1" x14ac:dyDescent="0.25">
      <c r="A7" s="41"/>
      <c r="B7" s="310"/>
      <c r="C7" s="395"/>
      <c r="D7" s="396"/>
      <c r="E7" s="290" t="s">
        <v>279</v>
      </c>
    </row>
    <row r="8" spans="1:5" ht="25.5" x14ac:dyDescent="0.2">
      <c r="A8" s="403" t="s">
        <v>280</v>
      </c>
      <c r="B8" s="199" t="s">
        <v>464</v>
      </c>
      <c r="C8" s="162" t="s">
        <v>295</v>
      </c>
      <c r="D8" s="307" t="s">
        <v>296</v>
      </c>
      <c r="E8" s="308" t="s">
        <v>296</v>
      </c>
    </row>
    <row r="9" spans="1:5" x14ac:dyDescent="0.2">
      <c r="A9" s="404" t="s">
        <v>282</v>
      </c>
      <c r="B9" s="164" t="s">
        <v>283</v>
      </c>
      <c r="C9" s="163" t="s">
        <v>297</v>
      </c>
      <c r="D9" s="164">
        <v>1</v>
      </c>
      <c r="E9" s="164">
        <v>2</v>
      </c>
    </row>
    <row r="10" spans="1:5" x14ac:dyDescent="0.2">
      <c r="A10" s="405">
        <v>1</v>
      </c>
      <c r="B10" s="406" t="s">
        <v>120</v>
      </c>
      <c r="C10" s="163">
        <v>1</v>
      </c>
      <c r="D10" s="407"/>
      <c r="E10" s="407"/>
    </row>
    <row r="11" spans="1:5" x14ac:dyDescent="0.2">
      <c r="A11" s="408" t="s">
        <v>587</v>
      </c>
      <c r="B11" s="192" t="s">
        <v>20</v>
      </c>
      <c r="C11" s="163">
        <f>+C10+1</f>
        <v>2</v>
      </c>
      <c r="D11" s="407"/>
      <c r="E11" s="407"/>
    </row>
    <row r="12" spans="1:5" x14ac:dyDescent="0.2">
      <c r="A12" s="409" t="s">
        <v>300</v>
      </c>
      <c r="B12" s="304" t="s">
        <v>121</v>
      </c>
      <c r="C12" s="410">
        <v>3</v>
      </c>
      <c r="D12" s="411">
        <f>i.04130a!C9+i.04130a!C10+i.04130a!C11</f>
        <v>0</v>
      </c>
      <c r="E12" s="411">
        <f>i.04130a!D9+i.04130a!D10+i.04130a!D11</f>
        <v>0</v>
      </c>
    </row>
    <row r="13" spans="1:5" x14ac:dyDescent="0.2">
      <c r="A13" s="409" t="s">
        <v>302</v>
      </c>
      <c r="B13" s="304" t="s">
        <v>122</v>
      </c>
      <c r="C13" s="410">
        <f>+C12+1</f>
        <v>4</v>
      </c>
      <c r="D13" s="411">
        <f>i.04130a!C12+i.04130a!C13+i.04130a!C14</f>
        <v>0</v>
      </c>
      <c r="E13" s="411">
        <f>i.04130a!D12+i.04130a!D13+i.04130a!D14</f>
        <v>0</v>
      </c>
    </row>
    <row r="14" spans="1:5" x14ac:dyDescent="0.2">
      <c r="A14" s="409" t="s">
        <v>304</v>
      </c>
      <c r="B14" s="304" t="s">
        <v>123</v>
      </c>
      <c r="C14" s="410">
        <v>5</v>
      </c>
      <c r="D14" s="411">
        <f>i.04130a!C15+i.04130a!C16+i.04130a!C17+i.04130a!C18+i.04130a!C19+i.04130a!C20+i.04130a!C21+i.04130a!C22+i.04130a!C23+i.04130a!C24</f>
        <v>0</v>
      </c>
      <c r="E14" s="411">
        <f>i.04130a!D15+i.04130a!D16+i.04130a!D17+i.04130a!D18+i.04130a!D19+i.04130a!D20+i.04130a!D21+i.04130a!D22+i.04130a!D23+i.04130a!D24</f>
        <v>0</v>
      </c>
    </row>
    <row r="15" spans="1:5" x14ac:dyDescent="0.2">
      <c r="A15" s="409" t="s">
        <v>306</v>
      </c>
      <c r="B15" s="304" t="s">
        <v>124</v>
      </c>
      <c r="C15" s="410">
        <f t="shared" ref="C15:C76" si="0">+C14+1</f>
        <v>6</v>
      </c>
      <c r="D15" s="411">
        <f>i.04130a!C25+i.04130a!C26+i.04130a!C27+i.04130a!C28+i.04130a!C29</f>
        <v>0</v>
      </c>
      <c r="E15" s="411">
        <f>i.04130a!D25+i.04130a!D26+i.04130a!D27+i.04130a!D28+i.04130a!D29</f>
        <v>0</v>
      </c>
    </row>
    <row r="16" spans="1:5" x14ac:dyDescent="0.2">
      <c r="A16" s="408" t="s">
        <v>308</v>
      </c>
      <c r="B16" s="412" t="s">
        <v>588</v>
      </c>
      <c r="C16" s="163">
        <f t="shared" si="0"/>
        <v>7</v>
      </c>
      <c r="D16" s="413">
        <f>SUM(D12:D15)</f>
        <v>0</v>
      </c>
      <c r="E16" s="413">
        <f>SUM(E12:E15)</f>
        <v>0</v>
      </c>
    </row>
    <row r="17" spans="1:5" x14ac:dyDescent="0.2">
      <c r="A17" s="408" t="s">
        <v>589</v>
      </c>
      <c r="B17" s="412" t="s">
        <v>125</v>
      </c>
      <c r="C17" s="163">
        <f t="shared" si="0"/>
        <v>8</v>
      </c>
      <c r="D17" s="407"/>
      <c r="E17" s="407"/>
    </row>
    <row r="18" spans="1:5" x14ac:dyDescent="0.2">
      <c r="A18" s="409" t="s">
        <v>315</v>
      </c>
      <c r="B18" s="304" t="s">
        <v>590</v>
      </c>
      <c r="C18" s="410">
        <f t="shared" si="0"/>
        <v>9</v>
      </c>
      <c r="D18" s="411">
        <f>i.04130a!C30-i.04130a!C31</f>
        <v>0</v>
      </c>
      <c r="E18" s="411">
        <f>i.04130a!D30-i.04130a!D31</f>
        <v>0</v>
      </c>
    </row>
    <row r="19" spans="1:5" x14ac:dyDescent="0.2">
      <c r="A19" s="409" t="s">
        <v>317</v>
      </c>
      <c r="B19" s="304" t="s">
        <v>591</v>
      </c>
      <c r="C19" s="410">
        <f>C18+1</f>
        <v>10</v>
      </c>
      <c r="D19" s="411">
        <f>i.04130a!C34-i.04130a!C35+i.04130a!C36-i.04130a!C37+i.04130a!C38-i.04130a!C39</f>
        <v>0</v>
      </c>
      <c r="E19" s="411">
        <f>i.04130a!D34-i.04130a!D35+i.04130a!D36-i.04130a!D37+i.04130a!D38-i.04130a!D39</f>
        <v>0</v>
      </c>
    </row>
    <row r="20" spans="1:5" x14ac:dyDescent="0.2">
      <c r="A20" s="408" t="s">
        <v>319</v>
      </c>
      <c r="B20" s="412" t="s">
        <v>1108</v>
      </c>
      <c r="C20" s="163">
        <f t="shared" si="0"/>
        <v>11</v>
      </c>
      <c r="D20" s="413">
        <f>SUM(D18:D19)</f>
        <v>0</v>
      </c>
      <c r="E20" s="413">
        <f>SUM(E18:E19)</f>
        <v>0</v>
      </c>
    </row>
    <row r="21" spans="1:5" x14ac:dyDescent="0.2">
      <c r="A21" s="408" t="s">
        <v>592</v>
      </c>
      <c r="B21" s="412" t="s">
        <v>126</v>
      </c>
      <c r="C21" s="163">
        <f t="shared" si="0"/>
        <v>12</v>
      </c>
      <c r="D21" s="413"/>
      <c r="E21" s="413"/>
    </row>
    <row r="22" spans="1:5" x14ac:dyDescent="0.2">
      <c r="A22" s="409" t="s">
        <v>593</v>
      </c>
      <c r="B22" s="304" t="s">
        <v>127</v>
      </c>
      <c r="C22" s="410">
        <f t="shared" si="0"/>
        <v>13</v>
      </c>
      <c r="D22" s="411">
        <f>i.04130a!C40-i.04130a!C41+i.04130a!C111</f>
        <v>0</v>
      </c>
      <c r="E22" s="411">
        <f>i.04130a!D40-i.04130a!D41+i.04130a!D111</f>
        <v>0</v>
      </c>
    </row>
    <row r="23" spans="1:5" x14ac:dyDescent="0.2">
      <c r="A23" s="408" t="s">
        <v>594</v>
      </c>
      <c r="B23" s="412" t="s">
        <v>595</v>
      </c>
      <c r="C23" s="163">
        <f t="shared" si="0"/>
        <v>14</v>
      </c>
      <c r="D23" s="413">
        <f>D22</f>
        <v>0</v>
      </c>
      <c r="E23" s="413">
        <f>E22</f>
        <v>0</v>
      </c>
    </row>
    <row r="24" spans="1:5" x14ac:dyDescent="0.2">
      <c r="A24" s="408" t="s">
        <v>596</v>
      </c>
      <c r="B24" s="412" t="s">
        <v>128</v>
      </c>
      <c r="C24" s="163">
        <f t="shared" si="0"/>
        <v>15</v>
      </c>
      <c r="D24" s="413"/>
      <c r="E24" s="413"/>
    </row>
    <row r="25" spans="1:5" x14ac:dyDescent="0.2">
      <c r="A25" s="409" t="s">
        <v>597</v>
      </c>
      <c r="B25" s="304" t="s">
        <v>129</v>
      </c>
      <c r="C25" s="410">
        <f t="shared" si="0"/>
        <v>16</v>
      </c>
      <c r="D25" s="411">
        <f>i.04130a!C42+i.04130a!C43</f>
        <v>0</v>
      </c>
      <c r="E25" s="411">
        <f>i.04130a!D42+i.04130a!D43</f>
        <v>0</v>
      </c>
    </row>
    <row r="26" spans="1:5" x14ac:dyDescent="0.2">
      <c r="A26" s="409" t="s">
        <v>598</v>
      </c>
      <c r="B26" s="304" t="s">
        <v>130</v>
      </c>
      <c r="C26" s="410">
        <f t="shared" si="0"/>
        <v>17</v>
      </c>
      <c r="D26" s="411">
        <f>i.04130a!C162</f>
        <v>0</v>
      </c>
      <c r="E26" s="411">
        <f>i.04130a!D162</f>
        <v>0</v>
      </c>
    </row>
    <row r="27" spans="1:5" x14ac:dyDescent="0.2">
      <c r="A27" s="409" t="s">
        <v>599</v>
      </c>
      <c r="B27" s="414" t="s">
        <v>131</v>
      </c>
      <c r="C27" s="410">
        <f t="shared" si="0"/>
        <v>18</v>
      </c>
      <c r="D27" s="411">
        <f>i.04130a!C44</f>
        <v>0</v>
      </c>
      <c r="E27" s="411">
        <f>i.04130a!D44</f>
        <v>0</v>
      </c>
    </row>
    <row r="28" spans="1:5" x14ac:dyDescent="0.2">
      <c r="A28" s="409" t="s">
        <v>600</v>
      </c>
      <c r="B28" s="414" t="s">
        <v>132</v>
      </c>
      <c r="C28" s="410">
        <f t="shared" si="0"/>
        <v>19</v>
      </c>
      <c r="D28" s="411">
        <f>i.04130a!C66+i.04130a!C67+i.04130a!C68+i.04130a!C69+i.04130a!C70</f>
        <v>0</v>
      </c>
      <c r="E28" s="411">
        <f>i.04130a!D66+i.04130a!D67+i.04130a!D68+i.04130a!D69+i.04130a!D70</f>
        <v>0</v>
      </c>
    </row>
    <row r="29" spans="1:5" x14ac:dyDescent="0.2">
      <c r="A29" s="409" t="s">
        <v>601</v>
      </c>
      <c r="B29" s="414" t="s">
        <v>133</v>
      </c>
      <c r="C29" s="410">
        <f t="shared" si="0"/>
        <v>20</v>
      </c>
      <c r="D29" s="411">
        <f>i.04130a!C71+i.04130a!C72</f>
        <v>0</v>
      </c>
      <c r="E29" s="411">
        <f>i.04130a!D71+i.04130a!D72</f>
        <v>0</v>
      </c>
    </row>
    <row r="30" spans="1:5" x14ac:dyDescent="0.2">
      <c r="A30" s="409" t="s">
        <v>602</v>
      </c>
      <c r="B30" s="414" t="s">
        <v>134</v>
      </c>
      <c r="C30" s="410">
        <f t="shared" si="0"/>
        <v>21</v>
      </c>
      <c r="D30" s="411">
        <f>i.04130a!C73-i.04130a!C74</f>
        <v>0</v>
      </c>
      <c r="E30" s="411">
        <f>i.04130a!D73-i.04130a!D74</f>
        <v>0</v>
      </c>
    </row>
    <row r="31" spans="1:5" x14ac:dyDescent="0.2">
      <c r="A31" s="408" t="s">
        <v>603</v>
      </c>
      <c r="B31" s="415" t="s">
        <v>1109</v>
      </c>
      <c r="C31" s="163">
        <f t="shared" si="0"/>
        <v>22</v>
      </c>
      <c r="D31" s="413">
        <f>SUM(D25:D30)</f>
        <v>0</v>
      </c>
      <c r="E31" s="413">
        <f>SUM(E25:E30)</f>
        <v>0</v>
      </c>
    </row>
    <row r="32" spans="1:5" x14ac:dyDescent="0.2">
      <c r="A32" s="408" t="s">
        <v>604</v>
      </c>
      <c r="B32" s="415" t="s">
        <v>21</v>
      </c>
      <c r="C32" s="163">
        <f t="shared" si="0"/>
        <v>23</v>
      </c>
      <c r="D32" s="407"/>
      <c r="E32" s="407"/>
    </row>
    <row r="33" spans="1:5" x14ac:dyDescent="0.2">
      <c r="A33" s="409" t="s">
        <v>605</v>
      </c>
      <c r="B33" s="302" t="s">
        <v>135</v>
      </c>
      <c r="C33" s="410">
        <f t="shared" si="0"/>
        <v>24</v>
      </c>
      <c r="D33" s="411">
        <f>i.04130a!C45+i.04130a!C46+i.04130a!C47+i.04130a!C48+i.04130a!C49+i.04130a!C50+i.04130a!C51</f>
        <v>0</v>
      </c>
      <c r="E33" s="411">
        <f>i.04130a!D45+i.04130a!D46+i.04130a!D47+i.04130a!D48+i.04130a!D49+i.04130a!D50+i.04130a!D51</f>
        <v>0</v>
      </c>
    </row>
    <row r="34" spans="1:5" x14ac:dyDescent="0.2">
      <c r="A34" s="409" t="s">
        <v>606</v>
      </c>
      <c r="B34" s="302" t="s">
        <v>136</v>
      </c>
      <c r="C34" s="410">
        <f t="shared" si="0"/>
        <v>25</v>
      </c>
      <c r="D34" s="411">
        <f>i.04130a!C52+i.04130a!C53+i.04130a!C54+i.04130a!C55+i.04130a!C56-i.04130a!C57+i.04130a!C58-i.04130a!C59</f>
        <v>0</v>
      </c>
      <c r="E34" s="411">
        <f>i.04130a!D52+i.04130a!D53+i.04130a!D54+i.04130a!D55+i.04130a!D56-i.04130a!D57+i.04130a!D58-i.04130a!D59</f>
        <v>0</v>
      </c>
    </row>
    <row r="35" spans="1:5" x14ac:dyDescent="0.2">
      <c r="A35" s="409" t="s">
        <v>607</v>
      </c>
      <c r="B35" s="302" t="s">
        <v>137</v>
      </c>
      <c r="C35" s="410">
        <f t="shared" si="0"/>
        <v>26</v>
      </c>
      <c r="D35" s="411">
        <f>i.04130a!C60+i.04130a!C61+i.04130a!C62-i.04130a!C63</f>
        <v>0</v>
      </c>
      <c r="E35" s="411">
        <f>i.04130a!D60+i.04130a!D61+i.04130a!D62-i.04130a!D63</f>
        <v>0</v>
      </c>
    </row>
    <row r="36" spans="1:5" x14ac:dyDescent="0.2">
      <c r="A36" s="409" t="s">
        <v>608</v>
      </c>
      <c r="B36" s="302" t="s">
        <v>138</v>
      </c>
      <c r="C36" s="410">
        <f t="shared" si="0"/>
        <v>27</v>
      </c>
      <c r="D36" s="411">
        <f>i.04130a!C64+i.04130a!C65</f>
        <v>0</v>
      </c>
      <c r="E36" s="411">
        <f>i.04130a!D64+i.04130a!D65</f>
        <v>0</v>
      </c>
    </row>
    <row r="37" spans="1:5" x14ac:dyDescent="0.2">
      <c r="A37" s="408" t="s">
        <v>609</v>
      </c>
      <c r="B37" s="415" t="s">
        <v>1110</v>
      </c>
      <c r="C37" s="163">
        <f t="shared" si="0"/>
        <v>28</v>
      </c>
      <c r="D37" s="413">
        <f>SUM(D33:D36)</f>
        <v>0</v>
      </c>
      <c r="E37" s="413">
        <f>SUM(E33:E36)</f>
        <v>0</v>
      </c>
    </row>
    <row r="38" spans="1:5" x14ac:dyDescent="0.2">
      <c r="A38" s="408" t="s">
        <v>610</v>
      </c>
      <c r="B38" s="415" t="s">
        <v>139</v>
      </c>
      <c r="C38" s="163">
        <f t="shared" si="0"/>
        <v>29</v>
      </c>
      <c r="D38" s="413"/>
      <c r="E38" s="413"/>
    </row>
    <row r="39" spans="1:5" x14ac:dyDescent="0.2">
      <c r="A39" s="409" t="s">
        <v>611</v>
      </c>
      <c r="B39" s="414" t="s">
        <v>140</v>
      </c>
      <c r="C39" s="410">
        <v>30</v>
      </c>
      <c r="D39" s="411">
        <f>i.04130a!C75</f>
        <v>0</v>
      </c>
      <c r="E39" s="411">
        <f>i.04130a!D75</f>
        <v>0</v>
      </c>
    </row>
    <row r="40" spans="1:5" x14ac:dyDescent="0.2">
      <c r="A40" s="409" t="s">
        <v>648</v>
      </c>
      <c r="B40" s="414" t="s">
        <v>141</v>
      </c>
      <c r="C40" s="410">
        <v>31</v>
      </c>
      <c r="D40" s="411">
        <f>i.04130a!C76+i.04130a!C77</f>
        <v>0</v>
      </c>
      <c r="E40" s="411">
        <f>i.04130a!D76+i.04130a!D77</f>
        <v>0</v>
      </c>
    </row>
    <row r="41" spans="1:5" x14ac:dyDescent="0.2">
      <c r="A41" s="409" t="s">
        <v>649</v>
      </c>
      <c r="B41" s="414" t="s">
        <v>142</v>
      </c>
      <c r="C41" s="410">
        <v>32</v>
      </c>
      <c r="D41" s="411">
        <f>i.04130a!C78+i.04130a!C79+i.04130a!C80</f>
        <v>0</v>
      </c>
      <c r="E41" s="411">
        <f>i.04130a!D78+i.04130a!D79+i.04130a!D80</f>
        <v>0</v>
      </c>
    </row>
    <row r="42" spans="1:5" x14ac:dyDescent="0.2">
      <c r="A42" s="408" t="s">
        <v>612</v>
      </c>
      <c r="B42" s="415" t="s">
        <v>1111</v>
      </c>
      <c r="C42" s="163">
        <v>33</v>
      </c>
      <c r="D42" s="413">
        <f>SUM(D39:D41)</f>
        <v>0</v>
      </c>
      <c r="E42" s="413">
        <f>SUM(E39:E41)</f>
        <v>0</v>
      </c>
    </row>
    <row r="43" spans="1:5" x14ac:dyDescent="0.2">
      <c r="A43" s="408" t="s">
        <v>613</v>
      </c>
      <c r="B43" s="415" t="s">
        <v>143</v>
      </c>
      <c r="C43" s="163">
        <v>34</v>
      </c>
      <c r="D43" s="413">
        <f>i.04130a!C81-i.04130a!C82+i.04130a!C83-i.04130a!C84+i.04130a!C85-i.04130a!C86+i.04130a!C87-i.04130a!C88+i.04130a!C89-i.04130a!C90+i.04130a!C91-i.04130a!C92+i.04130a!C93-i.04130a!C94+i.04130a!C95-i.04130a!C96+i.04130a!C97</f>
        <v>0</v>
      </c>
      <c r="E43" s="413">
        <f>i.04130a!D81-i.04130a!D82+i.04130a!D83-i.04130a!D84+i.04130a!D85-i.04130a!D86+i.04130a!D87-i.04130a!D88+i.04130a!D89-i.04130a!D90+i.04130a!D91-i.04130a!D92+i.04130a!D93-i.04130a!D94+i.04130a!D95-i.04130a!D96+i.04130a!D97</f>
        <v>0</v>
      </c>
    </row>
    <row r="44" spans="1:5" x14ac:dyDescent="0.2">
      <c r="A44" s="408" t="s">
        <v>614</v>
      </c>
      <c r="B44" s="415" t="s">
        <v>144</v>
      </c>
      <c r="C44" s="163">
        <f t="shared" si="0"/>
        <v>35</v>
      </c>
      <c r="D44" s="413">
        <f>i.04130a!C98-i.04130a!C99+i.04130a!C100-i.04130a!C101+i.04130a!C102-i.04130a!C103+i.04130a!C104-i.04130a!C105+i.04130a!C106-i.04130a!C107+i.04130a!C108-i.04130a!C109</f>
        <v>0</v>
      </c>
      <c r="E44" s="413">
        <f>i.04130a!D98-i.04130a!D99+i.04130a!D100-i.04130a!D101+i.04130a!D102-i.04130a!D103+i.04130a!D104-i.04130a!D105+i.04130a!D106-i.04130a!D107+i.04130a!D108-i.04130a!D109</f>
        <v>0</v>
      </c>
    </row>
    <row r="45" spans="1:5" x14ac:dyDescent="0.2">
      <c r="A45" s="408" t="s">
        <v>615</v>
      </c>
      <c r="B45" s="415" t="s">
        <v>145</v>
      </c>
      <c r="C45" s="163">
        <f t="shared" si="0"/>
        <v>36</v>
      </c>
      <c r="D45" s="413">
        <f>i.04130a!C110</f>
        <v>0</v>
      </c>
      <c r="E45" s="413">
        <f>i.04130a!D110</f>
        <v>0</v>
      </c>
    </row>
    <row r="46" spans="1:5" ht="13.5" thickBot="1" x14ac:dyDescent="0.25">
      <c r="A46" s="408" t="s">
        <v>616</v>
      </c>
      <c r="B46" s="416" t="s">
        <v>1112</v>
      </c>
      <c r="C46" s="417">
        <f t="shared" si="0"/>
        <v>37</v>
      </c>
      <c r="D46" s="418">
        <f>SUM(D16,D20,D23,D31,D37,D42,D43,D44,D45)</f>
        <v>0</v>
      </c>
      <c r="E46" s="418">
        <f>SUM(E16,E20,E23,E31,E37,E42,E43,E44,E45)</f>
        <v>0</v>
      </c>
    </row>
    <row r="47" spans="1:5" x14ac:dyDescent="0.2">
      <c r="A47" s="404" t="s">
        <v>236</v>
      </c>
      <c r="B47" s="419" t="s">
        <v>147</v>
      </c>
      <c r="C47" s="420">
        <f t="shared" si="0"/>
        <v>38</v>
      </c>
      <c r="D47" s="421"/>
      <c r="E47" s="421"/>
    </row>
    <row r="48" spans="1:5" x14ac:dyDescent="0.2">
      <c r="A48" s="404" t="s">
        <v>617</v>
      </c>
      <c r="B48" s="422" t="s">
        <v>148</v>
      </c>
      <c r="C48" s="163">
        <f t="shared" si="0"/>
        <v>39</v>
      </c>
      <c r="D48" s="413"/>
      <c r="E48" s="413"/>
    </row>
    <row r="49" spans="1:5" x14ac:dyDescent="0.2">
      <c r="A49" s="404" t="s">
        <v>348</v>
      </c>
      <c r="B49" s="415" t="s">
        <v>149</v>
      </c>
      <c r="C49" s="163">
        <f t="shared" si="0"/>
        <v>40</v>
      </c>
      <c r="D49" s="413"/>
      <c r="E49" s="413"/>
    </row>
    <row r="50" spans="1:5" x14ac:dyDescent="0.2">
      <c r="A50" s="409" t="s">
        <v>618</v>
      </c>
      <c r="B50" s="414" t="s">
        <v>150</v>
      </c>
      <c r="C50" s="410">
        <f t="shared" si="0"/>
        <v>41</v>
      </c>
      <c r="D50" s="411">
        <f>i.04130a!C112</f>
        <v>0</v>
      </c>
      <c r="E50" s="411">
        <f>i.04130a!D112</f>
        <v>0</v>
      </c>
    </row>
    <row r="51" spans="1:5" x14ac:dyDescent="0.2">
      <c r="A51" s="409" t="s">
        <v>619</v>
      </c>
      <c r="B51" s="414" t="s">
        <v>151</v>
      </c>
      <c r="C51" s="410">
        <f t="shared" si="0"/>
        <v>42</v>
      </c>
      <c r="D51" s="411">
        <f>i.04130a!C113</f>
        <v>0</v>
      </c>
      <c r="E51" s="411">
        <f>i.04130a!D113</f>
        <v>0</v>
      </c>
    </row>
    <row r="52" spans="1:5" x14ac:dyDescent="0.2">
      <c r="A52" s="409" t="s">
        <v>620</v>
      </c>
      <c r="B52" s="414" t="s">
        <v>152</v>
      </c>
      <c r="C52" s="410">
        <f t="shared" si="0"/>
        <v>43</v>
      </c>
      <c r="D52" s="411">
        <f>i.04130a!C114</f>
        <v>0</v>
      </c>
      <c r="E52" s="411">
        <f>i.04130a!D114</f>
        <v>0</v>
      </c>
    </row>
    <row r="53" spans="1:5" x14ac:dyDescent="0.2">
      <c r="A53" s="404" t="s">
        <v>621</v>
      </c>
      <c r="B53" s="415" t="s">
        <v>1113</v>
      </c>
      <c r="C53" s="163">
        <f t="shared" si="0"/>
        <v>44</v>
      </c>
      <c r="D53" s="413">
        <f>SUM(D50:D52)</f>
        <v>0</v>
      </c>
      <c r="E53" s="413">
        <f>SUM(E50:E52)</f>
        <v>0</v>
      </c>
    </row>
    <row r="54" spans="1:5" x14ac:dyDescent="0.2">
      <c r="A54" s="404" t="s">
        <v>350</v>
      </c>
      <c r="B54" s="415" t="s">
        <v>153</v>
      </c>
      <c r="C54" s="163">
        <f t="shared" si="0"/>
        <v>45</v>
      </c>
      <c r="D54" s="413"/>
      <c r="E54" s="413"/>
    </row>
    <row r="55" spans="1:5" x14ac:dyDescent="0.2">
      <c r="A55" s="409" t="s">
        <v>622</v>
      </c>
      <c r="B55" s="414" t="s">
        <v>154</v>
      </c>
      <c r="C55" s="410">
        <f t="shared" si="0"/>
        <v>46</v>
      </c>
      <c r="D55" s="411">
        <f>i.04130a!C115</f>
        <v>0</v>
      </c>
      <c r="E55" s="411">
        <f>i.04130a!D115</f>
        <v>0</v>
      </c>
    </row>
    <row r="56" spans="1:5" x14ac:dyDescent="0.2">
      <c r="A56" s="409" t="s">
        <v>623</v>
      </c>
      <c r="B56" s="414" t="s">
        <v>155</v>
      </c>
      <c r="C56" s="410">
        <f t="shared" si="0"/>
        <v>47</v>
      </c>
      <c r="D56" s="411">
        <f>i.04130a!C116</f>
        <v>0</v>
      </c>
      <c r="E56" s="411">
        <f>i.04130a!D116</f>
        <v>0</v>
      </c>
    </row>
    <row r="57" spans="1:5" x14ac:dyDescent="0.2">
      <c r="A57" s="409" t="s">
        <v>624</v>
      </c>
      <c r="B57" s="414" t="s">
        <v>156</v>
      </c>
      <c r="C57" s="410">
        <f t="shared" si="0"/>
        <v>48</v>
      </c>
      <c r="D57" s="411">
        <f>i.04130a!C117</f>
        <v>0</v>
      </c>
      <c r="E57" s="411">
        <f>i.04130a!D117</f>
        <v>0</v>
      </c>
    </row>
    <row r="58" spans="1:5" x14ac:dyDescent="0.2">
      <c r="A58" s="409" t="s">
        <v>625</v>
      </c>
      <c r="B58" s="414" t="s">
        <v>157</v>
      </c>
      <c r="C58" s="410">
        <f t="shared" si="0"/>
        <v>49</v>
      </c>
      <c r="D58" s="411">
        <f>i.04130a!C118</f>
        <v>0</v>
      </c>
      <c r="E58" s="411">
        <f>i.04130a!D118</f>
        <v>0</v>
      </c>
    </row>
    <row r="59" spans="1:5" x14ac:dyDescent="0.2">
      <c r="A59" s="409" t="s">
        <v>626</v>
      </c>
      <c r="B59" s="414" t="s">
        <v>158</v>
      </c>
      <c r="C59" s="410">
        <f t="shared" si="0"/>
        <v>50</v>
      </c>
      <c r="D59" s="411">
        <f>i.04130a!C119</f>
        <v>0</v>
      </c>
      <c r="E59" s="411">
        <f>i.04130a!D119</f>
        <v>0</v>
      </c>
    </row>
    <row r="60" spans="1:5" x14ac:dyDescent="0.2">
      <c r="A60" s="409" t="s">
        <v>627</v>
      </c>
      <c r="B60" s="414" t="s">
        <v>159</v>
      </c>
      <c r="C60" s="410">
        <f t="shared" si="0"/>
        <v>51</v>
      </c>
      <c r="D60" s="411">
        <f>i.04130a!C120+i.04130a!C147</f>
        <v>0</v>
      </c>
      <c r="E60" s="411">
        <f>i.04130a!D120+i.04130a!D147</f>
        <v>0</v>
      </c>
    </row>
    <row r="61" spans="1:5" x14ac:dyDescent="0.2">
      <c r="A61" s="404" t="s">
        <v>628</v>
      </c>
      <c r="B61" s="415" t="s">
        <v>1114</v>
      </c>
      <c r="C61" s="163">
        <f t="shared" si="0"/>
        <v>52</v>
      </c>
      <c r="D61" s="413">
        <f>SUM(D55:D60)</f>
        <v>0</v>
      </c>
      <c r="E61" s="413">
        <f>SUM(E55:E60)</f>
        <v>0</v>
      </c>
    </row>
    <row r="62" spans="1:5" x14ac:dyDescent="0.2">
      <c r="A62" s="404" t="s">
        <v>352</v>
      </c>
      <c r="B62" s="415" t="s">
        <v>160</v>
      </c>
      <c r="C62" s="163">
        <f t="shared" si="0"/>
        <v>53</v>
      </c>
      <c r="D62" s="413"/>
      <c r="E62" s="413"/>
    </row>
    <row r="63" spans="1:5" x14ac:dyDescent="0.2">
      <c r="A63" s="409" t="s">
        <v>629</v>
      </c>
      <c r="B63" s="414" t="s">
        <v>161</v>
      </c>
      <c r="C63" s="410">
        <f t="shared" si="0"/>
        <v>54</v>
      </c>
      <c r="D63" s="411">
        <f>i.04130a!C121</f>
        <v>0</v>
      </c>
      <c r="E63" s="411">
        <f>i.04130a!D121</f>
        <v>0</v>
      </c>
    </row>
    <row r="64" spans="1:5" x14ac:dyDescent="0.2">
      <c r="A64" s="409" t="s">
        <v>630</v>
      </c>
      <c r="B64" s="414" t="s">
        <v>162</v>
      </c>
      <c r="C64" s="410">
        <f t="shared" si="0"/>
        <v>55</v>
      </c>
      <c r="D64" s="411">
        <f>i.04130a!C122</f>
        <v>0</v>
      </c>
      <c r="E64" s="411">
        <f>i.04130a!D122</f>
        <v>0</v>
      </c>
    </row>
    <row r="65" spans="1:5" x14ac:dyDescent="0.2">
      <c r="A65" s="409" t="s">
        <v>631</v>
      </c>
      <c r="B65" s="414" t="s">
        <v>163</v>
      </c>
      <c r="C65" s="410">
        <f t="shared" si="0"/>
        <v>56</v>
      </c>
      <c r="D65" s="411">
        <f>i.04130a!C124</f>
        <v>0</v>
      </c>
      <c r="E65" s="411">
        <f>i.04130a!D124</f>
        <v>0</v>
      </c>
    </row>
    <row r="66" spans="1:5" x14ac:dyDescent="0.2">
      <c r="A66" s="409" t="s">
        <v>632</v>
      </c>
      <c r="B66" s="414" t="s">
        <v>164</v>
      </c>
      <c r="C66" s="410">
        <f t="shared" si="0"/>
        <v>57</v>
      </c>
      <c r="D66" s="411">
        <f>i.04130a!C125</f>
        <v>0</v>
      </c>
      <c r="E66" s="411">
        <f>i.04130a!D125</f>
        <v>0</v>
      </c>
    </row>
    <row r="67" spans="1:5" x14ac:dyDescent="0.2">
      <c r="A67" s="409" t="s">
        <v>633</v>
      </c>
      <c r="B67" s="414" t="s">
        <v>165</v>
      </c>
      <c r="C67" s="410">
        <f t="shared" si="0"/>
        <v>58</v>
      </c>
      <c r="D67" s="411">
        <f>i.04130a!C126</f>
        <v>0</v>
      </c>
      <c r="E67" s="411">
        <f>i.04130a!D126</f>
        <v>0</v>
      </c>
    </row>
    <row r="68" spans="1:5" x14ac:dyDescent="0.2">
      <c r="A68" s="409" t="s">
        <v>634</v>
      </c>
      <c r="B68" s="414" t="s">
        <v>166</v>
      </c>
      <c r="C68" s="410">
        <f t="shared" si="0"/>
        <v>59</v>
      </c>
      <c r="D68" s="411">
        <f>i.04130a!C127</f>
        <v>0</v>
      </c>
      <c r="E68" s="411">
        <f>i.04130a!D127</f>
        <v>0</v>
      </c>
    </row>
    <row r="69" spans="1:5" x14ac:dyDescent="0.2">
      <c r="A69" s="409" t="s">
        <v>635</v>
      </c>
      <c r="B69" s="414" t="s">
        <v>167</v>
      </c>
      <c r="C69" s="410">
        <f t="shared" si="0"/>
        <v>60</v>
      </c>
      <c r="D69" s="411">
        <f>i.04130a!C128</f>
        <v>0</v>
      </c>
      <c r="E69" s="411">
        <f>i.04130a!D128</f>
        <v>0</v>
      </c>
    </row>
    <row r="70" spans="1:5" x14ac:dyDescent="0.2">
      <c r="A70" s="409" t="s">
        <v>636</v>
      </c>
      <c r="B70" s="414" t="s">
        <v>168</v>
      </c>
      <c r="C70" s="410">
        <f t="shared" si="0"/>
        <v>61</v>
      </c>
      <c r="D70" s="411">
        <f>i.04130a!C129</f>
        <v>0</v>
      </c>
      <c r="E70" s="411">
        <f>i.04130a!D129</f>
        <v>0</v>
      </c>
    </row>
    <row r="71" spans="1:5" x14ac:dyDescent="0.2">
      <c r="A71" s="409" t="s">
        <v>637</v>
      </c>
      <c r="B71" s="414" t="s">
        <v>169</v>
      </c>
      <c r="C71" s="410">
        <f t="shared" si="0"/>
        <v>62</v>
      </c>
      <c r="D71" s="411">
        <f>i.04130a!C130</f>
        <v>0</v>
      </c>
      <c r="E71" s="411">
        <f>i.04130a!D130</f>
        <v>0</v>
      </c>
    </row>
    <row r="72" spans="1:5" x14ac:dyDescent="0.2">
      <c r="A72" s="409" t="s">
        <v>638</v>
      </c>
      <c r="B72" s="414" t="s">
        <v>170</v>
      </c>
      <c r="C72" s="410">
        <f t="shared" si="0"/>
        <v>63</v>
      </c>
      <c r="D72" s="411">
        <f>i.04130a!C163</f>
        <v>0</v>
      </c>
      <c r="E72" s="411">
        <f>i.04130a!D163</f>
        <v>0</v>
      </c>
    </row>
    <row r="73" spans="1:5" x14ac:dyDescent="0.2">
      <c r="A73" s="409" t="s">
        <v>639</v>
      </c>
      <c r="B73" s="414" t="s">
        <v>160</v>
      </c>
      <c r="C73" s="410">
        <f t="shared" si="0"/>
        <v>64</v>
      </c>
      <c r="D73" s="411">
        <f>i.04130a!C123+i.04130a!C131</f>
        <v>0</v>
      </c>
      <c r="E73" s="411">
        <f>i.04130a!D123+i.04130a!D131</f>
        <v>0</v>
      </c>
    </row>
    <row r="74" spans="1:5" x14ac:dyDescent="0.2">
      <c r="A74" s="404" t="s">
        <v>640</v>
      </c>
      <c r="B74" s="415" t="s">
        <v>1115</v>
      </c>
      <c r="C74" s="163">
        <f t="shared" si="0"/>
        <v>65</v>
      </c>
      <c r="D74" s="413">
        <f>SUM(D63:D73)</f>
        <v>0</v>
      </c>
      <c r="E74" s="413">
        <f>SUM(E63:E73)</f>
        <v>0</v>
      </c>
    </row>
    <row r="75" spans="1:5" x14ac:dyDescent="0.2">
      <c r="A75" s="404" t="s">
        <v>354</v>
      </c>
      <c r="B75" s="422" t="s">
        <v>171</v>
      </c>
      <c r="C75" s="163">
        <f t="shared" si="0"/>
        <v>66</v>
      </c>
      <c r="D75" s="413">
        <f>i.04130a!C132</f>
        <v>0</v>
      </c>
      <c r="E75" s="413">
        <f>i.04130a!D132</f>
        <v>0</v>
      </c>
    </row>
    <row r="76" spans="1:5" x14ac:dyDescent="0.2">
      <c r="A76" s="404" t="s">
        <v>356</v>
      </c>
      <c r="B76" s="422" t="s">
        <v>172</v>
      </c>
      <c r="C76" s="163">
        <f t="shared" si="0"/>
        <v>67</v>
      </c>
      <c r="D76" s="413">
        <f>i.04130a!C133</f>
        <v>0</v>
      </c>
      <c r="E76" s="413">
        <f>i.04130a!D133</f>
        <v>0</v>
      </c>
    </row>
    <row r="77" spans="1:5" x14ac:dyDescent="0.2">
      <c r="A77" s="404" t="s">
        <v>358</v>
      </c>
      <c r="B77" s="422" t="s">
        <v>650</v>
      </c>
      <c r="C77" s="163">
        <v>68</v>
      </c>
      <c r="D77" s="413">
        <f>i.04130a!C134</f>
        <v>0</v>
      </c>
      <c r="E77" s="413">
        <f>i.04130a!D134</f>
        <v>0</v>
      </c>
    </row>
    <row r="78" spans="1:5" x14ac:dyDescent="0.2">
      <c r="A78" s="404" t="s">
        <v>360</v>
      </c>
      <c r="B78" s="422" t="s">
        <v>173</v>
      </c>
      <c r="C78" s="163">
        <v>69</v>
      </c>
      <c r="D78" s="413"/>
      <c r="E78" s="413"/>
    </row>
    <row r="79" spans="1:5" x14ac:dyDescent="0.2">
      <c r="A79" s="409" t="s">
        <v>651</v>
      </c>
      <c r="B79" s="300" t="s">
        <v>174</v>
      </c>
      <c r="C79" s="410">
        <f>+C78+1</f>
        <v>70</v>
      </c>
      <c r="D79" s="423">
        <f>i.04130a!C143</f>
        <v>0</v>
      </c>
      <c r="E79" s="423">
        <f>i.04130a!D143</f>
        <v>0</v>
      </c>
    </row>
    <row r="80" spans="1:5" x14ac:dyDescent="0.2">
      <c r="A80" s="409" t="s">
        <v>652</v>
      </c>
      <c r="B80" s="300" t="s">
        <v>175</v>
      </c>
      <c r="C80" s="410">
        <f t="shared" ref="C80:C95" si="1">+C79+1</f>
        <v>71</v>
      </c>
      <c r="D80" s="423">
        <f>i.04130a!C144</f>
        <v>0</v>
      </c>
      <c r="E80" s="423">
        <f>i.04130a!D144</f>
        <v>0</v>
      </c>
    </row>
    <row r="81" spans="1:5" x14ac:dyDescent="0.2">
      <c r="A81" s="409" t="s">
        <v>653</v>
      </c>
      <c r="B81" s="300" t="s">
        <v>176</v>
      </c>
      <c r="C81" s="410">
        <v>72</v>
      </c>
      <c r="D81" s="423">
        <f>i.04130a!C145</f>
        <v>0</v>
      </c>
      <c r="E81" s="423">
        <f>i.04130a!D145</f>
        <v>0</v>
      </c>
    </row>
    <row r="82" spans="1:5" x14ac:dyDescent="0.2">
      <c r="A82" s="409" t="s">
        <v>654</v>
      </c>
      <c r="B82" s="302" t="s">
        <v>177</v>
      </c>
      <c r="C82" s="410">
        <v>73</v>
      </c>
      <c r="D82" s="423">
        <f>i.04130a!C146</f>
        <v>0</v>
      </c>
      <c r="E82" s="423">
        <f>i.04130a!D146</f>
        <v>0</v>
      </c>
    </row>
    <row r="83" spans="1:5" x14ac:dyDescent="0.2">
      <c r="A83" s="404" t="s">
        <v>654</v>
      </c>
      <c r="B83" s="422" t="s">
        <v>1116</v>
      </c>
      <c r="C83" s="163">
        <f>C82+1</f>
        <v>74</v>
      </c>
      <c r="D83" s="424">
        <f>SUM(D79:D82)</f>
        <v>0</v>
      </c>
      <c r="E83" s="424">
        <f>SUM(E79:E82)</f>
        <v>0</v>
      </c>
    </row>
    <row r="84" spans="1:5" ht="13.5" thickBot="1" x14ac:dyDescent="0.25">
      <c r="A84" s="425" t="s">
        <v>655</v>
      </c>
      <c r="B84" s="416" t="s">
        <v>641</v>
      </c>
      <c r="C84" s="417">
        <f t="shared" si="1"/>
        <v>75</v>
      </c>
      <c r="D84" s="426">
        <f>+D53+D61+D74+D75+D76+D83+D77+D75</f>
        <v>0</v>
      </c>
      <c r="E84" s="426">
        <f>+E53+E61+E74+E75+E76+E83+E77+E75</f>
        <v>0</v>
      </c>
    </row>
    <row r="85" spans="1:5" x14ac:dyDescent="0.2">
      <c r="A85" s="427" t="s">
        <v>642</v>
      </c>
      <c r="B85" s="428" t="s">
        <v>178</v>
      </c>
      <c r="C85" s="420">
        <f t="shared" si="1"/>
        <v>76</v>
      </c>
      <c r="D85" s="421"/>
      <c r="E85" s="421"/>
    </row>
    <row r="86" spans="1:5" x14ac:dyDescent="0.2">
      <c r="A86" s="404" t="s">
        <v>362</v>
      </c>
      <c r="B86" s="412" t="s">
        <v>179</v>
      </c>
      <c r="C86" s="163">
        <f t="shared" si="1"/>
        <v>77</v>
      </c>
      <c r="D86" s="413">
        <f>i.04130a!C148+i.04130a!C149</f>
        <v>0</v>
      </c>
      <c r="E86" s="413">
        <f>i.04130a!D148+i.04130a!D149</f>
        <v>0</v>
      </c>
    </row>
    <row r="87" spans="1:5" x14ac:dyDescent="0.2">
      <c r="A87" s="404" t="s">
        <v>364</v>
      </c>
      <c r="B87" s="412" t="s">
        <v>3</v>
      </c>
      <c r="C87" s="163">
        <f t="shared" si="1"/>
        <v>78</v>
      </c>
      <c r="D87" s="413">
        <f>i.04130a!C152+i.04130a!C153</f>
        <v>0</v>
      </c>
      <c r="E87" s="413">
        <f>i.04130a!D152+i.04130a!D153</f>
        <v>0</v>
      </c>
    </row>
    <row r="88" spans="1:5" x14ac:dyDescent="0.2">
      <c r="A88" s="404" t="s">
        <v>366</v>
      </c>
      <c r="B88" s="412" t="s">
        <v>4</v>
      </c>
      <c r="C88" s="163">
        <f t="shared" si="1"/>
        <v>79</v>
      </c>
      <c r="D88" s="413">
        <f>i.04130a!C150+i.04130a!C151</f>
        <v>0</v>
      </c>
      <c r="E88" s="413">
        <f>i.04130a!D150+i.04130a!D151</f>
        <v>0</v>
      </c>
    </row>
    <row r="89" spans="1:5" x14ac:dyDescent="0.2">
      <c r="A89" s="404" t="s">
        <v>368</v>
      </c>
      <c r="B89" s="412" t="s">
        <v>656</v>
      </c>
      <c r="C89" s="163">
        <v>80</v>
      </c>
      <c r="D89" s="413">
        <f>i.04130a!C154</f>
        <v>0</v>
      </c>
      <c r="E89" s="413">
        <f>i.04130a!D154</f>
        <v>0</v>
      </c>
    </row>
    <row r="90" spans="1:5" x14ac:dyDescent="0.2">
      <c r="A90" s="404" t="s">
        <v>370</v>
      </c>
      <c r="B90" s="412" t="s">
        <v>180</v>
      </c>
      <c r="C90" s="163">
        <v>81</v>
      </c>
      <c r="D90" s="413">
        <f>i.04130a!C155</f>
        <v>0</v>
      </c>
      <c r="E90" s="413">
        <f>i.04130a!D155</f>
        <v>0</v>
      </c>
    </row>
    <row r="91" spans="1:5" x14ac:dyDescent="0.2">
      <c r="A91" s="404" t="s">
        <v>643</v>
      </c>
      <c r="B91" s="412" t="s">
        <v>7</v>
      </c>
      <c r="C91" s="163">
        <f t="shared" si="1"/>
        <v>82</v>
      </c>
      <c r="D91" s="413">
        <f>i.04130a!C160</f>
        <v>0</v>
      </c>
      <c r="E91" s="413">
        <f>i.04130a!D160</f>
        <v>0</v>
      </c>
    </row>
    <row r="92" spans="1:5" x14ac:dyDescent="0.2">
      <c r="A92" s="404" t="s">
        <v>644</v>
      </c>
      <c r="B92" s="412" t="s">
        <v>8</v>
      </c>
      <c r="C92" s="163">
        <f t="shared" si="1"/>
        <v>83</v>
      </c>
      <c r="D92" s="413">
        <f>i.04130a!C157+i.04130a!C159+i.04130a!C161</f>
        <v>0</v>
      </c>
      <c r="E92" s="413">
        <f>i.04130a!D157+i.04130a!D159+i.04130a!D161</f>
        <v>0</v>
      </c>
    </row>
    <row r="93" spans="1:5" x14ac:dyDescent="0.2">
      <c r="A93" s="404" t="s">
        <v>645</v>
      </c>
      <c r="B93" s="412" t="s">
        <v>181</v>
      </c>
      <c r="C93" s="163">
        <f t="shared" si="1"/>
        <v>84</v>
      </c>
      <c r="D93" s="413">
        <f>i.04130a!C156</f>
        <v>0</v>
      </c>
      <c r="E93" s="413">
        <f>i.04130a!D156</f>
        <v>0</v>
      </c>
    </row>
    <row r="94" spans="1:5" ht="13.5" thickBot="1" x14ac:dyDescent="0.25">
      <c r="A94" s="404" t="s">
        <v>657</v>
      </c>
      <c r="B94" s="429" t="s">
        <v>1117</v>
      </c>
      <c r="C94" s="430">
        <f t="shared" si="1"/>
        <v>85</v>
      </c>
      <c r="D94" s="431">
        <f>SUM(D86:D93)</f>
        <v>0</v>
      </c>
      <c r="E94" s="431">
        <f>SUM(E86:E93)</f>
        <v>0</v>
      </c>
    </row>
    <row r="95" spans="1:5" ht="13.5" thickBot="1" x14ac:dyDescent="0.25">
      <c r="A95" s="432" t="s">
        <v>646</v>
      </c>
      <c r="B95" s="433" t="s">
        <v>647</v>
      </c>
      <c r="C95" s="434">
        <f t="shared" si="1"/>
        <v>86</v>
      </c>
      <c r="D95" s="435">
        <f>SUM(D84,D94)</f>
        <v>0</v>
      </c>
      <c r="E95" s="435">
        <f>SUM(E84,E94)</f>
        <v>0</v>
      </c>
    </row>
    <row r="96" spans="1:5" x14ac:dyDescent="0.2">
      <c r="A96" s="436"/>
      <c r="B96" s="437"/>
      <c r="C96" s="438"/>
      <c r="D96" s="439"/>
      <c r="E96" s="440"/>
    </row>
    <row r="97" spans="1:5" x14ac:dyDescent="0.2">
      <c r="A97" s="396"/>
      <c r="B97" s="441"/>
      <c r="C97" s="441"/>
      <c r="D97" s="441"/>
      <c r="E97" s="441"/>
    </row>
    <row r="98" spans="1:5" x14ac:dyDescent="0.2">
      <c r="A98" s="436"/>
      <c r="B98" s="2" t="s">
        <v>285</v>
      </c>
      <c r="C98" s="394"/>
      <c r="D98" s="4"/>
      <c r="E98" s="4"/>
    </row>
    <row r="99" spans="1:5" x14ac:dyDescent="0.2">
      <c r="A99" s="436"/>
      <c r="B99" s="5"/>
      <c r="C99" s="394"/>
      <c r="D99" s="4"/>
      <c r="E99" s="4"/>
    </row>
    <row r="100" spans="1:5" x14ac:dyDescent="0.2">
      <c r="A100" s="442"/>
      <c r="B100" s="5" t="s">
        <v>286</v>
      </c>
      <c r="C100" s="394"/>
      <c r="D100" s="4"/>
      <c r="E100" s="4"/>
    </row>
    <row r="101" spans="1:5" x14ac:dyDescent="0.2">
      <c r="A101" s="442"/>
      <c r="B101" s="5"/>
      <c r="C101" s="394"/>
      <c r="D101" s="4"/>
      <c r="E101" s="4"/>
    </row>
    <row r="102" spans="1:5" x14ac:dyDescent="0.2">
      <c r="A102" s="442"/>
      <c r="B102" s="6" t="s">
        <v>287</v>
      </c>
      <c r="C102" s="576" t="s">
        <v>288</v>
      </c>
      <c r="D102" s="576"/>
      <c r="E102" s="4" t="s">
        <v>289</v>
      </c>
    </row>
    <row r="103" spans="1:5" x14ac:dyDescent="0.2">
      <c r="A103" s="442"/>
      <c r="B103" s="5"/>
      <c r="C103" s="576"/>
      <c r="D103" s="576"/>
      <c r="E103" s="4"/>
    </row>
    <row r="104" spans="1:5" x14ac:dyDescent="0.2">
      <c r="A104" s="436"/>
      <c r="B104" s="6" t="s">
        <v>290</v>
      </c>
      <c r="C104" s="576" t="s">
        <v>291</v>
      </c>
      <c r="D104" s="576"/>
      <c r="E104" s="4" t="s">
        <v>292</v>
      </c>
    </row>
    <row r="105" spans="1:5" x14ac:dyDescent="0.2">
      <c r="B105" s="5"/>
      <c r="C105" s="576"/>
      <c r="D105" s="576"/>
      <c r="E105" s="4"/>
    </row>
    <row r="106" spans="1:5" x14ac:dyDescent="0.2">
      <c r="B106" s="6" t="s">
        <v>293</v>
      </c>
      <c r="C106" s="576" t="s">
        <v>288</v>
      </c>
      <c r="D106" s="576"/>
      <c r="E106" s="4" t="s">
        <v>292</v>
      </c>
    </row>
  </sheetData>
  <sheetProtection password="CA9F" sheet="1" objects="1" scenarios="1"/>
  <mergeCells count="9">
    <mergeCell ref="C104:D104"/>
    <mergeCell ref="C105:D105"/>
    <mergeCell ref="C106:D106"/>
    <mergeCell ref="C1:E2"/>
    <mergeCell ref="A4:E4"/>
    <mergeCell ref="A6:B6"/>
    <mergeCell ref="D6:E6"/>
    <mergeCell ref="C102:D102"/>
    <mergeCell ref="C103:D103"/>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78704-106E-4B67-A62B-B6DC8887A78A}">
  <dimension ref="A2:D110"/>
  <sheetViews>
    <sheetView topLeftCell="A13" workbookViewId="0">
      <selection activeCell="A32" sqref="A32"/>
    </sheetView>
  </sheetViews>
  <sheetFormatPr defaultRowHeight="12.75" x14ac:dyDescent="0.2"/>
  <cols>
    <col min="1" max="1" width="86.140625" style="286" customWidth="1"/>
    <col min="2" max="2" width="9.140625" style="286"/>
    <col min="3" max="4" width="27.7109375" style="286" customWidth="1"/>
    <col min="5" max="16384" width="9.140625" style="286"/>
  </cols>
  <sheetData>
    <row r="2" spans="1:4" x14ac:dyDescent="0.2">
      <c r="A2" s="623" t="s">
        <v>739</v>
      </c>
      <c r="B2" s="623"/>
      <c r="C2" s="623"/>
      <c r="D2" s="623"/>
    </row>
    <row r="3" spans="1:4" ht="12.75" customHeight="1" x14ac:dyDescent="0.2">
      <c r="A3" s="620" t="s">
        <v>277</v>
      </c>
      <c r="B3" s="620"/>
      <c r="C3" s="573" t="s">
        <v>278</v>
      </c>
      <c r="D3" s="573"/>
    </row>
    <row r="4" spans="1:4" ht="13.5" thickBot="1" x14ac:dyDescent="0.25">
      <c r="A4" s="5"/>
      <c r="B4" s="184"/>
      <c r="C4" s="270"/>
      <c r="D4" s="306" t="s">
        <v>279</v>
      </c>
    </row>
    <row r="5" spans="1:4" ht="25.5" x14ac:dyDescent="0.2">
      <c r="A5" s="185" t="s">
        <v>464</v>
      </c>
      <c r="B5" s="186" t="s">
        <v>723</v>
      </c>
      <c r="C5" s="307" t="s">
        <v>296</v>
      </c>
      <c r="D5" s="308" t="s">
        <v>296</v>
      </c>
    </row>
    <row r="6" spans="1:4" x14ac:dyDescent="0.2">
      <c r="A6" s="187" t="s">
        <v>301</v>
      </c>
      <c r="B6" s="188">
        <v>5110</v>
      </c>
      <c r="C6" s="280"/>
      <c r="D6" s="305">
        <f>i.04133!F36</f>
        <v>0</v>
      </c>
    </row>
    <row r="7" spans="1:4" x14ac:dyDescent="0.2">
      <c r="A7" s="187" t="s">
        <v>182</v>
      </c>
      <c r="B7" s="188">
        <v>5120</v>
      </c>
      <c r="C7" s="280"/>
      <c r="D7" s="305">
        <f>i.04133!H36</f>
        <v>0</v>
      </c>
    </row>
    <row r="8" spans="1:4" x14ac:dyDescent="0.2">
      <c r="A8" s="187" t="s">
        <v>722</v>
      </c>
      <c r="B8" s="188">
        <v>5210</v>
      </c>
      <c r="C8" s="280"/>
      <c r="D8" s="280"/>
    </row>
    <row r="9" spans="1:4" x14ac:dyDescent="0.2">
      <c r="A9" s="187" t="s">
        <v>721</v>
      </c>
      <c r="B9" s="188">
        <v>5220</v>
      </c>
      <c r="C9" s="280"/>
      <c r="D9" s="280"/>
    </row>
    <row r="10" spans="1:4" x14ac:dyDescent="0.2">
      <c r="A10" s="187" t="s">
        <v>720</v>
      </c>
      <c r="B10" s="188">
        <v>5230</v>
      </c>
      <c r="C10" s="280"/>
      <c r="D10" s="280"/>
    </row>
    <row r="11" spans="1:4" x14ac:dyDescent="0.2">
      <c r="A11" s="187" t="s">
        <v>719</v>
      </c>
      <c r="B11" s="188">
        <v>5310</v>
      </c>
      <c r="C11" s="280"/>
      <c r="D11" s="281"/>
    </row>
    <row r="12" spans="1:4" x14ac:dyDescent="0.2">
      <c r="A12" s="187" t="s">
        <v>718</v>
      </c>
      <c r="B12" s="188">
        <v>5311</v>
      </c>
      <c r="C12" s="280"/>
      <c r="D12" s="281"/>
    </row>
    <row r="13" spans="1:4" x14ac:dyDescent="0.2">
      <c r="A13" s="187" t="s">
        <v>717</v>
      </c>
      <c r="B13" s="188">
        <v>5320</v>
      </c>
      <c r="C13" s="280"/>
      <c r="D13" s="281"/>
    </row>
    <row r="14" spans="1:4" x14ac:dyDescent="0.2">
      <c r="A14" s="187" t="s">
        <v>716</v>
      </c>
      <c r="B14" s="188">
        <v>5410</v>
      </c>
      <c r="C14" s="280"/>
      <c r="D14" s="281"/>
    </row>
    <row r="15" spans="1:4" x14ac:dyDescent="0.2">
      <c r="A15" s="187" t="s">
        <v>715</v>
      </c>
      <c r="B15" s="188">
        <v>5510</v>
      </c>
      <c r="C15" s="280"/>
      <c r="D15" s="281"/>
    </row>
    <row r="16" spans="1:4" x14ac:dyDescent="0.2">
      <c r="A16" s="187" t="s">
        <v>714</v>
      </c>
      <c r="B16" s="188">
        <v>5610</v>
      </c>
      <c r="C16" s="280"/>
      <c r="D16" s="281"/>
    </row>
    <row r="17" spans="1:4" x14ac:dyDescent="0.2">
      <c r="A17" s="187" t="s">
        <v>713</v>
      </c>
      <c r="B17" s="188">
        <v>5620</v>
      </c>
      <c r="C17" s="280"/>
      <c r="D17" s="281"/>
    </row>
    <row r="18" spans="1:4" x14ac:dyDescent="0.2">
      <c r="A18" s="187" t="s">
        <v>712</v>
      </c>
      <c r="B18" s="188">
        <v>5630</v>
      </c>
      <c r="C18" s="280"/>
      <c r="D18" s="281"/>
    </row>
    <row r="19" spans="1:4" x14ac:dyDescent="0.2">
      <c r="A19" s="187" t="s">
        <v>711</v>
      </c>
      <c r="B19" s="188">
        <v>5640</v>
      </c>
      <c r="C19" s="280"/>
      <c r="D19" s="281"/>
    </row>
    <row r="20" spans="1:4" x14ac:dyDescent="0.2">
      <c r="A20" s="187" t="s">
        <v>710</v>
      </c>
      <c r="B20" s="188">
        <v>5650</v>
      </c>
      <c r="C20" s="280"/>
      <c r="D20" s="281"/>
    </row>
    <row r="21" spans="1:4" x14ac:dyDescent="0.2">
      <c r="A21" s="187" t="s">
        <v>709</v>
      </c>
      <c r="B21" s="188">
        <v>5710</v>
      </c>
      <c r="C21" s="280"/>
      <c r="D21" s="281"/>
    </row>
    <row r="22" spans="1:4" x14ac:dyDescent="0.2">
      <c r="A22" s="187" t="s">
        <v>708</v>
      </c>
      <c r="B22" s="188">
        <v>5720</v>
      </c>
      <c r="C22" s="280"/>
      <c r="D22" s="281"/>
    </row>
    <row r="23" spans="1:4" x14ac:dyDescent="0.2">
      <c r="A23" s="187" t="s">
        <v>707</v>
      </c>
      <c r="B23" s="188">
        <v>5730</v>
      </c>
      <c r="C23" s="280"/>
      <c r="D23" s="281"/>
    </row>
    <row r="24" spans="1:4" x14ac:dyDescent="0.2">
      <c r="A24" s="187" t="s">
        <v>706</v>
      </c>
      <c r="B24" s="188">
        <v>5740</v>
      </c>
      <c r="C24" s="280"/>
      <c r="D24" s="281"/>
    </row>
    <row r="25" spans="1:4" x14ac:dyDescent="0.2">
      <c r="A25" s="187" t="s">
        <v>705</v>
      </c>
      <c r="B25" s="188">
        <v>5750</v>
      </c>
      <c r="C25" s="280"/>
      <c r="D25" s="281"/>
    </row>
    <row r="26" spans="1:4" x14ac:dyDescent="0.2">
      <c r="A26" s="187" t="s">
        <v>704</v>
      </c>
      <c r="B26" s="188">
        <v>5760</v>
      </c>
      <c r="C26" s="280"/>
      <c r="D26" s="281"/>
    </row>
    <row r="27" spans="1:4" x14ac:dyDescent="0.2">
      <c r="A27" s="187" t="s">
        <v>183</v>
      </c>
      <c r="B27" s="188">
        <v>6010</v>
      </c>
      <c r="C27" s="280"/>
      <c r="D27" s="305">
        <f>i.04133!I36</f>
        <v>0</v>
      </c>
    </row>
    <row r="28" spans="1:4" x14ac:dyDescent="0.2">
      <c r="A28" s="187" t="s">
        <v>703</v>
      </c>
      <c r="B28" s="188">
        <v>6021</v>
      </c>
      <c r="C28" s="280"/>
      <c r="D28" s="280"/>
    </row>
    <row r="29" spans="1:4" x14ac:dyDescent="0.2">
      <c r="A29" s="187" t="s">
        <v>702</v>
      </c>
      <c r="B29" s="188">
        <v>6110</v>
      </c>
      <c r="C29" s="280"/>
      <c r="D29" s="280"/>
    </row>
    <row r="30" spans="1:4" x14ac:dyDescent="0.2">
      <c r="A30" s="187" t="s">
        <v>701</v>
      </c>
      <c r="B30" s="188">
        <v>6210</v>
      </c>
      <c r="C30" s="280"/>
      <c r="D30" s="280"/>
    </row>
    <row r="31" spans="1:4" x14ac:dyDescent="0.2">
      <c r="A31" s="187" t="s">
        <v>82</v>
      </c>
      <c r="B31" s="188">
        <v>6310</v>
      </c>
      <c r="C31" s="280"/>
      <c r="D31" s="305">
        <f>i.04133!K36</f>
        <v>0</v>
      </c>
    </row>
    <row r="32" spans="1:4" x14ac:dyDescent="0.2">
      <c r="A32" s="187" t="s">
        <v>700</v>
      </c>
      <c r="B32" s="188">
        <v>6420</v>
      </c>
      <c r="C32" s="280"/>
      <c r="D32" s="280"/>
    </row>
    <row r="33" spans="1:4" x14ac:dyDescent="0.2">
      <c r="A33" s="187" t="s">
        <v>699</v>
      </c>
      <c r="B33" s="188">
        <v>6421</v>
      </c>
      <c r="C33" s="280"/>
      <c r="D33" s="280"/>
    </row>
    <row r="34" spans="1:4" x14ac:dyDescent="0.2">
      <c r="A34" s="187" t="s">
        <v>698</v>
      </c>
      <c r="B34" s="188">
        <v>6430</v>
      </c>
      <c r="C34" s="280"/>
      <c r="D34" s="280"/>
    </row>
    <row r="35" spans="1:4" x14ac:dyDescent="0.2">
      <c r="A35" s="187" t="s">
        <v>697</v>
      </c>
      <c r="B35" s="188">
        <v>6510</v>
      </c>
      <c r="C35" s="280"/>
      <c r="D35" s="280"/>
    </row>
    <row r="36" spans="1:4" x14ac:dyDescent="0.2">
      <c r="A36" s="187" t="s">
        <v>696</v>
      </c>
      <c r="B36" s="188">
        <v>6610</v>
      </c>
      <c r="C36" s="280"/>
      <c r="D36" s="280"/>
    </row>
    <row r="37" spans="1:4" x14ac:dyDescent="0.2">
      <c r="A37" s="187" t="s">
        <v>695</v>
      </c>
      <c r="B37" s="188">
        <v>6620</v>
      </c>
      <c r="C37" s="280"/>
      <c r="D37" s="280"/>
    </row>
    <row r="38" spans="1:4" x14ac:dyDescent="0.2">
      <c r="A38" s="187" t="s">
        <v>694</v>
      </c>
      <c r="B38" s="188">
        <v>6630</v>
      </c>
      <c r="C38" s="280"/>
      <c r="D38" s="280"/>
    </row>
    <row r="39" spans="1:4" x14ac:dyDescent="0.2">
      <c r="A39" s="187" t="s">
        <v>693</v>
      </c>
      <c r="B39" s="188">
        <v>6640</v>
      </c>
      <c r="C39" s="280"/>
      <c r="D39" s="280"/>
    </row>
    <row r="40" spans="1:4" x14ac:dyDescent="0.2">
      <c r="A40" s="187" t="s">
        <v>187</v>
      </c>
      <c r="B40" s="188">
        <v>6650</v>
      </c>
      <c r="C40" s="280"/>
      <c r="D40" s="280"/>
    </row>
    <row r="41" spans="1:4" x14ac:dyDescent="0.2">
      <c r="A41" s="187" t="s">
        <v>188</v>
      </c>
      <c r="B41" s="188">
        <v>6660</v>
      </c>
      <c r="C41" s="280"/>
      <c r="D41" s="280"/>
    </row>
    <row r="42" spans="1:4" x14ac:dyDescent="0.2">
      <c r="A42" s="187" t="s">
        <v>189</v>
      </c>
      <c r="B42" s="188">
        <v>6670</v>
      </c>
      <c r="C42" s="280"/>
      <c r="D42" s="280"/>
    </row>
    <row r="43" spans="1:4" x14ac:dyDescent="0.2">
      <c r="A43" s="187" t="s">
        <v>692</v>
      </c>
      <c r="B43" s="188">
        <v>6710</v>
      </c>
      <c r="C43" s="280"/>
      <c r="D43" s="280"/>
    </row>
    <row r="44" spans="1:4" x14ac:dyDescent="0.2">
      <c r="A44" s="187" t="s">
        <v>691</v>
      </c>
      <c r="B44" s="188">
        <v>6720</v>
      </c>
      <c r="C44" s="280"/>
      <c r="D44" s="280"/>
    </row>
    <row r="45" spans="1:4" x14ac:dyDescent="0.2">
      <c r="A45" s="187" t="s">
        <v>690</v>
      </c>
      <c r="B45" s="188">
        <v>6810</v>
      </c>
      <c r="C45" s="280"/>
      <c r="D45" s="280"/>
    </row>
    <row r="46" spans="1:4" x14ac:dyDescent="0.2">
      <c r="A46" s="187" t="s">
        <v>689</v>
      </c>
      <c r="B46" s="188">
        <v>6820</v>
      </c>
      <c r="C46" s="280"/>
      <c r="D46" s="280"/>
    </row>
    <row r="47" spans="1:4" x14ac:dyDescent="0.2">
      <c r="A47" s="187" t="s">
        <v>688</v>
      </c>
      <c r="B47" s="188">
        <v>7010</v>
      </c>
      <c r="C47" s="280"/>
      <c r="D47" s="281"/>
    </row>
    <row r="48" spans="1:4" x14ac:dyDescent="0.2">
      <c r="A48" s="187" t="s">
        <v>687</v>
      </c>
      <c r="B48" s="188">
        <v>7011</v>
      </c>
      <c r="C48" s="280"/>
      <c r="D48" s="281"/>
    </row>
    <row r="49" spans="1:4" x14ac:dyDescent="0.2">
      <c r="A49" s="187" t="s">
        <v>686</v>
      </c>
      <c r="B49" s="188">
        <v>7012</v>
      </c>
      <c r="C49" s="280"/>
      <c r="D49" s="281"/>
    </row>
    <row r="50" spans="1:4" x14ac:dyDescent="0.2">
      <c r="A50" s="187" t="s">
        <v>685</v>
      </c>
      <c r="B50" s="188">
        <v>7013</v>
      </c>
      <c r="C50" s="280"/>
      <c r="D50" s="281"/>
    </row>
    <row r="51" spans="1:4" x14ac:dyDescent="0.2">
      <c r="A51" s="187" t="s">
        <v>684</v>
      </c>
      <c r="B51" s="188">
        <v>7014</v>
      </c>
      <c r="C51" s="280"/>
      <c r="D51" s="281"/>
    </row>
    <row r="52" spans="1:4" x14ac:dyDescent="0.2">
      <c r="A52" s="187" t="s">
        <v>683</v>
      </c>
      <c r="B52" s="188">
        <v>7015</v>
      </c>
      <c r="C52" s="280"/>
      <c r="D52" s="281"/>
    </row>
    <row r="53" spans="1:4" x14ac:dyDescent="0.2">
      <c r="A53" s="187" t="s">
        <v>682</v>
      </c>
      <c r="B53" s="188">
        <v>7016</v>
      </c>
      <c r="C53" s="280"/>
      <c r="D53" s="281"/>
    </row>
    <row r="54" spans="1:4" x14ac:dyDescent="0.2">
      <c r="A54" s="187" t="s">
        <v>681</v>
      </c>
      <c r="B54" s="188">
        <v>7017</v>
      </c>
      <c r="C54" s="280"/>
      <c r="D54" s="281"/>
    </row>
    <row r="55" spans="1:4" x14ac:dyDescent="0.2">
      <c r="A55" s="187" t="s">
        <v>680</v>
      </c>
      <c r="B55" s="188">
        <v>7018</v>
      </c>
      <c r="C55" s="280"/>
      <c r="D55" s="281"/>
    </row>
    <row r="56" spans="1:4" x14ac:dyDescent="0.2">
      <c r="A56" s="187" t="s">
        <v>679</v>
      </c>
      <c r="B56" s="188">
        <v>7019</v>
      </c>
      <c r="C56" s="280"/>
      <c r="D56" s="281"/>
    </row>
    <row r="57" spans="1:4" x14ac:dyDescent="0.2">
      <c r="A57" s="187" t="s">
        <v>196</v>
      </c>
      <c r="B57" s="188">
        <v>7020</v>
      </c>
      <c r="C57" s="280"/>
      <c r="D57" s="281"/>
    </row>
    <row r="58" spans="1:4" x14ac:dyDescent="0.2">
      <c r="A58" s="187" t="s">
        <v>678</v>
      </c>
      <c r="B58" s="188">
        <v>7021</v>
      </c>
      <c r="C58" s="280"/>
      <c r="D58" s="281"/>
    </row>
    <row r="59" spans="1:4" x14ac:dyDescent="0.2">
      <c r="A59" s="187" t="s">
        <v>677</v>
      </c>
      <c r="B59" s="188">
        <v>7022</v>
      </c>
      <c r="C59" s="280"/>
      <c r="D59" s="281"/>
    </row>
    <row r="60" spans="1:4" x14ac:dyDescent="0.2">
      <c r="A60" s="187" t="s">
        <v>197</v>
      </c>
      <c r="B60" s="188">
        <v>7023</v>
      </c>
      <c r="C60" s="280"/>
      <c r="D60" s="281"/>
    </row>
    <row r="61" spans="1:4" x14ac:dyDescent="0.2">
      <c r="A61" s="187" t="s">
        <v>676</v>
      </c>
      <c r="B61" s="188">
        <v>7024</v>
      </c>
      <c r="C61" s="280"/>
      <c r="D61" s="281"/>
    </row>
    <row r="62" spans="1:4" x14ac:dyDescent="0.2">
      <c r="A62" s="187" t="s">
        <v>675</v>
      </c>
      <c r="B62" s="188">
        <v>7025</v>
      </c>
      <c r="C62" s="280"/>
      <c r="D62" s="281"/>
    </row>
    <row r="63" spans="1:4" x14ac:dyDescent="0.2">
      <c r="A63" s="187" t="s">
        <v>199</v>
      </c>
      <c r="B63" s="188">
        <v>7026</v>
      </c>
      <c r="C63" s="280"/>
      <c r="D63" s="281"/>
    </row>
    <row r="64" spans="1:4" x14ac:dyDescent="0.2">
      <c r="A64" s="187" t="s">
        <v>204</v>
      </c>
      <c r="B64" s="188">
        <v>7027</v>
      </c>
      <c r="C64" s="280"/>
      <c r="D64" s="281"/>
    </row>
    <row r="65" spans="1:4" x14ac:dyDescent="0.2">
      <c r="A65" s="187" t="s">
        <v>674</v>
      </c>
      <c r="B65" s="188">
        <v>7028</v>
      </c>
      <c r="C65" s="280"/>
      <c r="D65" s="281"/>
    </row>
    <row r="66" spans="1:4" x14ac:dyDescent="0.2">
      <c r="A66" s="187" t="s">
        <v>202</v>
      </c>
      <c r="B66" s="188">
        <v>7029</v>
      </c>
      <c r="C66" s="280"/>
      <c r="D66" s="281"/>
    </row>
    <row r="67" spans="1:4" x14ac:dyDescent="0.2">
      <c r="A67" s="187" t="s">
        <v>688</v>
      </c>
      <c r="B67" s="188">
        <v>7110</v>
      </c>
      <c r="C67" s="280"/>
      <c r="D67" s="281"/>
    </row>
    <row r="68" spans="1:4" x14ac:dyDescent="0.2">
      <c r="A68" s="187" t="s">
        <v>687</v>
      </c>
      <c r="B68" s="188">
        <v>7111</v>
      </c>
      <c r="C68" s="280"/>
      <c r="D68" s="281"/>
    </row>
    <row r="69" spans="1:4" x14ac:dyDescent="0.2">
      <c r="A69" s="187" t="s">
        <v>686</v>
      </c>
      <c r="B69" s="188">
        <v>7112</v>
      </c>
      <c r="C69" s="280"/>
      <c r="D69" s="281"/>
    </row>
    <row r="70" spans="1:4" x14ac:dyDescent="0.2">
      <c r="A70" s="187" t="s">
        <v>685</v>
      </c>
      <c r="B70" s="188">
        <v>7113</v>
      </c>
      <c r="C70" s="280"/>
      <c r="D70" s="281"/>
    </row>
    <row r="71" spans="1:4" x14ac:dyDescent="0.2">
      <c r="A71" s="187" t="s">
        <v>684</v>
      </c>
      <c r="B71" s="188">
        <v>7114</v>
      </c>
      <c r="C71" s="280"/>
      <c r="D71" s="281"/>
    </row>
    <row r="72" spans="1:4" x14ac:dyDescent="0.2">
      <c r="A72" s="187" t="s">
        <v>683</v>
      </c>
      <c r="B72" s="188">
        <v>7115</v>
      </c>
      <c r="C72" s="280"/>
      <c r="D72" s="281"/>
    </row>
    <row r="73" spans="1:4" x14ac:dyDescent="0.2">
      <c r="A73" s="187" t="s">
        <v>682</v>
      </c>
      <c r="B73" s="188">
        <v>7116</v>
      </c>
      <c r="C73" s="280"/>
      <c r="D73" s="281"/>
    </row>
    <row r="74" spans="1:4" x14ac:dyDescent="0.2">
      <c r="A74" s="187" t="s">
        <v>681</v>
      </c>
      <c r="B74" s="188">
        <v>7117</v>
      </c>
      <c r="C74" s="280"/>
      <c r="D74" s="281"/>
    </row>
    <row r="75" spans="1:4" x14ac:dyDescent="0.2">
      <c r="A75" s="187" t="s">
        <v>680</v>
      </c>
      <c r="B75" s="188">
        <v>7118</v>
      </c>
      <c r="C75" s="280"/>
      <c r="D75" s="281"/>
    </row>
    <row r="76" spans="1:4" x14ac:dyDescent="0.2">
      <c r="A76" s="187" t="s">
        <v>679</v>
      </c>
      <c r="B76" s="188">
        <v>7119</v>
      </c>
      <c r="C76" s="280"/>
      <c r="D76" s="281"/>
    </row>
    <row r="77" spans="1:4" x14ac:dyDescent="0.2">
      <c r="A77" s="187" t="s">
        <v>196</v>
      </c>
      <c r="B77" s="188">
        <v>7120</v>
      </c>
      <c r="C77" s="280"/>
      <c r="D77" s="281"/>
    </row>
    <row r="78" spans="1:4" x14ac:dyDescent="0.2">
      <c r="A78" s="187" t="s">
        <v>678</v>
      </c>
      <c r="B78" s="188">
        <v>7121</v>
      </c>
      <c r="C78" s="280"/>
      <c r="D78" s="281"/>
    </row>
    <row r="79" spans="1:4" x14ac:dyDescent="0.2">
      <c r="A79" s="187" t="s">
        <v>677</v>
      </c>
      <c r="B79" s="188">
        <v>7122</v>
      </c>
      <c r="C79" s="280"/>
      <c r="D79" s="281"/>
    </row>
    <row r="80" spans="1:4" x14ac:dyDescent="0.2">
      <c r="A80" s="187" t="s">
        <v>197</v>
      </c>
      <c r="B80" s="188">
        <v>7123</v>
      </c>
      <c r="C80" s="280"/>
      <c r="D80" s="281"/>
    </row>
    <row r="81" spans="1:4" x14ac:dyDescent="0.2">
      <c r="A81" s="187" t="s">
        <v>676</v>
      </c>
      <c r="B81" s="188">
        <v>7124</v>
      </c>
      <c r="C81" s="280"/>
      <c r="D81" s="281"/>
    </row>
    <row r="82" spans="1:4" x14ac:dyDescent="0.2">
      <c r="A82" s="187" t="s">
        <v>675</v>
      </c>
      <c r="B82" s="188">
        <v>7125</v>
      </c>
      <c r="C82" s="280"/>
      <c r="D82" s="281"/>
    </row>
    <row r="83" spans="1:4" x14ac:dyDescent="0.2">
      <c r="A83" s="187" t="s">
        <v>199</v>
      </c>
      <c r="B83" s="188">
        <v>7126</v>
      </c>
      <c r="C83" s="280"/>
      <c r="D83" s="281"/>
    </row>
    <row r="84" spans="1:4" x14ac:dyDescent="0.2">
      <c r="A84" s="187" t="s">
        <v>204</v>
      </c>
      <c r="B84" s="188">
        <v>7127</v>
      </c>
      <c r="C84" s="280"/>
      <c r="D84" s="281"/>
    </row>
    <row r="85" spans="1:4" x14ac:dyDescent="0.2">
      <c r="A85" s="187" t="s">
        <v>674</v>
      </c>
      <c r="B85" s="188">
        <v>7128</v>
      </c>
      <c r="C85" s="280"/>
      <c r="D85" s="281"/>
    </row>
    <row r="86" spans="1:4" x14ac:dyDescent="0.2">
      <c r="A86" s="187" t="s">
        <v>202</v>
      </c>
      <c r="B86" s="188">
        <v>7129</v>
      </c>
      <c r="C86" s="280"/>
      <c r="D86" s="281"/>
    </row>
    <row r="87" spans="1:4" x14ac:dyDescent="0.2">
      <c r="A87" s="187" t="s">
        <v>673</v>
      </c>
      <c r="B87" s="188">
        <v>7210</v>
      </c>
      <c r="C87" s="280"/>
      <c r="D87" s="281"/>
    </row>
    <row r="88" spans="1:4" x14ac:dyDescent="0.2">
      <c r="A88" s="187" t="s">
        <v>672</v>
      </c>
      <c r="B88" s="188">
        <v>7310</v>
      </c>
      <c r="C88" s="280"/>
      <c r="D88" s="281"/>
    </row>
    <row r="89" spans="1:4" x14ac:dyDescent="0.2">
      <c r="A89" s="187" t="s">
        <v>671</v>
      </c>
      <c r="B89" s="188">
        <v>7410</v>
      </c>
      <c r="C89" s="280"/>
      <c r="D89" s="281"/>
    </row>
    <row r="90" spans="1:4" x14ac:dyDescent="0.2">
      <c r="A90" s="187" t="s">
        <v>670</v>
      </c>
      <c r="B90" s="188">
        <v>7510</v>
      </c>
      <c r="C90" s="280"/>
      <c r="D90" s="281"/>
    </row>
    <row r="91" spans="1:4" x14ac:dyDescent="0.2">
      <c r="A91" s="187" t="s">
        <v>669</v>
      </c>
      <c r="B91" s="188">
        <v>7610</v>
      </c>
      <c r="C91" s="280"/>
      <c r="D91" s="281"/>
    </row>
    <row r="92" spans="1:4" x14ac:dyDescent="0.2">
      <c r="A92" s="187" t="s">
        <v>668</v>
      </c>
      <c r="B92" s="188">
        <v>7620</v>
      </c>
      <c r="C92" s="280"/>
      <c r="D92" s="281"/>
    </row>
    <row r="93" spans="1:4" x14ac:dyDescent="0.2">
      <c r="A93" s="187" t="s">
        <v>667</v>
      </c>
      <c r="B93" s="188">
        <v>7630</v>
      </c>
      <c r="C93" s="280"/>
      <c r="D93" s="281"/>
    </row>
    <row r="94" spans="1:4" x14ac:dyDescent="0.2">
      <c r="A94" s="187" t="s">
        <v>666</v>
      </c>
      <c r="B94" s="188">
        <v>7640</v>
      </c>
      <c r="C94" s="280"/>
      <c r="D94" s="281"/>
    </row>
    <row r="95" spans="1:4" x14ac:dyDescent="0.2">
      <c r="A95" s="187" t="s">
        <v>665</v>
      </c>
      <c r="B95" s="188">
        <v>7650</v>
      </c>
      <c r="C95" s="280"/>
      <c r="D95" s="281"/>
    </row>
    <row r="96" spans="1:4" x14ac:dyDescent="0.2">
      <c r="A96" s="187" t="s">
        <v>664</v>
      </c>
      <c r="B96" s="188">
        <v>7660</v>
      </c>
      <c r="C96" s="280"/>
      <c r="D96" s="281"/>
    </row>
    <row r="97" spans="1:4" x14ac:dyDescent="0.2">
      <c r="A97" s="187" t="s">
        <v>663</v>
      </c>
      <c r="B97" s="188">
        <v>7670</v>
      </c>
      <c r="C97" s="280"/>
      <c r="D97" s="281"/>
    </row>
    <row r="98" spans="1:4" x14ac:dyDescent="0.2">
      <c r="A98" s="187" t="s">
        <v>662</v>
      </c>
      <c r="B98" s="188">
        <v>7680</v>
      </c>
      <c r="C98" s="280"/>
      <c r="D98" s="281"/>
    </row>
    <row r="99" spans="1:4" x14ac:dyDescent="0.2">
      <c r="A99" s="187" t="s">
        <v>661</v>
      </c>
      <c r="B99" s="188">
        <v>9110</v>
      </c>
      <c r="C99" s="281"/>
      <c r="D99" s="281"/>
    </row>
    <row r="102" spans="1:4" x14ac:dyDescent="0.2">
      <c r="A102" s="2" t="s">
        <v>285</v>
      </c>
      <c r="B102" s="271"/>
      <c r="C102" s="4"/>
      <c r="D102" s="4"/>
    </row>
    <row r="103" spans="1:4" x14ac:dyDescent="0.2">
      <c r="A103" s="5"/>
      <c r="B103" s="271"/>
      <c r="C103" s="4"/>
      <c r="D103" s="4"/>
    </row>
    <row r="104" spans="1:4" x14ac:dyDescent="0.2">
      <c r="A104" s="5" t="s">
        <v>286</v>
      </c>
      <c r="B104" s="271"/>
      <c r="C104" s="4"/>
      <c r="D104" s="4"/>
    </row>
    <row r="105" spans="1:4" x14ac:dyDescent="0.2">
      <c r="A105" s="5"/>
      <c r="B105" s="271"/>
      <c r="C105" s="4"/>
      <c r="D105" s="4"/>
    </row>
    <row r="106" spans="1:4" x14ac:dyDescent="0.2">
      <c r="A106" s="6" t="s">
        <v>287</v>
      </c>
      <c r="B106" s="576" t="s">
        <v>288</v>
      </c>
      <c r="C106" s="576"/>
      <c r="D106" s="4" t="s">
        <v>289</v>
      </c>
    </row>
    <row r="107" spans="1:4" x14ac:dyDescent="0.2">
      <c r="A107" s="5"/>
      <c r="B107" s="576"/>
      <c r="C107" s="576"/>
      <c r="D107" s="4"/>
    </row>
    <row r="108" spans="1:4" x14ac:dyDescent="0.2">
      <c r="A108" s="6" t="s">
        <v>290</v>
      </c>
      <c r="B108" s="576" t="s">
        <v>291</v>
      </c>
      <c r="C108" s="576"/>
      <c r="D108" s="4" t="s">
        <v>292</v>
      </c>
    </row>
    <row r="109" spans="1:4" x14ac:dyDescent="0.2">
      <c r="A109" s="5"/>
      <c r="B109" s="576"/>
      <c r="C109" s="576"/>
      <c r="D109" s="4"/>
    </row>
    <row r="110" spans="1:4" x14ac:dyDescent="0.2">
      <c r="A110" s="6" t="s">
        <v>293</v>
      </c>
      <c r="B110" s="576" t="s">
        <v>288</v>
      </c>
      <c r="C110" s="576"/>
      <c r="D110" s="4" t="s">
        <v>292</v>
      </c>
    </row>
  </sheetData>
  <sheetProtection password="CA9F" sheet="1" objects="1" scenarios="1"/>
  <mergeCells count="8">
    <mergeCell ref="B109:C109"/>
    <mergeCell ref="B110:C110"/>
    <mergeCell ref="A2:D2"/>
    <mergeCell ref="A3:B3"/>
    <mergeCell ref="C3:D3"/>
    <mergeCell ref="B106:C106"/>
    <mergeCell ref="B107:C107"/>
    <mergeCell ref="B108:C10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8FE08-CE91-4938-BB34-B207BFC63D25}">
  <dimension ref="A1:J75"/>
  <sheetViews>
    <sheetView topLeftCell="A13" zoomScaleNormal="100" zoomScalePageLayoutView="60" workbookViewId="0">
      <selection activeCell="B16" sqref="B16"/>
    </sheetView>
  </sheetViews>
  <sheetFormatPr defaultRowHeight="12.75" x14ac:dyDescent="0.2"/>
  <cols>
    <col min="1" max="1" width="4" style="286" bestFit="1" customWidth="1"/>
    <col min="2" max="2" width="51.5703125" style="286" customWidth="1"/>
    <col min="3" max="3" width="7.28515625" style="286" bestFit="1" customWidth="1"/>
    <col min="4" max="5" width="24" style="286" customWidth="1"/>
    <col min="6" max="16384" width="9.140625" style="286"/>
  </cols>
  <sheetData>
    <row r="1" spans="1:10" x14ac:dyDescent="0.2">
      <c r="C1" s="621" t="s">
        <v>738</v>
      </c>
      <c r="D1" s="622"/>
      <c r="E1" s="622"/>
    </row>
    <row r="2" spans="1:10" x14ac:dyDescent="0.2">
      <c r="C2" s="622"/>
      <c r="D2" s="622"/>
      <c r="E2" s="622"/>
    </row>
    <row r="4" spans="1:10" x14ac:dyDescent="0.2">
      <c r="A4" s="619" t="s">
        <v>740</v>
      </c>
      <c r="B4" s="619"/>
      <c r="C4" s="619"/>
      <c r="D4" s="619"/>
      <c r="E4" s="619"/>
    </row>
    <row r="5" spans="1:10" x14ac:dyDescent="0.2">
      <c r="A5" s="397"/>
      <c r="B5" s="397"/>
      <c r="C5" s="397"/>
      <c r="D5" s="397"/>
      <c r="E5" s="397"/>
    </row>
    <row r="6" spans="1:10" ht="12.75" customHeight="1" x14ac:dyDescent="0.2">
      <c r="A6" s="620" t="s">
        <v>277</v>
      </c>
      <c r="B6" s="620"/>
      <c r="C6" s="395"/>
      <c r="D6" s="573" t="s">
        <v>278</v>
      </c>
      <c r="E6" s="573"/>
    </row>
    <row r="7" spans="1:10" ht="13.5" thickBot="1" x14ac:dyDescent="0.25">
      <c r="A7" s="41"/>
      <c r="B7" s="310"/>
      <c r="C7" s="395"/>
      <c r="D7" s="396"/>
      <c r="E7" s="306" t="s">
        <v>279</v>
      </c>
    </row>
    <row r="8" spans="1:10" ht="25.5" x14ac:dyDescent="0.2">
      <c r="A8" s="189" t="s">
        <v>280</v>
      </c>
      <c r="B8" s="162" t="s">
        <v>464</v>
      </c>
      <c r="C8" s="162" t="s">
        <v>295</v>
      </c>
      <c r="D8" s="307" t="s">
        <v>296</v>
      </c>
      <c r="E8" s="308" t="s">
        <v>296</v>
      </c>
    </row>
    <row r="9" spans="1:10" x14ac:dyDescent="0.2">
      <c r="A9" s="190" t="s">
        <v>282</v>
      </c>
      <c r="B9" s="164" t="s">
        <v>283</v>
      </c>
      <c r="C9" s="164" t="s">
        <v>297</v>
      </c>
      <c r="D9" s="164">
        <v>1</v>
      </c>
      <c r="E9" s="164">
        <v>2</v>
      </c>
    </row>
    <row r="10" spans="1:10" x14ac:dyDescent="0.2">
      <c r="A10" s="191" t="s">
        <v>235</v>
      </c>
      <c r="B10" s="192" t="s">
        <v>80</v>
      </c>
      <c r="C10" s="193">
        <v>1</v>
      </c>
      <c r="D10" s="194">
        <f>i.04131a!C6</f>
        <v>0</v>
      </c>
      <c r="E10" s="194">
        <f>i.04131a!D6</f>
        <v>0</v>
      </c>
    </row>
    <row r="11" spans="1:10" x14ac:dyDescent="0.2">
      <c r="A11" s="195" t="s">
        <v>589</v>
      </c>
      <c r="B11" s="196" t="s">
        <v>182</v>
      </c>
      <c r="C11" s="197">
        <f t="shared" ref="C11" si="0">+C10+1</f>
        <v>2</v>
      </c>
      <c r="D11" s="198">
        <f>i.04131a!C7</f>
        <v>0</v>
      </c>
      <c r="E11" s="198">
        <f>i.04131a!D7</f>
        <v>0</v>
      </c>
      <c r="F11" s="400"/>
      <c r="G11" s="400"/>
      <c r="H11" s="400"/>
      <c r="I11" s="400"/>
      <c r="J11" s="400"/>
    </row>
    <row r="12" spans="1:10" x14ac:dyDescent="0.2">
      <c r="A12" s="195" t="s">
        <v>592</v>
      </c>
      <c r="B12" s="196" t="s">
        <v>724</v>
      </c>
      <c r="C12" s="197">
        <v>3</v>
      </c>
      <c r="D12" s="198">
        <f>i.04131a!C27-i.04131a!C28</f>
        <v>0</v>
      </c>
      <c r="E12" s="198">
        <f>i.04131a!D27-i.04131a!D28</f>
        <v>0</v>
      </c>
      <c r="F12" s="400"/>
      <c r="G12" s="400"/>
      <c r="H12" s="400"/>
      <c r="I12" s="400"/>
      <c r="J12" s="400"/>
    </row>
    <row r="13" spans="1:10" x14ac:dyDescent="0.2">
      <c r="A13" s="191" t="s">
        <v>236</v>
      </c>
      <c r="B13" s="192" t="s">
        <v>997</v>
      </c>
      <c r="C13" s="193">
        <v>4</v>
      </c>
      <c r="D13" s="194">
        <f>D10-D11-D12</f>
        <v>0</v>
      </c>
      <c r="E13" s="194">
        <f>E10-E11-E12</f>
        <v>0</v>
      </c>
    </row>
    <row r="14" spans="1:10" ht="13.5" customHeight="1" x14ac:dyDescent="0.2">
      <c r="A14" s="195" t="s">
        <v>617</v>
      </c>
      <c r="B14" s="196" t="s">
        <v>995</v>
      </c>
      <c r="C14" s="197">
        <v>5</v>
      </c>
      <c r="D14" s="198">
        <f>i.04131a!C29</f>
        <v>0</v>
      </c>
      <c r="E14" s="198">
        <f>i.04131a!D29</f>
        <v>0</v>
      </c>
    </row>
    <row r="15" spans="1:10" x14ac:dyDescent="0.2">
      <c r="A15" s="195" t="s">
        <v>642</v>
      </c>
      <c r="B15" s="196" t="s">
        <v>996</v>
      </c>
      <c r="C15" s="197">
        <v>6</v>
      </c>
      <c r="D15" s="198">
        <f>i.04131a!C30</f>
        <v>0</v>
      </c>
      <c r="E15" s="198">
        <f>i.04131a!D30</f>
        <v>0</v>
      </c>
    </row>
    <row r="16" spans="1:10" x14ac:dyDescent="0.2">
      <c r="A16" s="191" t="s">
        <v>237</v>
      </c>
      <c r="B16" s="199" t="s">
        <v>998</v>
      </c>
      <c r="C16" s="193">
        <v>7</v>
      </c>
      <c r="D16" s="194">
        <f>D13-D14+D15</f>
        <v>0</v>
      </c>
      <c r="E16" s="194">
        <f>E13-E14+E15</f>
        <v>0</v>
      </c>
    </row>
    <row r="17" spans="1:5" x14ac:dyDescent="0.2">
      <c r="A17" s="195" t="s">
        <v>617</v>
      </c>
      <c r="B17" s="196" t="s">
        <v>185</v>
      </c>
      <c r="C17" s="197">
        <v>8</v>
      </c>
      <c r="D17" s="198">
        <f>i.04131a!C31</f>
        <v>0</v>
      </c>
      <c r="E17" s="198">
        <f>i.04131a!D31</f>
        <v>0</v>
      </c>
    </row>
    <row r="18" spans="1:5" x14ac:dyDescent="0.2">
      <c r="A18" s="191" t="s">
        <v>238</v>
      </c>
      <c r="B18" s="199" t="s">
        <v>1101</v>
      </c>
      <c r="C18" s="193">
        <v>9</v>
      </c>
      <c r="D18" s="200">
        <f>D16-D17</f>
        <v>0</v>
      </c>
      <c r="E18" s="200">
        <f>E16-E17</f>
        <v>0</v>
      </c>
    </row>
    <row r="19" spans="1:5" x14ac:dyDescent="0.2">
      <c r="A19" s="191" t="s">
        <v>239</v>
      </c>
      <c r="B19" s="201" t="s">
        <v>186</v>
      </c>
      <c r="C19" s="193">
        <v>10</v>
      </c>
      <c r="D19" s="194"/>
      <c r="E19" s="194"/>
    </row>
    <row r="20" spans="1:5" x14ac:dyDescent="0.2">
      <c r="A20" s="195" t="s">
        <v>729</v>
      </c>
      <c r="B20" s="196" t="s">
        <v>187</v>
      </c>
      <c r="C20" s="197">
        <v>11</v>
      </c>
      <c r="D20" s="198">
        <f>i.04131a!C40</f>
        <v>0</v>
      </c>
      <c r="E20" s="198">
        <f>i.04131a!D40</f>
        <v>0</v>
      </c>
    </row>
    <row r="21" spans="1:5" x14ac:dyDescent="0.2">
      <c r="A21" s="195" t="s">
        <v>730</v>
      </c>
      <c r="B21" s="196" t="s">
        <v>188</v>
      </c>
      <c r="C21" s="197">
        <v>12</v>
      </c>
      <c r="D21" s="198">
        <f>i.04131a!C41</f>
        <v>0</v>
      </c>
      <c r="E21" s="198">
        <f>i.04131a!D41</f>
        <v>0</v>
      </c>
    </row>
    <row r="22" spans="1:5" x14ac:dyDescent="0.2">
      <c r="A22" s="195" t="s">
        <v>732</v>
      </c>
      <c r="B22" s="196" t="s">
        <v>189</v>
      </c>
      <c r="C22" s="197">
        <v>13</v>
      </c>
      <c r="D22" s="198">
        <f>i.04131a!C42</f>
        <v>0</v>
      </c>
      <c r="E22" s="198">
        <f>i.04131a!D42</f>
        <v>0</v>
      </c>
    </row>
    <row r="23" spans="1:5" x14ac:dyDescent="0.2">
      <c r="A23" s="191" t="s">
        <v>733</v>
      </c>
      <c r="B23" s="199" t="s">
        <v>999</v>
      </c>
      <c r="C23" s="193">
        <v>14</v>
      </c>
      <c r="D23" s="200">
        <f>D20+D21+D22</f>
        <v>0</v>
      </c>
      <c r="E23" s="200">
        <f>E20+E21+E22</f>
        <v>0</v>
      </c>
    </row>
    <row r="24" spans="1:5" x14ac:dyDescent="0.2">
      <c r="A24" s="191" t="s">
        <v>241</v>
      </c>
      <c r="B24" s="199" t="s">
        <v>190</v>
      </c>
      <c r="C24" s="193">
        <v>15</v>
      </c>
      <c r="D24" s="200"/>
      <c r="E24" s="200"/>
    </row>
    <row r="25" spans="1:5" x14ac:dyDescent="0.2">
      <c r="A25" s="195" t="s">
        <v>962</v>
      </c>
      <c r="B25" s="196" t="s">
        <v>191</v>
      </c>
      <c r="C25" s="197">
        <v>16</v>
      </c>
      <c r="D25" s="198">
        <f>i.04131a!C11+i.04131a!C12+i.04131a!C13+i.04131a!C14-i.04131a!C88-i.04131a!C89</f>
        <v>0</v>
      </c>
      <c r="E25" s="198">
        <f>i.04131a!D11+i.04131a!D12+i.04131a!D13+i.04131a!D14-i.04131a!D88-i.04131a!D89</f>
        <v>0</v>
      </c>
    </row>
    <row r="26" spans="1:5" x14ac:dyDescent="0.2">
      <c r="A26" s="195" t="s">
        <v>963</v>
      </c>
      <c r="B26" s="196" t="s">
        <v>731</v>
      </c>
      <c r="C26" s="197">
        <v>17</v>
      </c>
      <c r="D26" s="198">
        <f>i.04131a!C8</f>
        <v>0</v>
      </c>
      <c r="E26" s="198">
        <f>i.04131a!D8</f>
        <v>0</v>
      </c>
    </row>
    <row r="27" spans="1:5" x14ac:dyDescent="0.2">
      <c r="A27" s="195" t="s">
        <v>964</v>
      </c>
      <c r="B27" s="196" t="s">
        <v>81</v>
      </c>
      <c r="C27" s="197">
        <v>18</v>
      </c>
      <c r="D27" s="198">
        <f>i.04131a!C15+i.04131a!C16+i.04131a!C17+i.04131a!C18+i.04131a!C19+i.04131a!C20</f>
        <v>0</v>
      </c>
      <c r="E27" s="198">
        <f>i.04131a!D15+i.04131a!D16+i.04131a!D17+i.04131a!D18+i.04131a!D19+i.04131a!D20</f>
        <v>0</v>
      </c>
    </row>
    <row r="28" spans="1:5" x14ac:dyDescent="0.2">
      <c r="A28" s="191" t="s">
        <v>965</v>
      </c>
      <c r="B28" s="199" t="s">
        <v>1000</v>
      </c>
      <c r="C28" s="193">
        <v>19</v>
      </c>
      <c r="D28" s="200">
        <f>D25+D26+D27</f>
        <v>0</v>
      </c>
      <c r="E28" s="200">
        <f>E25+E26+E27</f>
        <v>0</v>
      </c>
    </row>
    <row r="29" spans="1:5" x14ac:dyDescent="0.2">
      <c r="A29" s="191" t="s">
        <v>242</v>
      </c>
      <c r="B29" s="199" t="s">
        <v>1102</v>
      </c>
      <c r="C29" s="193">
        <v>20</v>
      </c>
      <c r="D29" s="202">
        <f>D18-D23+D28</f>
        <v>0</v>
      </c>
      <c r="E29" s="202">
        <f>E18-E23+E28</f>
        <v>0</v>
      </c>
    </row>
    <row r="30" spans="1:5" x14ac:dyDescent="0.2">
      <c r="A30" s="191" t="s">
        <v>243</v>
      </c>
      <c r="B30" s="199" t="s">
        <v>192</v>
      </c>
      <c r="C30" s="193">
        <v>21</v>
      </c>
      <c r="D30" s="200"/>
      <c r="E30" s="200"/>
    </row>
    <row r="31" spans="1:5" x14ac:dyDescent="0.2">
      <c r="A31" s="195" t="s">
        <v>972</v>
      </c>
      <c r="B31" s="196" t="s">
        <v>193</v>
      </c>
      <c r="C31" s="197">
        <v>22</v>
      </c>
      <c r="D31" s="198">
        <f>i.04131a!C47</f>
        <v>0</v>
      </c>
      <c r="E31" s="198">
        <f>i.04131a!D47</f>
        <v>0</v>
      </c>
    </row>
    <row r="32" spans="1:5" x14ac:dyDescent="0.2">
      <c r="A32" s="195" t="s">
        <v>1001</v>
      </c>
      <c r="B32" s="196" t="s">
        <v>194</v>
      </c>
      <c r="C32" s="197">
        <v>23</v>
      </c>
      <c r="D32" s="198">
        <f>i.04131a!C48</f>
        <v>0</v>
      </c>
      <c r="E32" s="198">
        <f>i.04131a!D48</f>
        <v>0</v>
      </c>
    </row>
    <row r="33" spans="1:5" x14ac:dyDescent="0.2">
      <c r="A33" s="195" t="s">
        <v>1002</v>
      </c>
      <c r="B33" s="196" t="s">
        <v>195</v>
      </c>
      <c r="C33" s="197">
        <v>24</v>
      </c>
      <c r="D33" s="198">
        <f>i.04131a!C58</f>
        <v>0</v>
      </c>
      <c r="E33" s="198">
        <f>i.04131a!D58</f>
        <v>0</v>
      </c>
    </row>
    <row r="34" spans="1:5" x14ac:dyDescent="0.2">
      <c r="A34" s="195" t="s">
        <v>1003</v>
      </c>
      <c r="B34" s="196" t="s">
        <v>196</v>
      </c>
      <c r="C34" s="197">
        <v>25</v>
      </c>
      <c r="D34" s="198">
        <f>i.04131a!C57</f>
        <v>0</v>
      </c>
      <c r="E34" s="198">
        <f>i.04131a!D57</f>
        <v>0</v>
      </c>
    </row>
    <row r="35" spans="1:5" x14ac:dyDescent="0.2">
      <c r="A35" s="195" t="s">
        <v>1004</v>
      </c>
      <c r="B35" s="196" t="s">
        <v>197</v>
      </c>
      <c r="C35" s="197">
        <v>26</v>
      </c>
      <c r="D35" s="198">
        <f>i.04131a!C60</f>
        <v>0</v>
      </c>
      <c r="E35" s="198">
        <f>i.04131a!D60</f>
        <v>0</v>
      </c>
    </row>
    <row r="36" spans="1:5" x14ac:dyDescent="0.2">
      <c r="A36" s="195" t="s">
        <v>1005</v>
      </c>
      <c r="B36" s="196" t="s">
        <v>198</v>
      </c>
      <c r="C36" s="197">
        <v>27</v>
      </c>
      <c r="D36" s="198">
        <f>i.04131a!C50</f>
        <v>0</v>
      </c>
      <c r="E36" s="198">
        <f>i.04131a!D50</f>
        <v>0</v>
      </c>
    </row>
    <row r="37" spans="1:5" x14ac:dyDescent="0.2">
      <c r="A37" s="195" t="s">
        <v>1006</v>
      </c>
      <c r="B37" s="196" t="s">
        <v>199</v>
      </c>
      <c r="C37" s="197">
        <v>28</v>
      </c>
      <c r="D37" s="198">
        <f>i.04131a!C63</f>
        <v>0</v>
      </c>
      <c r="E37" s="198">
        <f>i.04131a!D63</f>
        <v>0</v>
      </c>
    </row>
    <row r="38" spans="1:5" x14ac:dyDescent="0.2">
      <c r="A38" s="195" t="s">
        <v>1007</v>
      </c>
      <c r="B38" s="196" t="s">
        <v>200</v>
      </c>
      <c r="C38" s="197">
        <v>29</v>
      </c>
      <c r="D38" s="198">
        <f>i.04131a!C51</f>
        <v>0</v>
      </c>
      <c r="E38" s="198">
        <f>i.04131a!D51</f>
        <v>0</v>
      </c>
    </row>
    <row r="39" spans="1:5" x14ac:dyDescent="0.2">
      <c r="A39" s="195" t="s">
        <v>1008</v>
      </c>
      <c r="B39" s="196" t="s">
        <v>201</v>
      </c>
      <c r="C39" s="197">
        <v>30</v>
      </c>
      <c r="D39" s="198">
        <f>i.04131a!C59</f>
        <v>0</v>
      </c>
      <c r="E39" s="198">
        <f>i.04131a!D59</f>
        <v>0</v>
      </c>
    </row>
    <row r="40" spans="1:5" x14ac:dyDescent="0.2">
      <c r="A40" s="195" t="s">
        <v>1009</v>
      </c>
      <c r="B40" s="196" t="s">
        <v>202</v>
      </c>
      <c r="C40" s="197">
        <v>31</v>
      </c>
      <c r="D40" s="198">
        <f>i.04131a!C66</f>
        <v>0</v>
      </c>
      <c r="E40" s="198">
        <f>i.04131a!D66</f>
        <v>0</v>
      </c>
    </row>
    <row r="41" spans="1:5" x14ac:dyDescent="0.2">
      <c r="A41" s="195" t="s">
        <v>1010</v>
      </c>
      <c r="B41" s="196" t="s">
        <v>203</v>
      </c>
      <c r="C41" s="197">
        <v>32</v>
      </c>
      <c r="D41" s="198">
        <f>i.04131a!C52</f>
        <v>0</v>
      </c>
      <c r="E41" s="198">
        <f>i.04131a!D52</f>
        <v>0</v>
      </c>
    </row>
    <row r="42" spans="1:5" x14ac:dyDescent="0.2">
      <c r="A42" s="195" t="s">
        <v>1011</v>
      </c>
      <c r="B42" s="196" t="s">
        <v>204</v>
      </c>
      <c r="C42" s="197">
        <v>33</v>
      </c>
      <c r="D42" s="198">
        <f>i.04131a!C64</f>
        <v>0</v>
      </c>
      <c r="E42" s="198">
        <f>i.04131a!D64</f>
        <v>0</v>
      </c>
    </row>
    <row r="43" spans="1:5" x14ac:dyDescent="0.2">
      <c r="A43" s="195" t="s">
        <v>1012</v>
      </c>
      <c r="B43" s="196" t="s">
        <v>205</v>
      </c>
      <c r="C43" s="197">
        <v>34</v>
      </c>
      <c r="D43" s="198">
        <f>i.04131a!C53</f>
        <v>0</v>
      </c>
      <c r="E43" s="198">
        <f>i.04131a!D53</f>
        <v>0</v>
      </c>
    </row>
    <row r="44" spans="1:5" x14ac:dyDescent="0.2">
      <c r="A44" s="195" t="s">
        <v>1013</v>
      </c>
      <c r="B44" s="196" t="s">
        <v>206</v>
      </c>
      <c r="C44" s="197">
        <v>35</v>
      </c>
      <c r="D44" s="198">
        <f>i.04131a!C61+i.04131a!C62</f>
        <v>0</v>
      </c>
      <c r="E44" s="198">
        <f>i.04131a!D61+i.04131a!D62</f>
        <v>0</v>
      </c>
    </row>
    <row r="45" spans="1:5" x14ac:dyDescent="0.2">
      <c r="A45" s="195" t="s">
        <v>1014</v>
      </c>
      <c r="B45" s="196" t="s">
        <v>83</v>
      </c>
      <c r="C45" s="197">
        <v>36</v>
      </c>
      <c r="D45" s="198">
        <f>i.04131a!C49+i.04131a!C54+i.04131a!C55+i.04131a!C56+i.04131a!C65+SUM(i.04131a!C67:C86)+i.04131a!C90+i.04131a!C87</f>
        <v>0</v>
      </c>
      <c r="E45" s="198">
        <f>i.04131a!D49+i.04131a!D54+i.04131a!D55+i.04131a!D56+i.04131a!D65+SUM(i.04131a!D67:D86)+i.04131a!D90+i.04131a!D87</f>
        <v>0</v>
      </c>
    </row>
    <row r="46" spans="1:5" x14ac:dyDescent="0.2">
      <c r="A46" s="191" t="s">
        <v>1015</v>
      </c>
      <c r="B46" s="199" t="s">
        <v>1103</v>
      </c>
      <c r="C46" s="193">
        <v>37</v>
      </c>
      <c r="D46" s="203">
        <f>SUM(D31:D45)</f>
        <v>0</v>
      </c>
      <c r="E46" s="203">
        <f>SUM(E31:E45)</f>
        <v>0</v>
      </c>
    </row>
    <row r="47" spans="1:5" x14ac:dyDescent="0.2">
      <c r="A47" s="191" t="s">
        <v>245</v>
      </c>
      <c r="B47" s="199" t="s">
        <v>1118</v>
      </c>
      <c r="C47" s="193">
        <v>38</v>
      </c>
      <c r="D47" s="200">
        <f>D29-D46</f>
        <v>0</v>
      </c>
      <c r="E47" s="200">
        <f>E29-E46</f>
        <v>0</v>
      </c>
    </row>
    <row r="48" spans="1:5" x14ac:dyDescent="0.2">
      <c r="A48" s="191" t="s">
        <v>247</v>
      </c>
      <c r="B48" s="199" t="s">
        <v>208</v>
      </c>
      <c r="C48" s="193">
        <v>39</v>
      </c>
      <c r="D48" s="200"/>
      <c r="E48" s="200"/>
    </row>
    <row r="49" spans="1:5" x14ac:dyDescent="0.2">
      <c r="A49" s="195" t="s">
        <v>736</v>
      </c>
      <c r="B49" s="196" t="s">
        <v>209</v>
      </c>
      <c r="C49" s="197">
        <v>40</v>
      </c>
      <c r="D49" s="309"/>
      <c r="E49" s="309"/>
    </row>
    <row r="50" spans="1:5" x14ac:dyDescent="0.2">
      <c r="A50" s="195" t="s">
        <v>1016</v>
      </c>
      <c r="B50" s="196" t="s">
        <v>210</v>
      </c>
      <c r="C50" s="197">
        <v>41</v>
      </c>
      <c r="D50" s="198">
        <f>i.04131a!C24-i.04131a!C96</f>
        <v>0</v>
      </c>
      <c r="E50" s="198">
        <f>i.04131a!D24-i.04131a!D96</f>
        <v>0</v>
      </c>
    </row>
    <row r="51" spans="1:5" x14ac:dyDescent="0.2">
      <c r="A51" s="195" t="s">
        <v>1017</v>
      </c>
      <c r="B51" s="196" t="s">
        <v>211</v>
      </c>
      <c r="C51" s="197">
        <v>42</v>
      </c>
      <c r="D51" s="309"/>
      <c r="E51" s="309"/>
    </row>
    <row r="52" spans="1:5" ht="25.5" x14ac:dyDescent="0.2">
      <c r="A52" s="195" t="s">
        <v>1018</v>
      </c>
      <c r="B52" s="196" t="s">
        <v>212</v>
      </c>
      <c r="C52" s="197">
        <v>43</v>
      </c>
      <c r="D52" s="198">
        <f>i.04131a!C21-i.04131a!C93</f>
        <v>0</v>
      </c>
      <c r="E52" s="198">
        <f>i.04131a!D21-i.04131a!D93</f>
        <v>0</v>
      </c>
    </row>
    <row r="53" spans="1:5" ht="25.5" x14ac:dyDescent="0.2">
      <c r="A53" s="195" t="s">
        <v>1019</v>
      </c>
      <c r="B53" s="196" t="s">
        <v>213</v>
      </c>
      <c r="C53" s="197">
        <v>44</v>
      </c>
      <c r="D53" s="309"/>
      <c r="E53" s="309"/>
    </row>
    <row r="54" spans="1:5" x14ac:dyDescent="0.2">
      <c r="A54" s="195" t="s">
        <v>1020</v>
      </c>
      <c r="B54" s="196" t="s">
        <v>214</v>
      </c>
      <c r="C54" s="197">
        <v>45</v>
      </c>
      <c r="D54" s="309"/>
      <c r="E54" s="309"/>
    </row>
    <row r="55" spans="1:5" x14ac:dyDescent="0.2">
      <c r="A55" s="195" t="s">
        <v>1021</v>
      </c>
      <c r="B55" s="196" t="s">
        <v>215</v>
      </c>
      <c r="C55" s="197">
        <v>46</v>
      </c>
      <c r="D55" s="309"/>
      <c r="E55" s="309"/>
    </row>
    <row r="56" spans="1:5" x14ac:dyDescent="0.2">
      <c r="A56" s="195" t="s">
        <v>1022</v>
      </c>
      <c r="B56" s="196" t="s">
        <v>734</v>
      </c>
      <c r="C56" s="197">
        <v>47</v>
      </c>
      <c r="D56" s="198">
        <f>i.04131a!C22+i.04131a!C23+i.04131a!C25+i.04131a!C26-i.04131a!C91-i.04131a!C92-i.04131a!C94-i.04131a!C95-i.04131a!C97-i.04131a!C98</f>
        <v>0</v>
      </c>
      <c r="E56" s="198">
        <f>i.04131a!D22+i.04131a!D23+i.04131a!D25+i.04131a!D26-i.04131a!D91-i.04131a!D92-i.04131a!D94-i.04131a!D95-i.04131a!D97-i.04131a!D98</f>
        <v>0</v>
      </c>
    </row>
    <row r="57" spans="1:5" ht="25.5" x14ac:dyDescent="0.2">
      <c r="A57" s="191" t="s">
        <v>1023</v>
      </c>
      <c r="B57" s="199" t="s">
        <v>735</v>
      </c>
      <c r="C57" s="193">
        <v>48</v>
      </c>
      <c r="D57" s="200">
        <f>SUM(D49:D56)</f>
        <v>0</v>
      </c>
      <c r="E57" s="200">
        <f>SUM(E49:E56)</f>
        <v>0</v>
      </c>
    </row>
    <row r="58" spans="1:5" x14ac:dyDescent="0.2">
      <c r="A58" s="191" t="s">
        <v>248</v>
      </c>
      <c r="B58" s="199" t="s">
        <v>1104</v>
      </c>
      <c r="C58" s="193">
        <v>49</v>
      </c>
      <c r="D58" s="200">
        <f>D47-D57</f>
        <v>0</v>
      </c>
      <c r="E58" s="200">
        <f>E47-E57</f>
        <v>0</v>
      </c>
    </row>
    <row r="59" spans="1:5" x14ac:dyDescent="0.2">
      <c r="A59" s="195" t="s">
        <v>737</v>
      </c>
      <c r="B59" s="196" t="s">
        <v>217</v>
      </c>
      <c r="C59" s="197">
        <v>50</v>
      </c>
      <c r="D59" s="198">
        <f>i.04131a!C99</f>
        <v>0</v>
      </c>
      <c r="E59" s="198">
        <f>i.04131a!D99</f>
        <v>0</v>
      </c>
    </row>
    <row r="60" spans="1:5" x14ac:dyDescent="0.2">
      <c r="A60" s="191" t="s">
        <v>249</v>
      </c>
      <c r="B60" s="199" t="s">
        <v>1105</v>
      </c>
      <c r="C60" s="193">
        <v>51</v>
      </c>
      <c r="D60" s="200">
        <f>D58-D59</f>
        <v>0</v>
      </c>
      <c r="E60" s="200">
        <f>E58-E59</f>
        <v>0</v>
      </c>
    </row>
    <row r="61" spans="1:5" x14ac:dyDescent="0.2">
      <c r="A61" s="195" t="s">
        <v>1024</v>
      </c>
      <c r="B61" s="196" t="s">
        <v>218</v>
      </c>
      <c r="C61" s="197">
        <v>52</v>
      </c>
      <c r="D61" s="309"/>
      <c r="E61" s="309"/>
    </row>
    <row r="62" spans="1:5" x14ac:dyDescent="0.2">
      <c r="A62" s="191" t="s">
        <v>250</v>
      </c>
      <c r="B62" s="199" t="s">
        <v>1106</v>
      </c>
      <c r="C62" s="193">
        <v>53</v>
      </c>
      <c r="D62" s="200">
        <f>D60-D61</f>
        <v>0</v>
      </c>
      <c r="E62" s="200">
        <f>E60-E61</f>
        <v>0</v>
      </c>
    </row>
    <row r="63" spans="1:5" x14ac:dyDescent="0.2">
      <c r="A63" s="195" t="s">
        <v>1025</v>
      </c>
      <c r="B63" s="196" t="s">
        <v>219</v>
      </c>
      <c r="C63" s="197">
        <v>54</v>
      </c>
      <c r="D63" s="309"/>
      <c r="E63" s="309"/>
    </row>
    <row r="64" spans="1:5" x14ac:dyDescent="0.2">
      <c r="A64" s="191" t="s">
        <v>251</v>
      </c>
      <c r="B64" s="199" t="s">
        <v>1107</v>
      </c>
      <c r="C64" s="193">
        <v>55</v>
      </c>
      <c r="D64" s="200">
        <f>D62-D63</f>
        <v>0</v>
      </c>
      <c r="E64" s="200">
        <f>E62-E63</f>
        <v>0</v>
      </c>
    </row>
    <row r="65" spans="1:5" x14ac:dyDescent="0.2">
      <c r="A65" s="195" t="s">
        <v>1026</v>
      </c>
      <c r="B65" s="196" t="s">
        <v>220</v>
      </c>
      <c r="C65" s="197">
        <v>56</v>
      </c>
      <c r="D65" s="309"/>
      <c r="E65" s="309"/>
    </row>
    <row r="67" spans="1:5" x14ac:dyDescent="0.2">
      <c r="B67" s="2" t="s">
        <v>285</v>
      </c>
      <c r="C67" s="394"/>
      <c r="D67" s="4"/>
      <c r="E67" s="4"/>
    </row>
    <row r="68" spans="1:5" x14ac:dyDescent="0.2">
      <c r="B68" s="5"/>
      <c r="C68" s="394"/>
      <c r="D68" s="4"/>
      <c r="E68" s="4"/>
    </row>
    <row r="69" spans="1:5" x14ac:dyDescent="0.2">
      <c r="B69" s="5" t="s">
        <v>286</v>
      </c>
      <c r="C69" s="394"/>
      <c r="D69" s="4"/>
      <c r="E69" s="4"/>
    </row>
    <row r="70" spans="1:5" x14ac:dyDescent="0.2">
      <c r="B70" s="5"/>
      <c r="C70" s="394"/>
      <c r="D70" s="4"/>
      <c r="E70" s="4"/>
    </row>
    <row r="71" spans="1:5" x14ac:dyDescent="0.2">
      <c r="B71" s="6" t="s">
        <v>287</v>
      </c>
      <c r="C71" s="576" t="s">
        <v>288</v>
      </c>
      <c r="D71" s="576"/>
      <c r="E71" s="4" t="s">
        <v>289</v>
      </c>
    </row>
    <row r="72" spans="1:5" x14ac:dyDescent="0.2">
      <c r="B72" s="5"/>
      <c r="C72" s="576"/>
      <c r="D72" s="576"/>
      <c r="E72" s="4"/>
    </row>
    <row r="73" spans="1:5" x14ac:dyDescent="0.2">
      <c r="B73" s="6" t="s">
        <v>290</v>
      </c>
      <c r="C73" s="576" t="s">
        <v>291</v>
      </c>
      <c r="D73" s="576"/>
      <c r="E73" s="4" t="s">
        <v>292</v>
      </c>
    </row>
    <row r="74" spans="1:5" x14ac:dyDescent="0.2">
      <c r="B74" s="5"/>
      <c r="C74" s="576"/>
      <c r="D74" s="576"/>
      <c r="E74" s="4"/>
    </row>
    <row r="75" spans="1:5" x14ac:dyDescent="0.2">
      <c r="B75" s="6" t="s">
        <v>293</v>
      </c>
      <c r="C75" s="576" t="s">
        <v>288</v>
      </c>
      <c r="D75" s="576"/>
      <c r="E75" s="4" t="s">
        <v>292</v>
      </c>
    </row>
  </sheetData>
  <sheetProtection password="CA9F" sheet="1" objects="1" scenarios="1"/>
  <mergeCells count="9">
    <mergeCell ref="C73:D73"/>
    <mergeCell ref="C74:D74"/>
    <mergeCell ref="C75:D75"/>
    <mergeCell ref="C1:E2"/>
    <mergeCell ref="A4:E4"/>
    <mergeCell ref="A6:B6"/>
    <mergeCell ref="D6:E6"/>
    <mergeCell ref="C71:D71"/>
    <mergeCell ref="C72:D72"/>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5"/>
  <sheetViews>
    <sheetView zoomScaleNormal="100" zoomScalePageLayoutView="60" workbookViewId="0">
      <selection activeCell="G31" sqref="G31"/>
    </sheetView>
  </sheetViews>
  <sheetFormatPr defaultRowHeight="12.75" x14ac:dyDescent="0.2"/>
  <cols>
    <col min="1" max="1" width="11.5703125" style="286"/>
    <col min="2" max="2" width="26.5703125" style="286"/>
    <col min="3" max="3" width="10.140625" style="286" customWidth="1"/>
    <col min="4" max="7" width="26.7109375" style="286" customWidth="1"/>
    <col min="8" max="1025" width="11.5703125" style="286"/>
    <col min="1026" max="16384" width="9.140625" style="286"/>
  </cols>
  <sheetData>
    <row r="1" spans="1:9" x14ac:dyDescent="0.2">
      <c r="A1" s="625"/>
      <c r="B1" s="626"/>
      <c r="C1" s="204"/>
      <c r="D1" s="205"/>
      <c r="E1" s="627" t="s">
        <v>746</v>
      </c>
      <c r="F1" s="627"/>
      <c r="G1" s="627"/>
      <c r="H1" s="5"/>
      <c r="I1" s="5"/>
    </row>
    <row r="2" spans="1:9" ht="24.75" customHeight="1" x14ac:dyDescent="0.2">
      <c r="A2" s="206"/>
      <c r="B2" s="21"/>
      <c r="C2" s="204"/>
      <c r="D2" s="205"/>
      <c r="E2" s="627"/>
      <c r="F2" s="627"/>
      <c r="G2" s="627"/>
      <c r="H2" s="5"/>
      <c r="I2" s="5"/>
    </row>
    <row r="3" spans="1:9" x14ac:dyDescent="0.2">
      <c r="A3" s="628" t="s">
        <v>747</v>
      </c>
      <c r="B3" s="629"/>
      <c r="C3" s="629"/>
      <c r="D3" s="629"/>
      <c r="E3" s="629"/>
      <c r="F3" s="629"/>
      <c r="G3" s="629"/>
      <c r="H3" s="629"/>
      <c r="I3" s="629"/>
    </row>
    <row r="4" spans="1:9" x14ac:dyDescent="0.2">
      <c r="A4" s="207"/>
      <c r="B4" s="5"/>
      <c r="C4" s="208"/>
      <c r="D4" s="209"/>
      <c r="E4" s="209"/>
      <c r="F4" s="209"/>
      <c r="G4" s="209"/>
      <c r="H4" s="209"/>
      <c r="I4" s="209"/>
    </row>
    <row r="5" spans="1:9" x14ac:dyDescent="0.2">
      <c r="A5" s="594" t="s">
        <v>277</v>
      </c>
      <c r="B5" s="594"/>
      <c r="C5" s="594"/>
      <c r="D5" s="594"/>
      <c r="F5" s="630" t="s">
        <v>741</v>
      </c>
      <c r="G5" s="630"/>
      <c r="H5" s="210"/>
      <c r="I5" s="210"/>
    </row>
    <row r="6" spans="1:9" x14ac:dyDescent="0.2">
      <c r="E6" s="211"/>
      <c r="F6" s="624" t="s">
        <v>279</v>
      </c>
      <c r="G6" s="624"/>
      <c r="H6" s="210"/>
      <c r="I6" s="210"/>
    </row>
    <row r="7" spans="1:9" x14ac:dyDescent="0.2">
      <c r="A7" s="599" t="s">
        <v>280</v>
      </c>
      <c r="B7" s="599" t="s">
        <v>742</v>
      </c>
      <c r="C7" s="599" t="s">
        <v>295</v>
      </c>
      <c r="D7" s="604" t="s">
        <v>173</v>
      </c>
      <c r="E7" s="616"/>
      <c r="F7" s="616"/>
      <c r="G7" s="617"/>
    </row>
    <row r="8" spans="1:9" x14ac:dyDescent="0.2">
      <c r="A8" s="631"/>
      <c r="B8" s="631"/>
      <c r="C8" s="631"/>
      <c r="D8" s="24" t="s">
        <v>221</v>
      </c>
      <c r="E8" s="24" t="s">
        <v>743</v>
      </c>
      <c r="F8" s="24" t="s">
        <v>222</v>
      </c>
      <c r="G8" s="24" t="s">
        <v>744</v>
      </c>
    </row>
    <row r="9" spans="1:9" x14ac:dyDescent="0.2">
      <c r="A9" s="316" t="s">
        <v>282</v>
      </c>
      <c r="B9" s="317" t="s">
        <v>283</v>
      </c>
      <c r="C9" s="317" t="s">
        <v>297</v>
      </c>
      <c r="D9" s="24">
        <v>1</v>
      </c>
      <c r="E9" s="24">
        <v>2</v>
      </c>
      <c r="F9" s="24">
        <v>3</v>
      </c>
      <c r="G9" s="24">
        <v>4</v>
      </c>
    </row>
    <row r="10" spans="1:9" ht="25.5" x14ac:dyDescent="0.2">
      <c r="A10" s="313">
        <v>1</v>
      </c>
      <c r="B10" s="212" t="s">
        <v>187</v>
      </c>
      <c r="C10" s="314">
        <v>1</v>
      </c>
      <c r="D10" s="311"/>
      <c r="E10" s="311"/>
      <c r="F10" s="311"/>
      <c r="G10" s="312">
        <f>+D10+E10-F10</f>
        <v>0</v>
      </c>
      <c r="H10" s="287">
        <f>G10-i.04130!E79</f>
        <v>0</v>
      </c>
    </row>
    <row r="11" spans="1:9" ht="25.5" x14ac:dyDescent="0.2">
      <c r="A11" s="315">
        <v>2</v>
      </c>
      <c r="B11" s="212" t="s">
        <v>188</v>
      </c>
      <c r="C11" s="314">
        <f>+C10+1</f>
        <v>2</v>
      </c>
      <c r="D11" s="311"/>
      <c r="E11" s="311"/>
      <c r="F11" s="311"/>
      <c r="G11" s="312">
        <f t="shared" ref="G11:G13" si="0">+D11+E11-F11</f>
        <v>0</v>
      </c>
      <c r="H11" s="287">
        <f>G11-i.04130!E80</f>
        <v>0</v>
      </c>
    </row>
    <row r="12" spans="1:9" x14ac:dyDescent="0.2">
      <c r="A12" s="315">
        <v>3</v>
      </c>
      <c r="B12" s="212" t="s">
        <v>880</v>
      </c>
      <c r="C12" s="314">
        <v>3</v>
      </c>
      <c r="D12" s="311"/>
      <c r="E12" s="311"/>
      <c r="F12" s="311"/>
      <c r="G12" s="312">
        <f>D12+E12+F12</f>
        <v>0</v>
      </c>
      <c r="H12" s="287">
        <f>G12-i.04130!E81</f>
        <v>0</v>
      </c>
    </row>
    <row r="13" spans="1:9" x14ac:dyDescent="0.2">
      <c r="A13" s="315">
        <v>4</v>
      </c>
      <c r="B13" s="212" t="s">
        <v>177</v>
      </c>
      <c r="C13" s="314">
        <v>4</v>
      </c>
      <c r="D13" s="311"/>
      <c r="E13" s="311"/>
      <c r="F13" s="311"/>
      <c r="G13" s="312">
        <f t="shared" si="0"/>
        <v>0</v>
      </c>
      <c r="H13" s="287">
        <f>G13-i.04130!E82</f>
        <v>0</v>
      </c>
    </row>
    <row r="14" spans="1:9" x14ac:dyDescent="0.2">
      <c r="A14" s="632" t="s">
        <v>745</v>
      </c>
      <c r="B14" s="617"/>
      <c r="C14" s="24">
        <v>5</v>
      </c>
      <c r="D14" s="312">
        <f>SUM(D10:D13)</f>
        <v>0</v>
      </c>
      <c r="E14" s="312">
        <f>SUM(E10:E13)</f>
        <v>0</v>
      </c>
      <c r="F14" s="312">
        <f>SUM(F10:F13)</f>
        <v>0</v>
      </c>
      <c r="G14" s="312">
        <f>SUM(G10:G13)</f>
        <v>0</v>
      </c>
    </row>
    <row r="16" spans="1:9" x14ac:dyDescent="0.2">
      <c r="D16" s="287">
        <f>D14-i.04130!D83</f>
        <v>0</v>
      </c>
      <c r="G16" s="287">
        <f>G14-i.04130!E83</f>
        <v>0</v>
      </c>
    </row>
    <row r="17" spans="2:5" x14ac:dyDescent="0.2">
      <c r="B17" s="2" t="s">
        <v>285</v>
      </c>
      <c r="C17" s="271"/>
      <c r="D17" s="4"/>
      <c r="E17" s="4"/>
    </row>
    <row r="18" spans="2:5" x14ac:dyDescent="0.2">
      <c r="B18" s="5"/>
      <c r="C18" s="271"/>
      <c r="D18" s="4"/>
      <c r="E18" s="4"/>
    </row>
    <row r="19" spans="2:5" x14ac:dyDescent="0.2">
      <c r="B19" s="5" t="s">
        <v>286</v>
      </c>
      <c r="C19" s="271"/>
      <c r="D19" s="4"/>
      <c r="E19" s="4"/>
    </row>
    <row r="20" spans="2:5" x14ac:dyDescent="0.2">
      <c r="B20" s="5"/>
      <c r="C20" s="271"/>
      <c r="D20" s="4"/>
      <c r="E20" s="4"/>
    </row>
    <row r="21" spans="2:5" x14ac:dyDescent="0.2">
      <c r="B21" s="6" t="s">
        <v>287</v>
      </c>
      <c r="C21" s="576" t="s">
        <v>288</v>
      </c>
      <c r="D21" s="576"/>
      <c r="E21" s="4" t="s">
        <v>289</v>
      </c>
    </row>
    <row r="22" spans="2:5" x14ac:dyDescent="0.2">
      <c r="B22" s="5"/>
      <c r="C22" s="576"/>
      <c r="D22" s="576"/>
      <c r="E22" s="4"/>
    </row>
    <row r="23" spans="2:5" x14ac:dyDescent="0.2">
      <c r="B23" s="6" t="s">
        <v>290</v>
      </c>
      <c r="C23" s="576" t="s">
        <v>291</v>
      </c>
      <c r="D23" s="576"/>
      <c r="E23" s="4" t="s">
        <v>292</v>
      </c>
    </row>
    <row r="24" spans="2:5" x14ac:dyDescent="0.2">
      <c r="B24" s="5"/>
      <c r="C24" s="576"/>
      <c r="D24" s="576"/>
      <c r="E24" s="4"/>
    </row>
    <row r="25" spans="2:5" x14ac:dyDescent="0.2">
      <c r="B25" s="6" t="s">
        <v>293</v>
      </c>
      <c r="C25" s="576" t="s">
        <v>288</v>
      </c>
      <c r="D25" s="576"/>
      <c r="E25" s="4" t="s">
        <v>292</v>
      </c>
    </row>
  </sheetData>
  <sheetProtection password="CA9F" sheet="1" objects="1" scenarios="1"/>
  <mergeCells count="16">
    <mergeCell ref="C22:D22"/>
    <mergeCell ref="C23:D23"/>
    <mergeCell ref="C24:D24"/>
    <mergeCell ref="C25:D25"/>
    <mergeCell ref="A7:A8"/>
    <mergeCell ref="B7:B8"/>
    <mergeCell ref="C7:C8"/>
    <mergeCell ref="D7:G7"/>
    <mergeCell ref="A14:B14"/>
    <mergeCell ref="C21:D21"/>
    <mergeCell ref="F6:G6"/>
    <mergeCell ref="A1:B1"/>
    <mergeCell ref="E1:G2"/>
    <mergeCell ref="A3:I3"/>
    <mergeCell ref="A5:D5"/>
    <mergeCell ref="F5:G5"/>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7"/>
  <sheetViews>
    <sheetView zoomScaleNormal="100" zoomScalePageLayoutView="60" workbookViewId="0">
      <selection activeCell="C18" sqref="C18"/>
    </sheetView>
  </sheetViews>
  <sheetFormatPr defaultRowHeight="12.75" x14ac:dyDescent="0.2"/>
  <cols>
    <col min="1" max="1" width="11.5703125" style="286"/>
    <col min="2" max="2" width="96.7109375" style="286" customWidth="1"/>
    <col min="3" max="3" width="9.28515625" style="286" customWidth="1"/>
    <col min="4" max="11" width="24.140625" style="286" customWidth="1"/>
    <col min="12" max="1025" width="11.5703125" style="286"/>
    <col min="1026" max="16384" width="9.140625" style="286"/>
  </cols>
  <sheetData>
    <row r="1" spans="1:11" x14ac:dyDescent="0.2">
      <c r="A1" s="324"/>
      <c r="B1" s="325"/>
      <c r="C1" s="325" t="s">
        <v>0</v>
      </c>
      <c r="D1" s="325" t="s">
        <v>0</v>
      </c>
      <c r="E1" s="325" t="s">
        <v>0</v>
      </c>
      <c r="F1" s="325" t="s">
        <v>0</v>
      </c>
      <c r="G1" s="325"/>
      <c r="H1" s="325"/>
      <c r="I1" s="325" t="s">
        <v>0</v>
      </c>
      <c r="J1" s="325" t="s">
        <v>0</v>
      </c>
      <c r="K1" s="272"/>
    </row>
    <row r="2" spans="1:11" x14ac:dyDescent="0.2">
      <c r="A2" s="324"/>
      <c r="B2" s="325"/>
      <c r="C2" s="325" t="s">
        <v>0</v>
      </c>
      <c r="D2" s="325" t="s">
        <v>0</v>
      </c>
      <c r="E2" s="325" t="s">
        <v>0</v>
      </c>
      <c r="F2" s="325" t="s">
        <v>0</v>
      </c>
      <c r="G2" s="325"/>
      <c r="H2" s="325"/>
      <c r="I2" s="635" t="s">
        <v>779</v>
      </c>
      <c r="J2" s="635"/>
      <c r="K2" s="635"/>
    </row>
    <row r="3" spans="1:11" x14ac:dyDescent="0.2">
      <c r="A3" s="324"/>
      <c r="B3" s="325"/>
      <c r="C3" s="325" t="s">
        <v>0</v>
      </c>
      <c r="D3" s="325" t="s">
        <v>0</v>
      </c>
      <c r="E3" s="325" t="s">
        <v>0</v>
      </c>
      <c r="F3" s="325" t="s">
        <v>0</v>
      </c>
      <c r="G3" s="325"/>
      <c r="H3" s="325"/>
      <c r="I3" s="635"/>
      <c r="J3" s="635"/>
      <c r="K3" s="635"/>
    </row>
    <row r="4" spans="1:11" x14ac:dyDescent="0.2">
      <c r="A4" s="324"/>
      <c r="B4" s="325"/>
      <c r="C4" s="325" t="s">
        <v>0</v>
      </c>
      <c r="D4" s="325" t="s">
        <v>0</v>
      </c>
      <c r="E4" s="325" t="s">
        <v>0</v>
      </c>
      <c r="F4" s="325" t="s">
        <v>0</v>
      </c>
      <c r="G4" s="325"/>
      <c r="H4" s="325"/>
      <c r="I4" s="635"/>
      <c r="J4" s="635"/>
      <c r="K4" s="635"/>
    </row>
    <row r="5" spans="1:11" x14ac:dyDescent="0.2">
      <c r="A5" s="324"/>
      <c r="B5" s="272"/>
      <c r="C5" s="326" t="s">
        <v>777</v>
      </c>
      <c r="D5" s="325"/>
      <c r="E5" s="325"/>
      <c r="F5" s="325"/>
      <c r="G5" s="325"/>
      <c r="H5" s="325"/>
      <c r="I5" s="325"/>
      <c r="J5" s="325"/>
      <c r="K5" s="272"/>
    </row>
    <row r="6" spans="1:11" x14ac:dyDescent="0.2">
      <c r="A6" s="272" t="s">
        <v>778</v>
      </c>
      <c r="B6" s="272"/>
      <c r="C6" s="272"/>
      <c r="D6" s="272"/>
      <c r="E6" s="272"/>
      <c r="F6" s="272"/>
      <c r="G6" s="272"/>
      <c r="H6" s="272"/>
      <c r="I6" s="272"/>
      <c r="J6" s="630" t="s">
        <v>741</v>
      </c>
      <c r="K6" s="630"/>
    </row>
    <row r="7" spans="1:11" x14ac:dyDescent="0.2">
      <c r="A7" s="272"/>
      <c r="B7" s="272"/>
      <c r="C7" s="272"/>
      <c r="D7" s="272"/>
      <c r="E7" s="272"/>
      <c r="F7" s="272"/>
      <c r="G7" s="272"/>
      <c r="H7" s="272"/>
      <c r="I7" s="272"/>
      <c r="J7" s="630" t="s">
        <v>279</v>
      </c>
      <c r="K7" s="630"/>
    </row>
    <row r="8" spans="1:11" ht="25.5" x14ac:dyDescent="0.2">
      <c r="A8" s="319" t="s">
        <v>748</v>
      </c>
      <c r="B8" s="55" t="s">
        <v>749</v>
      </c>
      <c r="C8" s="319" t="s">
        <v>295</v>
      </c>
      <c r="D8" s="319" t="s">
        <v>223</v>
      </c>
      <c r="E8" s="319" t="s">
        <v>224</v>
      </c>
      <c r="F8" s="319" t="s">
        <v>225</v>
      </c>
      <c r="G8" s="319" t="s">
        <v>226</v>
      </c>
      <c r="H8" s="327" t="s">
        <v>182</v>
      </c>
      <c r="I8" s="55" t="s">
        <v>183</v>
      </c>
      <c r="J8" s="55" t="s">
        <v>184</v>
      </c>
      <c r="K8" s="319" t="s">
        <v>185</v>
      </c>
    </row>
    <row r="9" spans="1:11" x14ac:dyDescent="0.2">
      <c r="A9" s="319" t="s">
        <v>282</v>
      </c>
      <c r="B9" s="319" t="s">
        <v>283</v>
      </c>
      <c r="C9" s="319" t="s">
        <v>297</v>
      </c>
      <c r="D9" s="319">
        <v>1</v>
      </c>
      <c r="E9" s="319">
        <v>2</v>
      </c>
      <c r="F9" s="319">
        <v>3</v>
      </c>
      <c r="G9" s="319">
        <v>4</v>
      </c>
      <c r="H9" s="328">
        <v>5</v>
      </c>
      <c r="I9" s="329">
        <v>6</v>
      </c>
      <c r="J9" s="329">
        <v>7</v>
      </c>
      <c r="K9" s="319">
        <v>8</v>
      </c>
    </row>
    <row r="10" spans="1:11" ht="26.25" customHeight="1" x14ac:dyDescent="0.2">
      <c r="A10" s="633" t="s">
        <v>227</v>
      </c>
      <c r="B10" s="321" t="s">
        <v>750</v>
      </c>
      <c r="C10" s="322">
        <v>1</v>
      </c>
      <c r="D10" s="318"/>
      <c r="E10" s="318"/>
      <c r="F10" s="318"/>
      <c r="G10" s="318"/>
      <c r="H10" s="318"/>
      <c r="I10" s="318"/>
      <c r="J10" s="318"/>
      <c r="K10" s="318"/>
    </row>
    <row r="11" spans="1:11" x14ac:dyDescent="0.2">
      <c r="A11" s="633"/>
      <c r="B11" s="321" t="s">
        <v>751</v>
      </c>
      <c r="C11" s="322">
        <v>2</v>
      </c>
      <c r="D11" s="318"/>
      <c r="E11" s="318"/>
      <c r="F11" s="318"/>
      <c r="G11" s="318"/>
      <c r="H11" s="318"/>
      <c r="I11" s="318"/>
      <c r="J11" s="318"/>
      <c r="K11" s="318"/>
    </row>
    <row r="12" spans="1:11" x14ac:dyDescent="0.2">
      <c r="A12" s="633"/>
      <c r="B12" s="321" t="s">
        <v>752</v>
      </c>
      <c r="C12" s="322">
        <v>3</v>
      </c>
      <c r="D12" s="318"/>
      <c r="E12" s="318"/>
      <c r="F12" s="318"/>
      <c r="G12" s="318"/>
      <c r="H12" s="318"/>
      <c r="I12" s="318"/>
      <c r="J12" s="318"/>
      <c r="K12" s="318"/>
    </row>
    <row r="13" spans="1:11" x14ac:dyDescent="0.2">
      <c r="A13" s="633"/>
      <c r="B13" s="321" t="s">
        <v>753</v>
      </c>
      <c r="C13" s="322">
        <v>4</v>
      </c>
      <c r="D13" s="318"/>
      <c r="E13" s="318"/>
      <c r="F13" s="318"/>
      <c r="G13" s="318"/>
      <c r="H13" s="318"/>
      <c r="I13" s="318"/>
      <c r="J13" s="318"/>
      <c r="K13" s="318"/>
    </row>
    <row r="14" spans="1:11" x14ac:dyDescent="0.2">
      <c r="A14" s="633"/>
      <c r="B14" s="321" t="s">
        <v>754</v>
      </c>
      <c r="C14" s="322">
        <v>5</v>
      </c>
      <c r="D14" s="318"/>
      <c r="E14" s="318"/>
      <c r="F14" s="318"/>
      <c r="G14" s="318"/>
      <c r="H14" s="318"/>
      <c r="I14" s="318"/>
      <c r="J14" s="318"/>
      <c r="K14" s="318"/>
    </row>
    <row r="15" spans="1:11" x14ac:dyDescent="0.2">
      <c r="A15" s="633"/>
      <c r="B15" s="321" t="s">
        <v>755</v>
      </c>
      <c r="C15" s="322">
        <v>6</v>
      </c>
      <c r="D15" s="318"/>
      <c r="E15" s="318"/>
      <c r="F15" s="318"/>
      <c r="G15" s="318"/>
      <c r="H15" s="318"/>
      <c r="I15" s="318"/>
      <c r="J15" s="318"/>
      <c r="K15" s="318"/>
    </row>
    <row r="16" spans="1:11" x14ac:dyDescent="0.2">
      <c r="A16" s="633"/>
      <c r="B16" s="321" t="s">
        <v>756</v>
      </c>
      <c r="C16" s="322">
        <v>7</v>
      </c>
      <c r="D16" s="318"/>
      <c r="E16" s="318"/>
      <c r="F16" s="318"/>
      <c r="G16" s="318"/>
      <c r="H16" s="318"/>
      <c r="I16" s="318"/>
      <c r="J16" s="318"/>
      <c r="K16" s="318"/>
    </row>
    <row r="17" spans="1:11" x14ac:dyDescent="0.2">
      <c r="A17" s="633"/>
      <c r="B17" s="321" t="s">
        <v>757</v>
      </c>
      <c r="C17" s="322">
        <v>8</v>
      </c>
      <c r="D17" s="318"/>
      <c r="E17" s="318"/>
      <c r="F17" s="318"/>
      <c r="G17" s="318"/>
      <c r="H17" s="318"/>
      <c r="I17" s="318"/>
      <c r="J17" s="318"/>
      <c r="K17" s="318"/>
    </row>
    <row r="18" spans="1:11" x14ac:dyDescent="0.2">
      <c r="A18" s="633"/>
      <c r="B18" s="321" t="s">
        <v>758</v>
      </c>
      <c r="C18" s="322">
        <v>9</v>
      </c>
      <c r="D18" s="318"/>
      <c r="E18" s="318"/>
      <c r="F18" s="318"/>
      <c r="G18" s="318"/>
      <c r="H18" s="318"/>
      <c r="I18" s="318"/>
      <c r="J18" s="318"/>
      <c r="K18" s="318"/>
    </row>
    <row r="19" spans="1:11" x14ac:dyDescent="0.2">
      <c r="A19" s="633"/>
      <c r="B19" s="321" t="s">
        <v>759</v>
      </c>
      <c r="C19" s="322">
        <v>10</v>
      </c>
      <c r="D19" s="318"/>
      <c r="E19" s="318"/>
      <c r="F19" s="318"/>
      <c r="G19" s="318"/>
      <c r="H19" s="318"/>
      <c r="I19" s="318"/>
      <c r="J19" s="318"/>
      <c r="K19" s="318"/>
    </row>
    <row r="20" spans="1:11" x14ac:dyDescent="0.2">
      <c r="A20" s="633"/>
      <c r="B20" s="321" t="s">
        <v>760</v>
      </c>
      <c r="C20" s="322">
        <v>11</v>
      </c>
      <c r="D20" s="318"/>
      <c r="E20" s="318"/>
      <c r="F20" s="318"/>
      <c r="G20" s="318"/>
      <c r="H20" s="318"/>
      <c r="I20" s="318"/>
      <c r="J20" s="318"/>
      <c r="K20" s="318"/>
    </row>
    <row r="21" spans="1:11" x14ac:dyDescent="0.2">
      <c r="A21" s="633"/>
      <c r="B21" s="321" t="s">
        <v>761</v>
      </c>
      <c r="C21" s="322">
        <v>12</v>
      </c>
      <c r="D21" s="318"/>
      <c r="E21" s="318"/>
      <c r="F21" s="318"/>
      <c r="G21" s="318"/>
      <c r="H21" s="318"/>
      <c r="I21" s="318"/>
      <c r="J21" s="318"/>
      <c r="K21" s="318"/>
    </row>
    <row r="22" spans="1:11" x14ac:dyDescent="0.2">
      <c r="A22" s="633"/>
      <c r="B22" s="321" t="s">
        <v>762</v>
      </c>
      <c r="C22" s="322">
        <v>13</v>
      </c>
      <c r="D22" s="318"/>
      <c r="E22" s="318"/>
      <c r="F22" s="318"/>
      <c r="G22" s="318"/>
      <c r="H22" s="318"/>
      <c r="I22" s="318"/>
      <c r="J22" s="318"/>
      <c r="K22" s="318"/>
    </row>
    <row r="23" spans="1:11" x14ac:dyDescent="0.2">
      <c r="A23" s="633"/>
      <c r="B23" s="323" t="s">
        <v>763</v>
      </c>
      <c r="C23" s="322">
        <v>14</v>
      </c>
      <c r="D23" s="318"/>
      <c r="E23" s="318"/>
      <c r="F23" s="318"/>
      <c r="G23" s="318"/>
      <c r="H23" s="318"/>
      <c r="I23" s="318"/>
      <c r="J23" s="318"/>
      <c r="K23" s="318"/>
    </row>
    <row r="24" spans="1:11" x14ac:dyDescent="0.2">
      <c r="A24" s="633"/>
      <c r="B24" s="323" t="s">
        <v>764</v>
      </c>
      <c r="C24" s="322">
        <v>15</v>
      </c>
      <c r="D24" s="318"/>
      <c r="E24" s="318"/>
      <c r="F24" s="318"/>
      <c r="G24" s="318"/>
      <c r="H24" s="318"/>
      <c r="I24" s="318"/>
      <c r="J24" s="318"/>
      <c r="K24" s="318"/>
    </row>
    <row r="25" spans="1:11" x14ac:dyDescent="0.2">
      <c r="A25" s="633"/>
      <c r="B25" s="323" t="s">
        <v>765</v>
      </c>
      <c r="C25" s="322">
        <v>16</v>
      </c>
      <c r="D25" s="318"/>
      <c r="E25" s="318"/>
      <c r="F25" s="318"/>
      <c r="G25" s="318"/>
      <c r="H25" s="318"/>
      <c r="I25" s="318"/>
      <c r="J25" s="318"/>
      <c r="K25" s="318"/>
    </row>
    <row r="26" spans="1:11" ht="25.5" x14ac:dyDescent="0.2">
      <c r="A26" s="633"/>
      <c r="B26" s="323" t="s">
        <v>766</v>
      </c>
      <c r="C26" s="322">
        <v>17</v>
      </c>
      <c r="D26" s="318"/>
      <c r="E26" s="318"/>
      <c r="F26" s="318"/>
      <c r="G26" s="318"/>
      <c r="H26" s="318"/>
      <c r="I26" s="318"/>
      <c r="J26" s="318"/>
      <c r="K26" s="318"/>
    </row>
    <row r="27" spans="1:11" x14ac:dyDescent="0.2">
      <c r="A27" s="633"/>
      <c r="B27" s="323" t="s">
        <v>767</v>
      </c>
      <c r="C27" s="322">
        <v>18</v>
      </c>
      <c r="D27" s="318"/>
      <c r="E27" s="318"/>
      <c r="F27" s="318"/>
      <c r="G27" s="318"/>
      <c r="H27" s="318"/>
      <c r="I27" s="318"/>
      <c r="J27" s="318"/>
      <c r="K27" s="318"/>
    </row>
    <row r="28" spans="1:11" x14ac:dyDescent="0.2">
      <c r="A28" s="633" t="s">
        <v>228</v>
      </c>
      <c r="B28" s="321" t="s">
        <v>768</v>
      </c>
      <c r="C28" s="322">
        <v>19</v>
      </c>
      <c r="D28" s="318"/>
      <c r="E28" s="318"/>
      <c r="F28" s="318"/>
      <c r="G28" s="318"/>
      <c r="H28" s="318"/>
      <c r="I28" s="318"/>
      <c r="J28" s="318"/>
      <c r="K28" s="318"/>
    </row>
    <row r="29" spans="1:11" x14ac:dyDescent="0.2">
      <c r="A29" s="633"/>
      <c r="B29" s="321" t="s">
        <v>769</v>
      </c>
      <c r="C29" s="322">
        <v>20</v>
      </c>
      <c r="D29" s="318"/>
      <c r="E29" s="318"/>
      <c r="F29" s="318"/>
      <c r="G29" s="318"/>
      <c r="H29" s="318"/>
      <c r="I29" s="318"/>
      <c r="J29" s="318"/>
      <c r="K29" s="318"/>
    </row>
    <row r="30" spans="1:11" x14ac:dyDescent="0.2">
      <c r="A30" s="633"/>
      <c r="B30" s="321" t="s">
        <v>770</v>
      </c>
      <c r="C30" s="322">
        <v>21</v>
      </c>
      <c r="D30" s="318"/>
      <c r="E30" s="318"/>
      <c r="F30" s="318"/>
      <c r="G30" s="318"/>
      <c r="H30" s="318"/>
      <c r="I30" s="318"/>
      <c r="J30" s="318"/>
      <c r="K30" s="318"/>
    </row>
    <row r="31" spans="1:11" x14ac:dyDescent="0.2">
      <c r="A31" s="633"/>
      <c r="B31" s="321" t="s">
        <v>771</v>
      </c>
      <c r="C31" s="322">
        <v>22</v>
      </c>
      <c r="D31" s="318"/>
      <c r="E31" s="318"/>
      <c r="F31" s="318"/>
      <c r="G31" s="318"/>
      <c r="H31" s="318"/>
      <c r="I31" s="318"/>
      <c r="J31" s="318"/>
      <c r="K31" s="318"/>
    </row>
    <row r="32" spans="1:11" x14ac:dyDescent="0.2">
      <c r="A32" s="633"/>
      <c r="B32" s="321" t="s">
        <v>772</v>
      </c>
      <c r="C32" s="322">
        <v>23</v>
      </c>
      <c r="D32" s="318"/>
      <c r="E32" s="318"/>
      <c r="F32" s="318"/>
      <c r="G32" s="318"/>
      <c r="H32" s="318"/>
      <c r="I32" s="318"/>
      <c r="J32" s="318"/>
      <c r="K32" s="318"/>
    </row>
    <row r="33" spans="1:11" x14ac:dyDescent="0.2">
      <c r="A33" s="633"/>
      <c r="B33" s="321" t="s">
        <v>773</v>
      </c>
      <c r="C33" s="322">
        <v>24</v>
      </c>
      <c r="D33" s="318"/>
      <c r="E33" s="318"/>
      <c r="F33" s="318"/>
      <c r="G33" s="318"/>
      <c r="H33" s="318"/>
      <c r="I33" s="318"/>
      <c r="J33" s="318"/>
      <c r="K33" s="318"/>
    </row>
    <row r="34" spans="1:11" x14ac:dyDescent="0.2">
      <c r="A34" s="633"/>
      <c r="B34" s="321" t="s">
        <v>774</v>
      </c>
      <c r="C34" s="322">
        <v>25</v>
      </c>
      <c r="D34" s="318"/>
      <c r="E34" s="318"/>
      <c r="F34" s="318"/>
      <c r="G34" s="318"/>
      <c r="H34" s="318"/>
      <c r="I34" s="318"/>
      <c r="J34" s="318"/>
      <c r="K34" s="318"/>
    </row>
    <row r="35" spans="1:11" x14ac:dyDescent="0.2">
      <c r="A35" s="633"/>
      <c r="B35" s="321" t="s">
        <v>775</v>
      </c>
      <c r="C35" s="322">
        <v>26</v>
      </c>
      <c r="D35" s="318"/>
      <c r="E35" s="318"/>
      <c r="F35" s="318"/>
      <c r="G35" s="318"/>
      <c r="H35" s="318"/>
      <c r="I35" s="318"/>
      <c r="J35" s="318"/>
      <c r="K35" s="318"/>
    </row>
    <row r="36" spans="1:11" x14ac:dyDescent="0.2">
      <c r="A36" s="634" t="s">
        <v>776</v>
      </c>
      <c r="B36" s="634"/>
      <c r="C36" s="319">
        <v>27</v>
      </c>
      <c r="D36" s="320">
        <f>SUM(D10:D35)</f>
        <v>0</v>
      </c>
      <c r="E36" s="320">
        <f t="shared" ref="E36:K36" si="0">SUM(E10:E35)</f>
        <v>0</v>
      </c>
      <c r="F36" s="320">
        <f t="shared" si="0"/>
        <v>0</v>
      </c>
      <c r="G36" s="320">
        <f t="shared" si="0"/>
        <v>0</v>
      </c>
      <c r="H36" s="320">
        <f t="shared" si="0"/>
        <v>0</v>
      </c>
      <c r="I36" s="320">
        <f t="shared" si="0"/>
        <v>0</v>
      </c>
      <c r="J36" s="320">
        <f t="shared" si="0"/>
        <v>0</v>
      </c>
      <c r="K36" s="320">
        <f t="shared" si="0"/>
        <v>0</v>
      </c>
    </row>
    <row r="38" spans="1:11" x14ac:dyDescent="0.2">
      <c r="D38" s="288"/>
      <c r="E38" s="288"/>
      <c r="F38" s="287">
        <f>F36-i.04131!E10</f>
        <v>0</v>
      </c>
      <c r="G38" s="288"/>
      <c r="H38" s="287">
        <f>H36-i.04131!E11</f>
        <v>0</v>
      </c>
      <c r="I38" s="287">
        <f>I36-i.04131!E12</f>
        <v>0</v>
      </c>
      <c r="J38" s="287">
        <f>J36-i.04131!E13</f>
        <v>0</v>
      </c>
      <c r="K38" s="287">
        <f>K36-i.04131!E17</f>
        <v>0</v>
      </c>
    </row>
    <row r="39" spans="1:11" x14ac:dyDescent="0.2">
      <c r="B39" s="2" t="s">
        <v>285</v>
      </c>
      <c r="C39" s="271"/>
      <c r="D39" s="4"/>
      <c r="E39" s="4"/>
    </row>
    <row r="40" spans="1:11" x14ac:dyDescent="0.2">
      <c r="B40" s="5"/>
      <c r="C40" s="271"/>
      <c r="D40" s="4"/>
      <c r="E40" s="4"/>
    </row>
    <row r="41" spans="1:11" x14ac:dyDescent="0.2">
      <c r="B41" s="5" t="s">
        <v>286</v>
      </c>
      <c r="C41" s="271"/>
      <c r="D41" s="4"/>
      <c r="E41" s="4"/>
    </row>
    <row r="42" spans="1:11" x14ac:dyDescent="0.2">
      <c r="B42" s="5"/>
      <c r="C42" s="271"/>
      <c r="D42" s="4"/>
      <c r="E42" s="4"/>
    </row>
    <row r="43" spans="1:11" x14ac:dyDescent="0.2">
      <c r="B43" s="6" t="s">
        <v>287</v>
      </c>
      <c r="C43" s="576" t="s">
        <v>288</v>
      </c>
      <c r="D43" s="576"/>
      <c r="E43" s="4" t="s">
        <v>289</v>
      </c>
    </row>
    <row r="44" spans="1:11" x14ac:dyDescent="0.2">
      <c r="B44" s="5"/>
      <c r="C44" s="576"/>
      <c r="D44" s="576"/>
      <c r="E44" s="4"/>
    </row>
    <row r="45" spans="1:11" x14ac:dyDescent="0.2">
      <c r="B45" s="6" t="s">
        <v>290</v>
      </c>
      <c r="C45" s="576" t="s">
        <v>291</v>
      </c>
      <c r="D45" s="576"/>
      <c r="E45" s="4" t="s">
        <v>292</v>
      </c>
    </row>
    <row r="46" spans="1:11" x14ac:dyDescent="0.2">
      <c r="B46" s="5"/>
      <c r="C46" s="576"/>
      <c r="D46" s="576"/>
      <c r="E46" s="4"/>
    </row>
    <row r="47" spans="1:11" x14ac:dyDescent="0.2">
      <c r="B47" s="6" t="s">
        <v>293</v>
      </c>
      <c r="C47" s="576" t="s">
        <v>288</v>
      </c>
      <c r="D47" s="576"/>
      <c r="E47" s="4" t="s">
        <v>292</v>
      </c>
    </row>
  </sheetData>
  <sheetProtection password="CA9F" sheet="1" objects="1" scenarios="1"/>
  <mergeCells count="11">
    <mergeCell ref="I2:K4"/>
    <mergeCell ref="C43:D43"/>
    <mergeCell ref="C44:D44"/>
    <mergeCell ref="C45:D45"/>
    <mergeCell ref="C46:D46"/>
    <mergeCell ref="C47:D47"/>
    <mergeCell ref="A28:A35"/>
    <mergeCell ref="A36:B36"/>
    <mergeCell ref="A10:A27"/>
    <mergeCell ref="J6:K6"/>
    <mergeCell ref="J7:K7"/>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74E0E-7C1F-483D-B5F8-279BF7980DF1}">
  <dimension ref="A1:E86"/>
  <sheetViews>
    <sheetView topLeftCell="A52" workbookViewId="0">
      <selection activeCell="B69" sqref="B69"/>
    </sheetView>
  </sheetViews>
  <sheetFormatPr defaultRowHeight="12.75" x14ac:dyDescent="0.2"/>
  <cols>
    <col min="1" max="1" width="5" style="286" customWidth="1"/>
    <col min="2" max="2" width="49.7109375" style="286" customWidth="1"/>
    <col min="3" max="3" width="30.140625" style="286" customWidth="1"/>
    <col min="4" max="4" width="18.28515625" style="286" customWidth="1"/>
    <col min="5" max="16384" width="9.140625" style="286"/>
  </cols>
  <sheetData>
    <row r="1" spans="1:5" ht="12.75" customHeight="1" x14ac:dyDescent="0.2">
      <c r="C1" s="636" t="s">
        <v>882</v>
      </c>
      <c r="D1" s="636"/>
    </row>
    <row r="2" spans="1:5" ht="32.25" customHeight="1" x14ac:dyDescent="0.2">
      <c r="C2" s="636"/>
      <c r="D2" s="636"/>
    </row>
    <row r="3" spans="1:5" x14ac:dyDescent="0.2">
      <c r="A3" s="637" t="s">
        <v>881</v>
      </c>
      <c r="B3" s="637"/>
      <c r="C3" s="637"/>
      <c r="D3" s="637"/>
    </row>
    <row r="4" spans="1:5" x14ac:dyDescent="0.2">
      <c r="A4" s="73"/>
      <c r="B4" s="351"/>
      <c r="C4" s="225"/>
      <c r="D4" s="226"/>
    </row>
    <row r="5" spans="1:5" x14ac:dyDescent="0.2">
      <c r="A5" s="73"/>
      <c r="B5" s="351"/>
      <c r="C5" s="225"/>
      <c r="D5" s="226"/>
    </row>
    <row r="6" spans="1:5" ht="25.5" x14ac:dyDescent="0.2">
      <c r="A6" s="64" t="s">
        <v>778</v>
      </c>
      <c r="B6" s="63"/>
      <c r="C6" s="63"/>
      <c r="D6" s="399" t="s">
        <v>741</v>
      </c>
    </row>
    <row r="7" spans="1:5" x14ac:dyDescent="0.2">
      <c r="B7" s="65"/>
      <c r="C7" s="65"/>
      <c r="D7" s="399" t="s">
        <v>279</v>
      </c>
    </row>
    <row r="8" spans="1:5" x14ac:dyDescent="0.2">
      <c r="A8" s="352"/>
      <c r="B8" s="353" t="s">
        <v>883</v>
      </c>
      <c r="C8" s="354" t="s">
        <v>884</v>
      </c>
      <c r="D8" s="232" t="s">
        <v>885</v>
      </c>
    </row>
    <row r="9" spans="1:5" x14ac:dyDescent="0.2">
      <c r="A9" s="353" t="s">
        <v>282</v>
      </c>
      <c r="B9" s="353" t="s">
        <v>283</v>
      </c>
      <c r="C9" s="355">
        <v>1</v>
      </c>
      <c r="D9" s="232">
        <v>2</v>
      </c>
    </row>
    <row r="10" spans="1:5" ht="25.5" x14ac:dyDescent="0.2">
      <c r="A10" s="356" t="s">
        <v>788</v>
      </c>
      <c r="B10" s="356" t="s">
        <v>886</v>
      </c>
      <c r="C10" s="357">
        <f>C11+C12+C13+C14+C15+C16+C17+C18+C19+C20+C21+C22+C23+C24+C25+C26+C27+C28+C29+C30</f>
        <v>0</v>
      </c>
      <c r="D10" s="358" t="e">
        <f>C10/C76</f>
        <v>#DIV/0!</v>
      </c>
      <c r="E10" s="288" t="e">
        <f>IF(D10&gt;1/3,"","журамд заасан хувиас дутуу байршуулсан")</f>
        <v>#DIV/0!</v>
      </c>
    </row>
    <row r="11" spans="1:5" x14ac:dyDescent="0.2">
      <c r="A11" s="350">
        <v>1.1000000000000001</v>
      </c>
      <c r="B11" s="341" t="str">
        <f>"Хаан банк"</f>
        <v>Хаан банк</v>
      </c>
      <c r="C11" s="66"/>
      <c r="D11" s="349" t="e">
        <f>C11/$C$10</f>
        <v>#DIV/0!</v>
      </c>
      <c r="E11" s="288" t="e">
        <f>IF(D11&lt;=0.25,"","журамд заасан хувиас хэтрүүлж байршуулсан")</f>
        <v>#DIV/0!</v>
      </c>
    </row>
    <row r="12" spans="1:5" x14ac:dyDescent="0.2">
      <c r="A12" s="350">
        <v>1.2</v>
      </c>
      <c r="B12" s="341" t="str">
        <f>"Голомт банк"</f>
        <v>Голомт банк</v>
      </c>
      <c r="C12" s="66"/>
      <c r="D12" s="349" t="e">
        <f t="shared" ref="D12:D30" si="0">C12/$C$10</f>
        <v>#DIV/0!</v>
      </c>
      <c r="E12" s="288" t="e">
        <f t="shared" ref="E12:E30" si="1">IF(D12&lt;=0.25,"","журамд заасан хувиас хэтрүүлж байршуулсан")</f>
        <v>#DIV/0!</v>
      </c>
    </row>
    <row r="13" spans="1:5" x14ac:dyDescent="0.2">
      <c r="A13" s="350">
        <v>1.3</v>
      </c>
      <c r="B13" s="341" t="str">
        <f>"Худалдаа хөгжлийн банк"</f>
        <v>Худалдаа хөгжлийн банк</v>
      </c>
      <c r="C13" s="66"/>
      <c r="D13" s="349" t="e">
        <f t="shared" si="0"/>
        <v>#DIV/0!</v>
      </c>
      <c r="E13" s="288" t="e">
        <f t="shared" si="1"/>
        <v>#DIV/0!</v>
      </c>
    </row>
    <row r="14" spans="1:5" x14ac:dyDescent="0.2">
      <c r="A14" s="350">
        <v>1.4</v>
      </c>
      <c r="B14" s="341" t="str">
        <f>"Төрийн банк"</f>
        <v>Төрийн банк</v>
      </c>
      <c r="C14" s="66"/>
      <c r="D14" s="349" t="e">
        <f t="shared" si="0"/>
        <v>#DIV/0!</v>
      </c>
      <c r="E14" s="288" t="e">
        <f t="shared" si="1"/>
        <v>#DIV/0!</v>
      </c>
    </row>
    <row r="15" spans="1:5" x14ac:dyDescent="0.2">
      <c r="A15" s="350">
        <v>1.5</v>
      </c>
      <c r="B15" s="341" t="str">
        <f>"Хас банк"</f>
        <v>Хас банк</v>
      </c>
      <c r="C15" s="66"/>
      <c r="D15" s="349" t="e">
        <f t="shared" si="0"/>
        <v>#DIV/0!</v>
      </c>
      <c r="E15" s="288" t="e">
        <f t="shared" si="1"/>
        <v>#DIV/0!</v>
      </c>
    </row>
    <row r="16" spans="1:5" x14ac:dyDescent="0.2">
      <c r="A16" s="350">
        <v>1.6</v>
      </c>
      <c r="B16" s="341" t="str">
        <f>"Улаанбаатар хотын банк"</f>
        <v>Улаанбаатар хотын банк</v>
      </c>
      <c r="C16" s="66"/>
      <c r="D16" s="349" t="e">
        <f t="shared" si="0"/>
        <v>#DIV/0!</v>
      </c>
      <c r="E16" s="288" t="e">
        <f t="shared" si="1"/>
        <v>#DIV/0!</v>
      </c>
    </row>
    <row r="17" spans="1:5" x14ac:dyDescent="0.2">
      <c r="A17" s="350">
        <v>1.7</v>
      </c>
      <c r="B17" s="341" t="str">
        <f>"Капитал банк"</f>
        <v>Капитал банк</v>
      </c>
      <c r="C17" s="66"/>
      <c r="D17" s="349" t="e">
        <f t="shared" si="0"/>
        <v>#DIV/0!</v>
      </c>
      <c r="E17" s="288" t="e">
        <f t="shared" si="1"/>
        <v>#DIV/0!</v>
      </c>
    </row>
    <row r="18" spans="1:5" x14ac:dyDescent="0.2">
      <c r="A18" s="350">
        <v>1.8</v>
      </c>
      <c r="B18" s="341" t="str">
        <f>"Үндэсний хөрөнгө оруулалтын банк"</f>
        <v>Үндэсний хөрөнгө оруулалтын банк</v>
      </c>
      <c r="C18" s="66"/>
      <c r="D18" s="349" t="e">
        <f t="shared" si="0"/>
        <v>#DIV/0!</v>
      </c>
      <c r="E18" s="288" t="e">
        <f t="shared" si="1"/>
        <v>#DIV/0!</v>
      </c>
    </row>
    <row r="19" spans="1:5" x14ac:dyDescent="0.2">
      <c r="A19" s="350">
        <v>1.9</v>
      </c>
      <c r="B19" s="341" t="str">
        <f>"Капитрон банк"</f>
        <v>Капитрон банк</v>
      </c>
      <c r="C19" s="66"/>
      <c r="D19" s="349" t="e">
        <f t="shared" si="0"/>
        <v>#DIV/0!</v>
      </c>
      <c r="E19" s="288" t="e">
        <f t="shared" si="1"/>
        <v>#DIV/0!</v>
      </c>
    </row>
    <row r="20" spans="1:5" x14ac:dyDescent="0.2">
      <c r="A20" s="340">
        <v>1.1000000000000001</v>
      </c>
      <c r="B20" s="341" t="str">
        <f>"Ариг банк"</f>
        <v>Ариг банк</v>
      </c>
      <c r="C20" s="66"/>
      <c r="D20" s="349" t="e">
        <f t="shared" si="0"/>
        <v>#DIV/0!</v>
      </c>
      <c r="E20" s="288" t="e">
        <f t="shared" si="1"/>
        <v>#DIV/0!</v>
      </c>
    </row>
    <row r="21" spans="1:5" x14ac:dyDescent="0.2">
      <c r="A21" s="350">
        <v>1.1100000000000001</v>
      </c>
      <c r="B21" s="341" t="str">
        <f>"Кредит банк"</f>
        <v>Кредит банк</v>
      </c>
      <c r="C21" s="66"/>
      <c r="D21" s="349" t="e">
        <f t="shared" si="0"/>
        <v>#DIV/0!</v>
      </c>
      <c r="E21" s="288" t="e">
        <f t="shared" si="1"/>
        <v>#DIV/0!</v>
      </c>
    </row>
    <row r="22" spans="1:5" x14ac:dyDescent="0.2">
      <c r="A22" s="350">
        <v>1.1200000000000001</v>
      </c>
      <c r="B22" s="341" t="str">
        <f>"Тээвэр Хөгжлийн банк"</f>
        <v>Тээвэр Хөгжлийн банк</v>
      </c>
      <c r="C22" s="66"/>
      <c r="D22" s="349" t="e">
        <f t="shared" si="0"/>
        <v>#DIV/0!</v>
      </c>
      <c r="E22" s="288" t="e">
        <f t="shared" si="1"/>
        <v>#DIV/0!</v>
      </c>
    </row>
    <row r="23" spans="1:5" x14ac:dyDescent="0.2">
      <c r="A23" s="350">
        <v>1.1299999999999999</v>
      </c>
      <c r="B23" s="341" t="str">
        <f>"Чингис хаан банк"</f>
        <v>Чингис хаан банк</v>
      </c>
      <c r="C23" s="66"/>
      <c r="D23" s="349" t="e">
        <f t="shared" si="0"/>
        <v>#DIV/0!</v>
      </c>
      <c r="E23" s="288" t="e">
        <f t="shared" si="1"/>
        <v>#DIV/0!</v>
      </c>
    </row>
    <row r="24" spans="1:5" x14ac:dyDescent="0.2">
      <c r="A24" s="350">
        <v>1.1399999999999999</v>
      </c>
      <c r="B24" s="341" t="str">
        <f>"Богд банк"</f>
        <v>Богд банк</v>
      </c>
      <c r="C24" s="66"/>
      <c r="D24" s="349" t="e">
        <f t="shared" si="0"/>
        <v>#DIV/0!</v>
      </c>
      <c r="E24" s="288" t="e">
        <f t="shared" si="1"/>
        <v>#DIV/0!</v>
      </c>
    </row>
    <row r="25" spans="1:5" x14ac:dyDescent="0.2">
      <c r="A25" s="350">
        <v>1.1499999999999999</v>
      </c>
      <c r="B25" s="67"/>
      <c r="C25" s="66"/>
      <c r="D25" s="349" t="e">
        <f t="shared" si="0"/>
        <v>#DIV/0!</v>
      </c>
      <c r="E25" s="288" t="e">
        <f t="shared" si="1"/>
        <v>#DIV/0!</v>
      </c>
    </row>
    <row r="26" spans="1:5" x14ac:dyDescent="0.2">
      <c r="A26" s="350">
        <v>1.1599999999999999</v>
      </c>
      <c r="B26" s="67"/>
      <c r="C26" s="66"/>
      <c r="D26" s="349" t="e">
        <f t="shared" si="0"/>
        <v>#DIV/0!</v>
      </c>
      <c r="E26" s="288" t="e">
        <f t="shared" si="1"/>
        <v>#DIV/0!</v>
      </c>
    </row>
    <row r="27" spans="1:5" x14ac:dyDescent="0.2">
      <c r="A27" s="350">
        <v>1.17</v>
      </c>
      <c r="B27" s="67"/>
      <c r="C27" s="66"/>
      <c r="D27" s="349" t="e">
        <f t="shared" si="0"/>
        <v>#DIV/0!</v>
      </c>
      <c r="E27" s="288" t="e">
        <f t="shared" si="1"/>
        <v>#DIV/0!</v>
      </c>
    </row>
    <row r="28" spans="1:5" x14ac:dyDescent="0.2">
      <c r="A28" s="350">
        <v>1.18</v>
      </c>
      <c r="B28" s="67"/>
      <c r="C28" s="66"/>
      <c r="D28" s="349" t="e">
        <f t="shared" si="0"/>
        <v>#DIV/0!</v>
      </c>
      <c r="E28" s="288" t="e">
        <f t="shared" si="1"/>
        <v>#DIV/0!</v>
      </c>
    </row>
    <row r="29" spans="1:5" x14ac:dyDescent="0.2">
      <c r="A29" s="350">
        <v>1.19</v>
      </c>
      <c r="B29" s="67"/>
      <c r="C29" s="66"/>
      <c r="D29" s="349" t="e">
        <f t="shared" si="0"/>
        <v>#DIV/0!</v>
      </c>
      <c r="E29" s="288" t="e">
        <f t="shared" si="1"/>
        <v>#DIV/0!</v>
      </c>
    </row>
    <row r="30" spans="1:5" x14ac:dyDescent="0.2">
      <c r="A30" s="350" t="s">
        <v>789</v>
      </c>
      <c r="B30" s="67"/>
      <c r="C30" s="66"/>
      <c r="D30" s="349" t="e">
        <f t="shared" si="0"/>
        <v>#DIV/0!</v>
      </c>
      <c r="E30" s="288" t="e">
        <f t="shared" si="1"/>
        <v>#DIV/0!</v>
      </c>
    </row>
    <row r="31" spans="1:5" ht="38.25" x14ac:dyDescent="0.2">
      <c r="A31" s="331" t="s">
        <v>790</v>
      </c>
      <c r="B31" s="345" t="s">
        <v>887</v>
      </c>
      <c r="C31" s="346">
        <f>C32+C47+C62+C63+C64+C65+C66+C67+C73+C74+C75</f>
        <v>0</v>
      </c>
      <c r="D31" s="347" t="e">
        <f>C31/C76</f>
        <v>#DIV/0!</v>
      </c>
      <c r="E31" s="288"/>
    </row>
    <row r="32" spans="1:5" x14ac:dyDescent="0.2">
      <c r="A32" s="348">
        <v>2.1</v>
      </c>
      <c r="B32" s="342" t="s">
        <v>905</v>
      </c>
      <c r="C32" s="343">
        <f>SUM(C33:C46)</f>
        <v>0</v>
      </c>
      <c r="D32" s="335" t="e">
        <f>C32/$C$76</f>
        <v>#DIV/0!</v>
      </c>
      <c r="E32" s="288"/>
    </row>
    <row r="33" spans="1:5" x14ac:dyDescent="0.2">
      <c r="A33" s="344" t="s">
        <v>348</v>
      </c>
      <c r="B33" s="341" t="str">
        <f>"Хаан банк"</f>
        <v>Хаан банк</v>
      </c>
      <c r="C33" s="68"/>
      <c r="D33" s="335" t="e">
        <f t="shared" ref="D33:D75" si="2">C33/$C$76</f>
        <v>#DIV/0!</v>
      </c>
      <c r="E33" s="288" t="e">
        <f>IF(D33&lt;=0.2,"","журамд заасан хувиас хэтрүүлж байршуулсан")</f>
        <v>#DIV/0!</v>
      </c>
    </row>
    <row r="34" spans="1:5" x14ac:dyDescent="0.2">
      <c r="A34" s="344" t="s">
        <v>350</v>
      </c>
      <c r="B34" s="341" t="str">
        <f>"Голомт банк"</f>
        <v>Голомт банк</v>
      </c>
      <c r="C34" s="68"/>
      <c r="D34" s="335" t="e">
        <f t="shared" si="2"/>
        <v>#DIV/0!</v>
      </c>
      <c r="E34" s="288" t="e">
        <f t="shared" ref="E34:E46" si="3">IF(D34&lt;=0.2,"","журамд заасан хувиас хэтрүүлж байршуулсан")</f>
        <v>#DIV/0!</v>
      </c>
    </row>
    <row r="35" spans="1:5" x14ac:dyDescent="0.2">
      <c r="A35" s="344" t="s">
        <v>352</v>
      </c>
      <c r="B35" s="341" t="str">
        <f>"Худалдаа хөгжлийн банк"</f>
        <v>Худалдаа хөгжлийн банк</v>
      </c>
      <c r="C35" s="68"/>
      <c r="D35" s="335" t="e">
        <f t="shared" si="2"/>
        <v>#DIV/0!</v>
      </c>
      <c r="E35" s="288" t="e">
        <f t="shared" si="3"/>
        <v>#DIV/0!</v>
      </c>
    </row>
    <row r="36" spans="1:5" x14ac:dyDescent="0.2">
      <c r="A36" s="344" t="s">
        <v>354</v>
      </c>
      <c r="B36" s="341" t="str">
        <f>"Төрийн банк"</f>
        <v>Төрийн банк</v>
      </c>
      <c r="C36" s="68"/>
      <c r="D36" s="335" t="e">
        <f t="shared" si="2"/>
        <v>#DIV/0!</v>
      </c>
      <c r="E36" s="288" t="e">
        <f t="shared" si="3"/>
        <v>#DIV/0!</v>
      </c>
    </row>
    <row r="37" spans="1:5" x14ac:dyDescent="0.2">
      <c r="A37" s="278" t="s">
        <v>356</v>
      </c>
      <c r="B37" s="341" t="str">
        <f>"Хас банк"</f>
        <v>Хас банк</v>
      </c>
      <c r="C37" s="68"/>
      <c r="D37" s="335" t="e">
        <f t="shared" si="2"/>
        <v>#DIV/0!</v>
      </c>
      <c r="E37" s="288" t="e">
        <f t="shared" si="3"/>
        <v>#DIV/0!</v>
      </c>
    </row>
    <row r="38" spans="1:5" x14ac:dyDescent="0.2">
      <c r="A38" s="278" t="s">
        <v>358</v>
      </c>
      <c r="B38" s="341" t="str">
        <f>"Улаанбаатар хотын банк"</f>
        <v>Улаанбаатар хотын банк</v>
      </c>
      <c r="C38" s="68"/>
      <c r="D38" s="335" t="e">
        <f>C38/$C$76</f>
        <v>#DIV/0!</v>
      </c>
      <c r="E38" s="288" t="e">
        <f t="shared" si="3"/>
        <v>#DIV/0!</v>
      </c>
    </row>
    <row r="39" spans="1:5" x14ac:dyDescent="0.2">
      <c r="A39" s="278" t="s">
        <v>360</v>
      </c>
      <c r="B39" s="341" t="str">
        <f>"Капитал банк"</f>
        <v>Капитал банк</v>
      </c>
      <c r="C39" s="68"/>
      <c r="D39" s="335" t="e">
        <f t="shared" si="2"/>
        <v>#DIV/0!</v>
      </c>
      <c r="E39" s="288" t="e">
        <f t="shared" si="3"/>
        <v>#DIV/0!</v>
      </c>
    </row>
    <row r="40" spans="1:5" x14ac:dyDescent="0.2">
      <c r="A40" s="278" t="s">
        <v>655</v>
      </c>
      <c r="B40" s="341" t="str">
        <f>"Үндэсний хөрөнгө оруулалтын банк"</f>
        <v>Үндэсний хөрөнгө оруулалтын банк</v>
      </c>
      <c r="C40" s="68"/>
      <c r="D40" s="335" t="e">
        <f t="shared" si="2"/>
        <v>#DIV/0!</v>
      </c>
      <c r="E40" s="288" t="e">
        <f t="shared" si="3"/>
        <v>#DIV/0!</v>
      </c>
    </row>
    <row r="41" spans="1:5" x14ac:dyDescent="0.2">
      <c r="A41" s="278" t="s">
        <v>888</v>
      </c>
      <c r="B41" s="341" t="str">
        <f>"Капитрон банк"</f>
        <v>Капитрон банк</v>
      </c>
      <c r="C41" s="68"/>
      <c r="D41" s="335" t="e">
        <f t="shared" si="2"/>
        <v>#DIV/0!</v>
      </c>
      <c r="E41" s="288" t="e">
        <f t="shared" si="3"/>
        <v>#DIV/0!</v>
      </c>
    </row>
    <row r="42" spans="1:5" ht="15.75" customHeight="1" x14ac:dyDescent="0.2">
      <c r="A42" s="278" t="s">
        <v>889</v>
      </c>
      <c r="B42" s="341" t="str">
        <f>"Ариг банк"</f>
        <v>Ариг банк</v>
      </c>
      <c r="C42" s="68"/>
      <c r="D42" s="335" t="e">
        <f t="shared" si="2"/>
        <v>#DIV/0!</v>
      </c>
      <c r="E42" s="288" t="e">
        <f t="shared" si="3"/>
        <v>#DIV/0!</v>
      </c>
    </row>
    <row r="43" spans="1:5" ht="13.5" customHeight="1" x14ac:dyDescent="0.2">
      <c r="A43" s="278" t="s">
        <v>890</v>
      </c>
      <c r="B43" s="341" t="str">
        <f>"Кредит банк"</f>
        <v>Кредит банк</v>
      </c>
      <c r="C43" s="68"/>
      <c r="D43" s="335" t="e">
        <f t="shared" si="2"/>
        <v>#DIV/0!</v>
      </c>
      <c r="E43" s="288" t="e">
        <f t="shared" si="3"/>
        <v>#DIV/0!</v>
      </c>
    </row>
    <row r="44" spans="1:5" ht="13.5" customHeight="1" x14ac:dyDescent="0.2">
      <c r="A44" s="278" t="s">
        <v>891</v>
      </c>
      <c r="B44" s="341" t="str">
        <f>"Тээвэр Хөгжлийн банк"</f>
        <v>Тээвэр Хөгжлийн банк</v>
      </c>
      <c r="C44" s="68"/>
      <c r="D44" s="335" t="e">
        <f t="shared" si="2"/>
        <v>#DIV/0!</v>
      </c>
      <c r="E44" s="288" t="e">
        <f t="shared" si="3"/>
        <v>#DIV/0!</v>
      </c>
    </row>
    <row r="45" spans="1:5" ht="13.5" customHeight="1" x14ac:dyDescent="0.2">
      <c r="A45" s="278" t="s">
        <v>892</v>
      </c>
      <c r="B45" s="341" t="str">
        <f>"Чингис хаан банк"</f>
        <v>Чингис хаан банк</v>
      </c>
      <c r="C45" s="68"/>
      <c r="D45" s="335" t="e">
        <f t="shared" si="2"/>
        <v>#DIV/0!</v>
      </c>
      <c r="E45" s="288" t="e">
        <f t="shared" si="3"/>
        <v>#DIV/0!</v>
      </c>
    </row>
    <row r="46" spans="1:5" ht="13.5" customHeight="1" x14ac:dyDescent="0.2">
      <c r="A46" s="278" t="s">
        <v>893</v>
      </c>
      <c r="B46" s="341" t="str">
        <f>"Богд банк"</f>
        <v>Богд банк</v>
      </c>
      <c r="C46" s="68"/>
      <c r="D46" s="335" t="e">
        <f t="shared" si="2"/>
        <v>#DIV/0!</v>
      </c>
      <c r="E46" s="288" t="e">
        <f t="shared" si="3"/>
        <v>#DIV/0!</v>
      </c>
    </row>
    <row r="47" spans="1:5" x14ac:dyDescent="0.2">
      <c r="A47" s="336">
        <v>2.2000000000000002</v>
      </c>
      <c r="B47" s="342" t="s">
        <v>906</v>
      </c>
      <c r="C47" s="343">
        <f>SUM(C48:C61)</f>
        <v>0</v>
      </c>
      <c r="D47" s="335" t="e">
        <f t="shared" si="2"/>
        <v>#DIV/0!</v>
      </c>
      <c r="E47" s="288"/>
    </row>
    <row r="48" spans="1:5" x14ac:dyDescent="0.2">
      <c r="A48" s="340" t="s">
        <v>362</v>
      </c>
      <c r="B48" s="341" t="str">
        <f>"Хаан банк"</f>
        <v>Хаан банк</v>
      </c>
      <c r="C48" s="68"/>
      <c r="D48" s="335" t="e">
        <f t="shared" si="2"/>
        <v>#DIV/0!</v>
      </c>
      <c r="E48" s="288" t="e">
        <f>IF(D48&lt;=0.2,"","журамд заасан хувиас хэтрүүлж байршуулсан")</f>
        <v>#DIV/0!</v>
      </c>
    </row>
    <row r="49" spans="1:5" x14ac:dyDescent="0.2">
      <c r="A49" s="340" t="s">
        <v>364</v>
      </c>
      <c r="B49" s="341" t="str">
        <f>"Голомт банк"</f>
        <v>Голомт банк</v>
      </c>
      <c r="C49" s="68"/>
      <c r="D49" s="335" t="e">
        <f t="shared" si="2"/>
        <v>#DIV/0!</v>
      </c>
      <c r="E49" s="288" t="e">
        <f t="shared" ref="E49:E61" si="4">IF(D49&lt;=0.2,"","журамд заасан хувиас хэтрүүлж байршуулсан")</f>
        <v>#DIV/0!</v>
      </c>
    </row>
    <row r="50" spans="1:5" x14ac:dyDescent="0.2">
      <c r="A50" s="340" t="s">
        <v>366</v>
      </c>
      <c r="B50" s="341" t="str">
        <f>"Худалдаа хөгжлийн банк"</f>
        <v>Худалдаа хөгжлийн банк</v>
      </c>
      <c r="C50" s="68"/>
      <c r="D50" s="335" t="e">
        <f t="shared" si="2"/>
        <v>#DIV/0!</v>
      </c>
      <c r="E50" s="288" t="e">
        <f t="shared" si="4"/>
        <v>#DIV/0!</v>
      </c>
    </row>
    <row r="51" spans="1:5" x14ac:dyDescent="0.2">
      <c r="A51" s="340" t="s">
        <v>368</v>
      </c>
      <c r="B51" s="341" t="str">
        <f>"Төрийн банк"</f>
        <v>Төрийн банк</v>
      </c>
      <c r="C51" s="68"/>
      <c r="D51" s="335" t="e">
        <f t="shared" si="2"/>
        <v>#DIV/0!</v>
      </c>
      <c r="E51" s="288" t="e">
        <f t="shared" si="4"/>
        <v>#DIV/0!</v>
      </c>
    </row>
    <row r="52" spans="1:5" x14ac:dyDescent="0.2">
      <c r="A52" s="340" t="s">
        <v>370</v>
      </c>
      <c r="B52" s="341" t="str">
        <f>"Хас банк"</f>
        <v>Хас банк</v>
      </c>
      <c r="C52" s="68"/>
      <c r="D52" s="335" t="e">
        <f t="shared" si="2"/>
        <v>#DIV/0!</v>
      </c>
      <c r="E52" s="288" t="e">
        <f t="shared" si="4"/>
        <v>#DIV/0!</v>
      </c>
    </row>
    <row r="53" spans="1:5" x14ac:dyDescent="0.2">
      <c r="A53" s="340" t="s">
        <v>643</v>
      </c>
      <c r="B53" s="341" t="str">
        <f>"Улаанбаатар хотын банк"</f>
        <v>Улаанбаатар хотын банк</v>
      </c>
      <c r="C53" s="68"/>
      <c r="D53" s="335" t="e">
        <f t="shared" si="2"/>
        <v>#DIV/0!</v>
      </c>
      <c r="E53" s="288" t="e">
        <f t="shared" si="4"/>
        <v>#DIV/0!</v>
      </c>
    </row>
    <row r="54" spans="1:5" x14ac:dyDescent="0.2">
      <c r="A54" s="340" t="s">
        <v>644</v>
      </c>
      <c r="B54" s="341" t="str">
        <f>"Капитал банк"</f>
        <v>Капитал банк</v>
      </c>
      <c r="C54" s="68"/>
      <c r="D54" s="335" t="e">
        <f t="shared" si="2"/>
        <v>#DIV/0!</v>
      </c>
      <c r="E54" s="288" t="e">
        <f t="shared" si="4"/>
        <v>#DIV/0!</v>
      </c>
    </row>
    <row r="55" spans="1:5" x14ac:dyDescent="0.2">
      <c r="A55" s="340" t="s">
        <v>645</v>
      </c>
      <c r="B55" s="341" t="str">
        <f>"Үндэсний хөрөнгө оруулалтын банк"</f>
        <v>Үндэсний хөрөнгө оруулалтын банк</v>
      </c>
      <c r="C55" s="68"/>
      <c r="D55" s="335" t="e">
        <f t="shared" si="2"/>
        <v>#DIV/0!</v>
      </c>
      <c r="E55" s="288" t="e">
        <f t="shared" si="4"/>
        <v>#DIV/0!</v>
      </c>
    </row>
    <row r="56" spans="1:5" x14ac:dyDescent="0.2">
      <c r="A56" s="340" t="s">
        <v>657</v>
      </c>
      <c r="B56" s="341" t="str">
        <f>"Капитрон банк"</f>
        <v>Капитрон банк</v>
      </c>
      <c r="C56" s="68"/>
      <c r="D56" s="335" t="e">
        <f t="shared" si="2"/>
        <v>#DIV/0!</v>
      </c>
      <c r="E56" s="288" t="e">
        <f t="shared" si="4"/>
        <v>#DIV/0!</v>
      </c>
    </row>
    <row r="57" spans="1:5" ht="12.75" customHeight="1" x14ac:dyDescent="0.2">
      <c r="A57" s="340" t="s">
        <v>894</v>
      </c>
      <c r="B57" s="341" t="str">
        <f>"Ариг банк"</f>
        <v>Ариг банк</v>
      </c>
      <c r="C57" s="68"/>
      <c r="D57" s="335" t="e">
        <f t="shared" si="2"/>
        <v>#DIV/0!</v>
      </c>
      <c r="E57" s="288" t="e">
        <f t="shared" si="4"/>
        <v>#DIV/0!</v>
      </c>
    </row>
    <row r="58" spans="1:5" ht="12.75" customHeight="1" x14ac:dyDescent="0.2">
      <c r="A58" s="340" t="s">
        <v>895</v>
      </c>
      <c r="B58" s="341" t="str">
        <f>"Кредит банк"</f>
        <v>Кредит банк</v>
      </c>
      <c r="C58" s="68"/>
      <c r="D58" s="335" t="e">
        <f t="shared" si="2"/>
        <v>#DIV/0!</v>
      </c>
      <c r="E58" s="288" t="e">
        <f t="shared" si="4"/>
        <v>#DIV/0!</v>
      </c>
    </row>
    <row r="59" spans="1:5" ht="12.75" customHeight="1" x14ac:dyDescent="0.2">
      <c r="A59" s="340" t="s">
        <v>896</v>
      </c>
      <c r="B59" s="341" t="str">
        <f>"Тээвэр Хөгжлийн банк"</f>
        <v>Тээвэр Хөгжлийн банк</v>
      </c>
      <c r="C59" s="68"/>
      <c r="D59" s="335" t="e">
        <f t="shared" si="2"/>
        <v>#DIV/0!</v>
      </c>
      <c r="E59" s="288" t="e">
        <f t="shared" si="4"/>
        <v>#DIV/0!</v>
      </c>
    </row>
    <row r="60" spans="1:5" ht="12.75" customHeight="1" x14ac:dyDescent="0.2">
      <c r="A60" s="340" t="s">
        <v>897</v>
      </c>
      <c r="B60" s="341" t="str">
        <f>"Чингис хаан банк"</f>
        <v>Чингис хаан банк</v>
      </c>
      <c r="C60" s="68"/>
      <c r="D60" s="335" t="e">
        <f t="shared" si="2"/>
        <v>#DIV/0!</v>
      </c>
      <c r="E60" s="288" t="e">
        <f t="shared" si="4"/>
        <v>#DIV/0!</v>
      </c>
    </row>
    <row r="61" spans="1:5" ht="12.75" customHeight="1" x14ac:dyDescent="0.2">
      <c r="A61" s="340" t="s">
        <v>898</v>
      </c>
      <c r="B61" s="341" t="str">
        <f>"Богд банк"</f>
        <v>Богд банк</v>
      </c>
      <c r="C61" s="68"/>
      <c r="D61" s="335" t="e">
        <f t="shared" si="2"/>
        <v>#DIV/0!</v>
      </c>
      <c r="E61" s="288" t="e">
        <f t="shared" si="4"/>
        <v>#DIV/0!</v>
      </c>
    </row>
    <row r="62" spans="1:5" x14ac:dyDescent="0.2">
      <c r="A62" s="336">
        <v>2.2999999999999998</v>
      </c>
      <c r="B62" s="337" t="s">
        <v>916</v>
      </c>
      <c r="C62" s="68"/>
      <c r="D62" s="335" t="e">
        <f t="shared" si="2"/>
        <v>#DIV/0!</v>
      </c>
      <c r="E62" s="288"/>
    </row>
    <row r="63" spans="1:5" x14ac:dyDescent="0.2">
      <c r="A63" s="336">
        <v>2.4</v>
      </c>
      <c r="B63" s="337" t="s">
        <v>915</v>
      </c>
      <c r="C63" s="68"/>
      <c r="D63" s="335" t="e">
        <f t="shared" si="2"/>
        <v>#DIV/0!</v>
      </c>
      <c r="E63" s="288" t="e">
        <f>IF(D63&lt;=0.6,"","журамд заасан хувиас хэтрүүлж байршуулсан")</f>
        <v>#DIV/0!</v>
      </c>
    </row>
    <row r="64" spans="1:5" x14ac:dyDescent="0.2">
      <c r="A64" s="336">
        <v>2.5</v>
      </c>
      <c r="B64" s="339" t="s">
        <v>914</v>
      </c>
      <c r="C64" s="68"/>
      <c r="D64" s="335" t="e">
        <f t="shared" si="2"/>
        <v>#DIV/0!</v>
      </c>
      <c r="E64" s="288" t="e">
        <f>IF(D64&lt;=0.2,"","журамд заасан хувиас хэтрүүлж байршуулсан")</f>
        <v>#DIV/0!</v>
      </c>
    </row>
    <row r="65" spans="1:5" x14ac:dyDescent="0.2">
      <c r="A65" s="336">
        <v>2.6</v>
      </c>
      <c r="B65" s="339" t="s">
        <v>913</v>
      </c>
      <c r="C65" s="68"/>
      <c r="D65" s="335" t="e">
        <f t="shared" si="2"/>
        <v>#DIV/0!</v>
      </c>
      <c r="E65" s="288" t="e">
        <f>IF(D65&lt;=0.2,"","журамд заасан хувиас хэтрүүлж байршуулсан")</f>
        <v>#DIV/0!</v>
      </c>
    </row>
    <row r="66" spans="1:5" x14ac:dyDescent="0.2">
      <c r="A66" s="336">
        <v>2.7</v>
      </c>
      <c r="B66" s="339" t="s">
        <v>912</v>
      </c>
      <c r="C66" s="68"/>
      <c r="D66" s="335" t="e">
        <f t="shared" si="2"/>
        <v>#DIV/0!</v>
      </c>
      <c r="E66" s="288" t="e">
        <f>IF(D66&lt;=0.1,"","журамд заасан хувиас хэтрүүлж байршуулсан")</f>
        <v>#DIV/0!</v>
      </c>
    </row>
    <row r="67" spans="1:5" x14ac:dyDescent="0.2">
      <c r="A67" s="336">
        <v>2.8</v>
      </c>
      <c r="B67" s="337" t="s">
        <v>911</v>
      </c>
      <c r="C67" s="343">
        <f>C68+C69+C70+C71+C72</f>
        <v>0</v>
      </c>
      <c r="D67" s="335" t="e">
        <f t="shared" si="2"/>
        <v>#DIV/0!</v>
      </c>
      <c r="E67" s="288" t="e">
        <f>IF(D67&lt;=0.1,"","журамд заасан хувиас хэтрүүлж байршуулсан")</f>
        <v>#DIV/0!</v>
      </c>
    </row>
    <row r="68" spans="1:5" x14ac:dyDescent="0.2">
      <c r="A68" s="340" t="s">
        <v>899</v>
      </c>
      <c r="B68" s="330" t="s">
        <v>907</v>
      </c>
      <c r="C68" s="68"/>
      <c r="D68" s="335" t="e">
        <f t="shared" si="2"/>
        <v>#DIV/0!</v>
      </c>
      <c r="E68" s="288" t="e">
        <f t="shared" ref="E68:E74" si="5">IF(D68&lt;=0.05,"","журамд заасан хувиас хэтрүүлж байршуулсан")</f>
        <v>#DIV/0!</v>
      </c>
    </row>
    <row r="69" spans="1:5" x14ac:dyDescent="0.2">
      <c r="A69" s="340" t="s">
        <v>900</v>
      </c>
      <c r="B69" s="330" t="s">
        <v>907</v>
      </c>
      <c r="C69" s="68"/>
      <c r="D69" s="335" t="e">
        <f t="shared" si="2"/>
        <v>#DIV/0!</v>
      </c>
      <c r="E69" s="288" t="e">
        <f t="shared" si="5"/>
        <v>#DIV/0!</v>
      </c>
    </row>
    <row r="70" spans="1:5" x14ac:dyDescent="0.2">
      <c r="A70" s="340" t="s">
        <v>901</v>
      </c>
      <c r="B70" s="330" t="s">
        <v>907</v>
      </c>
      <c r="C70" s="68"/>
      <c r="D70" s="335" t="e">
        <f t="shared" si="2"/>
        <v>#DIV/0!</v>
      </c>
      <c r="E70" s="288" t="e">
        <f t="shared" si="5"/>
        <v>#DIV/0!</v>
      </c>
    </row>
    <row r="71" spans="1:5" x14ac:dyDescent="0.2">
      <c r="A71" s="340" t="s">
        <v>902</v>
      </c>
      <c r="B71" s="330" t="s">
        <v>907</v>
      </c>
      <c r="C71" s="68"/>
      <c r="D71" s="335" t="e">
        <f t="shared" si="2"/>
        <v>#DIV/0!</v>
      </c>
      <c r="E71" s="288" t="e">
        <f t="shared" si="5"/>
        <v>#DIV/0!</v>
      </c>
    </row>
    <row r="72" spans="1:5" x14ac:dyDescent="0.2">
      <c r="A72" s="340" t="s">
        <v>903</v>
      </c>
      <c r="B72" s="330" t="s">
        <v>907</v>
      </c>
      <c r="C72" s="68"/>
      <c r="D72" s="335" t="e">
        <f t="shared" si="2"/>
        <v>#DIV/0!</v>
      </c>
      <c r="E72" s="288" t="e">
        <f t="shared" si="5"/>
        <v>#DIV/0!</v>
      </c>
    </row>
    <row r="73" spans="1:5" x14ac:dyDescent="0.2">
      <c r="A73" s="336">
        <v>2.9</v>
      </c>
      <c r="B73" s="337" t="s">
        <v>908</v>
      </c>
      <c r="C73" s="69"/>
      <c r="D73" s="335" t="e">
        <f t="shared" si="2"/>
        <v>#DIV/0!</v>
      </c>
      <c r="E73" s="288" t="e">
        <f t="shared" si="5"/>
        <v>#DIV/0!</v>
      </c>
    </row>
    <row r="74" spans="1:5" ht="25.5" x14ac:dyDescent="0.2">
      <c r="A74" s="338">
        <v>2.1</v>
      </c>
      <c r="B74" s="339" t="s">
        <v>910</v>
      </c>
      <c r="C74" s="69"/>
      <c r="D74" s="335" t="e">
        <f t="shared" si="2"/>
        <v>#DIV/0!</v>
      </c>
      <c r="E74" s="288" t="e">
        <f t="shared" si="5"/>
        <v>#DIV/0!</v>
      </c>
    </row>
    <row r="75" spans="1:5" ht="25.5" x14ac:dyDescent="0.2">
      <c r="A75" s="338">
        <v>2.11</v>
      </c>
      <c r="B75" s="339" t="s">
        <v>909</v>
      </c>
      <c r="C75" s="69"/>
      <c r="D75" s="335" t="e">
        <f t="shared" si="2"/>
        <v>#DIV/0!</v>
      </c>
      <c r="E75" s="288" t="e">
        <f>IF(D75&lt;=0.1,"","журамд заасан хувиас хэтрүүлж байршуулсан")</f>
        <v>#DIV/0!</v>
      </c>
    </row>
    <row r="76" spans="1:5" ht="38.25" x14ac:dyDescent="0.2">
      <c r="A76" s="331" t="s">
        <v>791</v>
      </c>
      <c r="B76" s="332" t="s">
        <v>904</v>
      </c>
      <c r="C76" s="333">
        <f>C31+C10</f>
        <v>0</v>
      </c>
      <c r="D76" s="334" t="e">
        <f>C76/C76</f>
        <v>#DIV/0!</v>
      </c>
      <c r="E76" s="288"/>
    </row>
    <row r="77" spans="1:5" x14ac:dyDescent="0.2">
      <c r="A77" s="73"/>
      <c r="B77" s="224"/>
      <c r="C77" s="225"/>
      <c r="D77" s="226"/>
    </row>
    <row r="78" spans="1:5" x14ac:dyDescent="0.2">
      <c r="A78" s="70"/>
      <c r="B78" s="2" t="s">
        <v>285</v>
      </c>
      <c r="C78" s="394"/>
      <c r="D78" s="4"/>
      <c r="E78" s="4"/>
    </row>
    <row r="79" spans="1:5" x14ac:dyDescent="0.2">
      <c r="A79" s="70"/>
      <c r="B79" s="5"/>
      <c r="C79" s="394"/>
      <c r="D79" s="4"/>
      <c r="E79" s="4"/>
    </row>
    <row r="80" spans="1:5" x14ac:dyDescent="0.2">
      <c r="A80" s="70"/>
      <c r="B80" s="5" t="s">
        <v>286</v>
      </c>
      <c r="C80" s="394"/>
      <c r="D80" s="4"/>
      <c r="E80" s="4"/>
    </row>
    <row r="81" spans="1:5" x14ac:dyDescent="0.2">
      <c r="A81" s="70"/>
      <c r="B81" s="5"/>
      <c r="C81" s="394"/>
      <c r="D81" s="4"/>
      <c r="E81" s="4"/>
    </row>
    <row r="82" spans="1:5" x14ac:dyDescent="0.2">
      <c r="A82" s="70"/>
      <c r="B82" s="6" t="s">
        <v>287</v>
      </c>
      <c r="C82" s="576" t="s">
        <v>288</v>
      </c>
      <c r="D82" s="576"/>
      <c r="E82" s="4" t="s">
        <v>289</v>
      </c>
    </row>
    <row r="83" spans="1:5" x14ac:dyDescent="0.2">
      <c r="A83" s="71"/>
      <c r="B83" s="5"/>
      <c r="C83" s="576"/>
      <c r="D83" s="576"/>
      <c r="E83" s="4"/>
    </row>
    <row r="84" spans="1:5" x14ac:dyDescent="0.2">
      <c r="A84" s="72"/>
      <c r="B84" s="6" t="s">
        <v>290</v>
      </c>
      <c r="C84" s="576" t="s">
        <v>291</v>
      </c>
      <c r="D84" s="576"/>
      <c r="E84" s="4" t="s">
        <v>292</v>
      </c>
    </row>
    <row r="85" spans="1:5" x14ac:dyDescent="0.2">
      <c r="A85" s="73"/>
      <c r="B85" s="5"/>
      <c r="C85" s="576"/>
      <c r="D85" s="576"/>
      <c r="E85" s="4"/>
    </row>
    <row r="86" spans="1:5" x14ac:dyDescent="0.2">
      <c r="A86" s="73"/>
      <c r="B86" s="6" t="s">
        <v>293</v>
      </c>
      <c r="C86" s="576" t="s">
        <v>288</v>
      </c>
      <c r="D86" s="576"/>
      <c r="E86" s="4" t="s">
        <v>292</v>
      </c>
    </row>
  </sheetData>
  <sheetProtection password="CA9F" sheet="1" objects="1" scenarios="1"/>
  <mergeCells count="7">
    <mergeCell ref="C83:D83"/>
    <mergeCell ref="C84:D84"/>
    <mergeCell ref="C85:D85"/>
    <mergeCell ref="C86:D86"/>
    <mergeCell ref="C1:D2"/>
    <mergeCell ref="C82:D82"/>
    <mergeCell ref="A3:D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DDA3C-AB59-4CAB-A680-DCB44ACF73D9}">
  <sheetPr>
    <pageSetUpPr fitToPage="1"/>
  </sheetPr>
  <dimension ref="A1:H97"/>
  <sheetViews>
    <sheetView tabSelected="1" topLeftCell="A46" zoomScaleNormal="100" workbookViewId="0">
      <selection activeCell="H66" sqref="H66"/>
    </sheetView>
  </sheetViews>
  <sheetFormatPr defaultRowHeight="12.75" x14ac:dyDescent="0.2"/>
  <cols>
    <col min="1" max="1" width="4.85546875" style="120" customWidth="1"/>
    <col min="2" max="2" width="35.5703125" style="80" customWidth="1"/>
    <col min="3" max="3" width="6.28515625" style="74" customWidth="1"/>
    <col min="4" max="6" width="26.42578125" style="74" customWidth="1"/>
    <col min="7" max="256" width="9.140625" style="74"/>
    <col min="257" max="257" width="4.85546875" style="74" customWidth="1"/>
    <col min="258" max="258" width="35.5703125" style="74" customWidth="1"/>
    <col min="259" max="259" width="6.28515625" style="74" customWidth="1"/>
    <col min="260" max="260" width="16.5703125" style="74" customWidth="1"/>
    <col min="261" max="262" width="16.28515625" style="74" customWidth="1"/>
    <col min="263" max="512" width="9.140625" style="74"/>
    <col min="513" max="513" width="4.85546875" style="74" customWidth="1"/>
    <col min="514" max="514" width="35.5703125" style="74" customWidth="1"/>
    <col min="515" max="515" width="6.28515625" style="74" customWidth="1"/>
    <col min="516" max="516" width="16.5703125" style="74" customWidth="1"/>
    <col min="517" max="518" width="16.28515625" style="74" customWidth="1"/>
    <col min="519" max="768" width="9.140625" style="74"/>
    <col min="769" max="769" width="4.85546875" style="74" customWidth="1"/>
    <col min="770" max="770" width="35.5703125" style="74" customWidth="1"/>
    <col min="771" max="771" width="6.28515625" style="74" customWidth="1"/>
    <col min="772" max="772" width="16.5703125" style="74" customWidth="1"/>
    <col min="773" max="774" width="16.28515625" style="74" customWidth="1"/>
    <col min="775" max="1024" width="9.140625" style="74"/>
    <col min="1025" max="1025" width="4.85546875" style="74" customWidth="1"/>
    <col min="1026" max="1026" width="35.5703125" style="74" customWidth="1"/>
    <col min="1027" max="1027" width="6.28515625" style="74" customWidth="1"/>
    <col min="1028" max="1028" width="16.5703125" style="74" customWidth="1"/>
    <col min="1029" max="1030" width="16.28515625" style="74" customWidth="1"/>
    <col min="1031" max="1280" width="9.140625" style="74"/>
    <col min="1281" max="1281" width="4.85546875" style="74" customWidth="1"/>
    <col min="1282" max="1282" width="35.5703125" style="74" customWidth="1"/>
    <col min="1283" max="1283" width="6.28515625" style="74" customWidth="1"/>
    <col min="1284" max="1284" width="16.5703125" style="74" customWidth="1"/>
    <col min="1285" max="1286" width="16.28515625" style="74" customWidth="1"/>
    <col min="1287" max="1536" width="9.140625" style="74"/>
    <col min="1537" max="1537" width="4.85546875" style="74" customWidth="1"/>
    <col min="1538" max="1538" width="35.5703125" style="74" customWidth="1"/>
    <col min="1539" max="1539" width="6.28515625" style="74" customWidth="1"/>
    <col min="1540" max="1540" width="16.5703125" style="74" customWidth="1"/>
    <col min="1541" max="1542" width="16.28515625" style="74" customWidth="1"/>
    <col min="1543" max="1792" width="9.140625" style="74"/>
    <col min="1793" max="1793" width="4.85546875" style="74" customWidth="1"/>
    <col min="1794" max="1794" width="35.5703125" style="74" customWidth="1"/>
    <col min="1795" max="1795" width="6.28515625" style="74" customWidth="1"/>
    <col min="1796" max="1796" width="16.5703125" style="74" customWidth="1"/>
    <col min="1797" max="1798" width="16.28515625" style="74" customWidth="1"/>
    <col min="1799" max="2048" width="9.140625" style="74"/>
    <col min="2049" max="2049" width="4.85546875" style="74" customWidth="1"/>
    <col min="2050" max="2050" width="35.5703125" style="74" customWidth="1"/>
    <col min="2051" max="2051" width="6.28515625" style="74" customWidth="1"/>
    <col min="2052" max="2052" width="16.5703125" style="74" customWidth="1"/>
    <col min="2053" max="2054" width="16.28515625" style="74" customWidth="1"/>
    <col min="2055" max="2304" width="9.140625" style="74"/>
    <col min="2305" max="2305" width="4.85546875" style="74" customWidth="1"/>
    <col min="2306" max="2306" width="35.5703125" style="74" customWidth="1"/>
    <col min="2307" max="2307" width="6.28515625" style="74" customWidth="1"/>
    <col min="2308" max="2308" width="16.5703125" style="74" customWidth="1"/>
    <col min="2309" max="2310" width="16.28515625" style="74" customWidth="1"/>
    <col min="2311" max="2560" width="9.140625" style="74"/>
    <col min="2561" max="2561" width="4.85546875" style="74" customWidth="1"/>
    <col min="2562" max="2562" width="35.5703125" style="74" customWidth="1"/>
    <col min="2563" max="2563" width="6.28515625" style="74" customWidth="1"/>
    <col min="2564" max="2564" width="16.5703125" style="74" customWidth="1"/>
    <col min="2565" max="2566" width="16.28515625" style="74" customWidth="1"/>
    <col min="2567" max="2816" width="9.140625" style="74"/>
    <col min="2817" max="2817" width="4.85546875" style="74" customWidth="1"/>
    <col min="2818" max="2818" width="35.5703125" style="74" customWidth="1"/>
    <col min="2819" max="2819" width="6.28515625" style="74" customWidth="1"/>
    <col min="2820" max="2820" width="16.5703125" style="74" customWidth="1"/>
    <col min="2821" max="2822" width="16.28515625" style="74" customWidth="1"/>
    <col min="2823" max="3072" width="9.140625" style="74"/>
    <col min="3073" max="3073" width="4.85546875" style="74" customWidth="1"/>
    <col min="3074" max="3074" width="35.5703125" style="74" customWidth="1"/>
    <col min="3075" max="3075" width="6.28515625" style="74" customWidth="1"/>
    <col min="3076" max="3076" width="16.5703125" style="74" customWidth="1"/>
    <col min="3077" max="3078" width="16.28515625" style="74" customWidth="1"/>
    <col min="3079" max="3328" width="9.140625" style="74"/>
    <col min="3329" max="3329" width="4.85546875" style="74" customWidth="1"/>
    <col min="3330" max="3330" width="35.5703125" style="74" customWidth="1"/>
    <col min="3331" max="3331" width="6.28515625" style="74" customWidth="1"/>
    <col min="3332" max="3332" width="16.5703125" style="74" customWidth="1"/>
    <col min="3333" max="3334" width="16.28515625" style="74" customWidth="1"/>
    <col min="3335" max="3584" width="9.140625" style="74"/>
    <col min="3585" max="3585" width="4.85546875" style="74" customWidth="1"/>
    <col min="3586" max="3586" width="35.5703125" style="74" customWidth="1"/>
    <col min="3587" max="3587" width="6.28515625" style="74" customWidth="1"/>
    <col min="3588" max="3588" width="16.5703125" style="74" customWidth="1"/>
    <col min="3589" max="3590" width="16.28515625" style="74" customWidth="1"/>
    <col min="3591" max="3840" width="9.140625" style="74"/>
    <col min="3841" max="3841" width="4.85546875" style="74" customWidth="1"/>
    <col min="3842" max="3842" width="35.5703125" style="74" customWidth="1"/>
    <col min="3843" max="3843" width="6.28515625" style="74" customWidth="1"/>
    <col min="3844" max="3844" width="16.5703125" style="74" customWidth="1"/>
    <col min="3845" max="3846" width="16.28515625" style="74" customWidth="1"/>
    <col min="3847" max="4096" width="9.140625" style="74"/>
    <col min="4097" max="4097" width="4.85546875" style="74" customWidth="1"/>
    <col min="4098" max="4098" width="35.5703125" style="74" customWidth="1"/>
    <col min="4099" max="4099" width="6.28515625" style="74" customWidth="1"/>
    <col min="4100" max="4100" width="16.5703125" style="74" customWidth="1"/>
    <col min="4101" max="4102" width="16.28515625" style="74" customWidth="1"/>
    <col min="4103" max="4352" width="9.140625" style="74"/>
    <col min="4353" max="4353" width="4.85546875" style="74" customWidth="1"/>
    <col min="4354" max="4354" width="35.5703125" style="74" customWidth="1"/>
    <col min="4355" max="4355" width="6.28515625" style="74" customWidth="1"/>
    <col min="4356" max="4356" width="16.5703125" style="74" customWidth="1"/>
    <col min="4357" max="4358" width="16.28515625" style="74" customWidth="1"/>
    <col min="4359" max="4608" width="9.140625" style="74"/>
    <col min="4609" max="4609" width="4.85546875" style="74" customWidth="1"/>
    <col min="4610" max="4610" width="35.5703125" style="74" customWidth="1"/>
    <col min="4611" max="4611" width="6.28515625" style="74" customWidth="1"/>
    <col min="4612" max="4612" width="16.5703125" style="74" customWidth="1"/>
    <col min="4613" max="4614" width="16.28515625" style="74" customWidth="1"/>
    <col min="4615" max="4864" width="9.140625" style="74"/>
    <col min="4865" max="4865" width="4.85546875" style="74" customWidth="1"/>
    <col min="4866" max="4866" width="35.5703125" style="74" customWidth="1"/>
    <col min="4867" max="4867" width="6.28515625" style="74" customWidth="1"/>
    <col min="4868" max="4868" width="16.5703125" style="74" customWidth="1"/>
    <col min="4869" max="4870" width="16.28515625" style="74" customWidth="1"/>
    <col min="4871" max="5120" width="9.140625" style="74"/>
    <col min="5121" max="5121" width="4.85546875" style="74" customWidth="1"/>
    <col min="5122" max="5122" width="35.5703125" style="74" customWidth="1"/>
    <col min="5123" max="5123" width="6.28515625" style="74" customWidth="1"/>
    <col min="5124" max="5124" width="16.5703125" style="74" customWidth="1"/>
    <col min="5125" max="5126" width="16.28515625" style="74" customWidth="1"/>
    <col min="5127" max="5376" width="9.140625" style="74"/>
    <col min="5377" max="5377" width="4.85546875" style="74" customWidth="1"/>
    <col min="5378" max="5378" width="35.5703125" style="74" customWidth="1"/>
    <col min="5379" max="5379" width="6.28515625" style="74" customWidth="1"/>
    <col min="5380" max="5380" width="16.5703125" style="74" customWidth="1"/>
    <col min="5381" max="5382" width="16.28515625" style="74" customWidth="1"/>
    <col min="5383" max="5632" width="9.140625" style="74"/>
    <col min="5633" max="5633" width="4.85546875" style="74" customWidth="1"/>
    <col min="5634" max="5634" width="35.5703125" style="74" customWidth="1"/>
    <col min="5635" max="5635" width="6.28515625" style="74" customWidth="1"/>
    <col min="5636" max="5636" width="16.5703125" style="74" customWidth="1"/>
    <col min="5637" max="5638" width="16.28515625" style="74" customWidth="1"/>
    <col min="5639" max="5888" width="9.140625" style="74"/>
    <col min="5889" max="5889" width="4.85546875" style="74" customWidth="1"/>
    <col min="5890" max="5890" width="35.5703125" style="74" customWidth="1"/>
    <col min="5891" max="5891" width="6.28515625" style="74" customWidth="1"/>
    <col min="5892" max="5892" width="16.5703125" style="74" customWidth="1"/>
    <col min="5893" max="5894" width="16.28515625" style="74" customWidth="1"/>
    <col min="5895" max="6144" width="9.140625" style="74"/>
    <col min="6145" max="6145" width="4.85546875" style="74" customWidth="1"/>
    <col min="6146" max="6146" width="35.5703125" style="74" customWidth="1"/>
    <col min="6147" max="6147" width="6.28515625" style="74" customWidth="1"/>
    <col min="6148" max="6148" width="16.5703125" style="74" customWidth="1"/>
    <col min="6149" max="6150" width="16.28515625" style="74" customWidth="1"/>
    <col min="6151" max="6400" width="9.140625" style="74"/>
    <col min="6401" max="6401" width="4.85546875" style="74" customWidth="1"/>
    <col min="6402" max="6402" width="35.5703125" style="74" customWidth="1"/>
    <col min="6403" max="6403" width="6.28515625" style="74" customWidth="1"/>
    <col min="6404" max="6404" width="16.5703125" style="74" customWidth="1"/>
    <col min="6405" max="6406" width="16.28515625" style="74" customWidth="1"/>
    <col min="6407" max="6656" width="9.140625" style="74"/>
    <col min="6657" max="6657" width="4.85546875" style="74" customWidth="1"/>
    <col min="6658" max="6658" width="35.5703125" style="74" customWidth="1"/>
    <col min="6659" max="6659" width="6.28515625" style="74" customWidth="1"/>
    <col min="6660" max="6660" width="16.5703125" style="74" customWidth="1"/>
    <col min="6661" max="6662" width="16.28515625" style="74" customWidth="1"/>
    <col min="6663" max="6912" width="9.140625" style="74"/>
    <col min="6913" max="6913" width="4.85546875" style="74" customWidth="1"/>
    <col min="6914" max="6914" width="35.5703125" style="74" customWidth="1"/>
    <col min="6915" max="6915" width="6.28515625" style="74" customWidth="1"/>
    <col min="6916" max="6916" width="16.5703125" style="74" customWidth="1"/>
    <col min="6917" max="6918" width="16.28515625" style="74" customWidth="1"/>
    <col min="6919" max="7168" width="9.140625" style="74"/>
    <col min="7169" max="7169" width="4.85546875" style="74" customWidth="1"/>
    <col min="7170" max="7170" width="35.5703125" style="74" customWidth="1"/>
    <col min="7171" max="7171" width="6.28515625" style="74" customWidth="1"/>
    <col min="7172" max="7172" width="16.5703125" style="74" customWidth="1"/>
    <col min="7173" max="7174" width="16.28515625" style="74" customWidth="1"/>
    <col min="7175" max="7424" width="9.140625" style="74"/>
    <col min="7425" max="7425" width="4.85546875" style="74" customWidth="1"/>
    <col min="7426" max="7426" width="35.5703125" style="74" customWidth="1"/>
    <col min="7427" max="7427" width="6.28515625" style="74" customWidth="1"/>
    <col min="7428" max="7428" width="16.5703125" style="74" customWidth="1"/>
    <col min="7429" max="7430" width="16.28515625" style="74" customWidth="1"/>
    <col min="7431" max="7680" width="9.140625" style="74"/>
    <col min="7681" max="7681" width="4.85546875" style="74" customWidth="1"/>
    <col min="7682" max="7682" width="35.5703125" style="74" customWidth="1"/>
    <col min="7683" max="7683" width="6.28515625" style="74" customWidth="1"/>
    <col min="7684" max="7684" width="16.5703125" style="74" customWidth="1"/>
    <col min="7685" max="7686" width="16.28515625" style="74" customWidth="1"/>
    <col min="7687" max="7936" width="9.140625" style="74"/>
    <col min="7937" max="7937" width="4.85546875" style="74" customWidth="1"/>
    <col min="7938" max="7938" width="35.5703125" style="74" customWidth="1"/>
    <col min="7939" max="7939" width="6.28515625" style="74" customWidth="1"/>
    <col min="7940" max="7940" width="16.5703125" style="74" customWidth="1"/>
    <col min="7941" max="7942" width="16.28515625" style="74" customWidth="1"/>
    <col min="7943" max="8192" width="9.140625" style="74"/>
    <col min="8193" max="8193" width="4.85546875" style="74" customWidth="1"/>
    <col min="8194" max="8194" width="35.5703125" style="74" customWidth="1"/>
    <col min="8195" max="8195" width="6.28515625" style="74" customWidth="1"/>
    <col min="8196" max="8196" width="16.5703125" style="74" customWidth="1"/>
    <col min="8197" max="8198" width="16.28515625" style="74" customWidth="1"/>
    <col min="8199" max="8448" width="9.140625" style="74"/>
    <col min="8449" max="8449" width="4.85546875" style="74" customWidth="1"/>
    <col min="8450" max="8450" width="35.5703125" style="74" customWidth="1"/>
    <col min="8451" max="8451" width="6.28515625" style="74" customWidth="1"/>
    <col min="8452" max="8452" width="16.5703125" style="74" customWidth="1"/>
    <col min="8453" max="8454" width="16.28515625" style="74" customWidth="1"/>
    <col min="8455" max="8704" width="9.140625" style="74"/>
    <col min="8705" max="8705" width="4.85546875" style="74" customWidth="1"/>
    <col min="8706" max="8706" width="35.5703125" style="74" customWidth="1"/>
    <col min="8707" max="8707" width="6.28515625" style="74" customWidth="1"/>
    <col min="8708" max="8708" width="16.5703125" style="74" customWidth="1"/>
    <col min="8709" max="8710" width="16.28515625" style="74" customWidth="1"/>
    <col min="8711" max="8960" width="9.140625" style="74"/>
    <col min="8961" max="8961" width="4.85546875" style="74" customWidth="1"/>
    <col min="8962" max="8962" width="35.5703125" style="74" customWidth="1"/>
    <col min="8963" max="8963" width="6.28515625" style="74" customWidth="1"/>
    <col min="8964" max="8964" width="16.5703125" style="74" customWidth="1"/>
    <col min="8965" max="8966" width="16.28515625" style="74" customWidth="1"/>
    <col min="8967" max="9216" width="9.140625" style="74"/>
    <col min="9217" max="9217" width="4.85546875" style="74" customWidth="1"/>
    <col min="9218" max="9218" width="35.5703125" style="74" customWidth="1"/>
    <col min="9219" max="9219" width="6.28515625" style="74" customWidth="1"/>
    <col min="9220" max="9220" width="16.5703125" style="74" customWidth="1"/>
    <col min="9221" max="9222" width="16.28515625" style="74" customWidth="1"/>
    <col min="9223" max="9472" width="9.140625" style="74"/>
    <col min="9473" max="9473" width="4.85546875" style="74" customWidth="1"/>
    <col min="9474" max="9474" width="35.5703125" style="74" customWidth="1"/>
    <col min="9475" max="9475" width="6.28515625" style="74" customWidth="1"/>
    <col min="9476" max="9476" width="16.5703125" style="74" customWidth="1"/>
    <col min="9477" max="9478" width="16.28515625" style="74" customWidth="1"/>
    <col min="9479" max="9728" width="9.140625" style="74"/>
    <col min="9729" max="9729" width="4.85546875" style="74" customWidth="1"/>
    <col min="9730" max="9730" width="35.5703125" style="74" customWidth="1"/>
    <col min="9731" max="9731" width="6.28515625" style="74" customWidth="1"/>
    <col min="9732" max="9732" width="16.5703125" style="74" customWidth="1"/>
    <col min="9733" max="9734" width="16.28515625" style="74" customWidth="1"/>
    <col min="9735" max="9984" width="9.140625" style="74"/>
    <col min="9985" max="9985" width="4.85546875" style="74" customWidth="1"/>
    <col min="9986" max="9986" width="35.5703125" style="74" customWidth="1"/>
    <col min="9987" max="9987" width="6.28515625" style="74" customWidth="1"/>
    <col min="9988" max="9988" width="16.5703125" style="74" customWidth="1"/>
    <col min="9989" max="9990" width="16.28515625" style="74" customWidth="1"/>
    <col min="9991" max="10240" width="9.140625" style="74"/>
    <col min="10241" max="10241" width="4.85546875" style="74" customWidth="1"/>
    <col min="10242" max="10242" width="35.5703125" style="74" customWidth="1"/>
    <col min="10243" max="10243" width="6.28515625" style="74" customWidth="1"/>
    <col min="10244" max="10244" width="16.5703125" style="74" customWidth="1"/>
    <col min="10245" max="10246" width="16.28515625" style="74" customWidth="1"/>
    <col min="10247" max="10496" width="9.140625" style="74"/>
    <col min="10497" max="10497" width="4.85546875" style="74" customWidth="1"/>
    <col min="10498" max="10498" width="35.5703125" style="74" customWidth="1"/>
    <col min="10499" max="10499" width="6.28515625" style="74" customWidth="1"/>
    <col min="10500" max="10500" width="16.5703125" style="74" customWidth="1"/>
    <col min="10501" max="10502" width="16.28515625" style="74" customWidth="1"/>
    <col min="10503" max="10752" width="9.140625" style="74"/>
    <col min="10753" max="10753" width="4.85546875" style="74" customWidth="1"/>
    <col min="10754" max="10754" width="35.5703125" style="74" customWidth="1"/>
    <col min="10755" max="10755" width="6.28515625" style="74" customWidth="1"/>
    <col min="10756" max="10756" width="16.5703125" style="74" customWidth="1"/>
    <col min="10757" max="10758" width="16.28515625" style="74" customWidth="1"/>
    <col min="10759" max="11008" width="9.140625" style="74"/>
    <col min="11009" max="11009" width="4.85546875" style="74" customWidth="1"/>
    <col min="11010" max="11010" width="35.5703125" style="74" customWidth="1"/>
    <col min="11011" max="11011" width="6.28515625" style="74" customWidth="1"/>
    <col min="11012" max="11012" width="16.5703125" style="74" customWidth="1"/>
    <col min="11013" max="11014" width="16.28515625" style="74" customWidth="1"/>
    <col min="11015" max="11264" width="9.140625" style="74"/>
    <col min="11265" max="11265" width="4.85546875" style="74" customWidth="1"/>
    <col min="11266" max="11266" width="35.5703125" style="74" customWidth="1"/>
    <col min="11267" max="11267" width="6.28515625" style="74" customWidth="1"/>
    <col min="11268" max="11268" width="16.5703125" style="74" customWidth="1"/>
    <col min="11269" max="11270" width="16.28515625" style="74" customWidth="1"/>
    <col min="11271" max="11520" width="9.140625" style="74"/>
    <col min="11521" max="11521" width="4.85546875" style="74" customWidth="1"/>
    <col min="11522" max="11522" width="35.5703125" style="74" customWidth="1"/>
    <col min="11523" max="11523" width="6.28515625" style="74" customWidth="1"/>
    <col min="11524" max="11524" width="16.5703125" style="74" customWidth="1"/>
    <col min="11525" max="11526" width="16.28515625" style="74" customWidth="1"/>
    <col min="11527" max="11776" width="9.140625" style="74"/>
    <col min="11777" max="11777" width="4.85546875" style="74" customWidth="1"/>
    <col min="11778" max="11778" width="35.5703125" style="74" customWidth="1"/>
    <col min="11779" max="11779" width="6.28515625" style="74" customWidth="1"/>
    <col min="11780" max="11780" width="16.5703125" style="74" customWidth="1"/>
    <col min="11781" max="11782" width="16.28515625" style="74" customWidth="1"/>
    <col min="11783" max="12032" width="9.140625" style="74"/>
    <col min="12033" max="12033" width="4.85546875" style="74" customWidth="1"/>
    <col min="12034" max="12034" width="35.5703125" style="74" customWidth="1"/>
    <col min="12035" max="12035" width="6.28515625" style="74" customWidth="1"/>
    <col min="12036" max="12036" width="16.5703125" style="74" customWidth="1"/>
    <col min="12037" max="12038" width="16.28515625" style="74" customWidth="1"/>
    <col min="12039" max="12288" width="9.140625" style="74"/>
    <col min="12289" max="12289" width="4.85546875" style="74" customWidth="1"/>
    <col min="12290" max="12290" width="35.5703125" style="74" customWidth="1"/>
    <col min="12291" max="12291" width="6.28515625" style="74" customWidth="1"/>
    <col min="12292" max="12292" width="16.5703125" style="74" customWidth="1"/>
    <col min="12293" max="12294" width="16.28515625" style="74" customWidth="1"/>
    <col min="12295" max="12544" width="9.140625" style="74"/>
    <col min="12545" max="12545" width="4.85546875" style="74" customWidth="1"/>
    <col min="12546" max="12546" width="35.5703125" style="74" customWidth="1"/>
    <col min="12547" max="12547" width="6.28515625" style="74" customWidth="1"/>
    <col min="12548" max="12548" width="16.5703125" style="74" customWidth="1"/>
    <col min="12549" max="12550" width="16.28515625" style="74" customWidth="1"/>
    <col min="12551" max="12800" width="9.140625" style="74"/>
    <col min="12801" max="12801" width="4.85546875" style="74" customWidth="1"/>
    <col min="12802" max="12802" width="35.5703125" style="74" customWidth="1"/>
    <col min="12803" max="12803" width="6.28515625" style="74" customWidth="1"/>
    <col min="12804" max="12804" width="16.5703125" style="74" customWidth="1"/>
    <col min="12805" max="12806" width="16.28515625" style="74" customWidth="1"/>
    <col min="12807" max="13056" width="9.140625" style="74"/>
    <col min="13057" max="13057" width="4.85546875" style="74" customWidth="1"/>
    <col min="13058" max="13058" width="35.5703125" style="74" customWidth="1"/>
    <col min="13059" max="13059" width="6.28515625" style="74" customWidth="1"/>
    <col min="13060" max="13060" width="16.5703125" style="74" customWidth="1"/>
    <col min="13061" max="13062" width="16.28515625" style="74" customWidth="1"/>
    <col min="13063" max="13312" width="9.140625" style="74"/>
    <col min="13313" max="13313" width="4.85546875" style="74" customWidth="1"/>
    <col min="13314" max="13314" width="35.5703125" style="74" customWidth="1"/>
    <col min="13315" max="13315" width="6.28515625" style="74" customWidth="1"/>
    <col min="13316" max="13316" width="16.5703125" style="74" customWidth="1"/>
    <col min="13317" max="13318" width="16.28515625" style="74" customWidth="1"/>
    <col min="13319" max="13568" width="9.140625" style="74"/>
    <col min="13569" max="13569" width="4.85546875" style="74" customWidth="1"/>
    <col min="13570" max="13570" width="35.5703125" style="74" customWidth="1"/>
    <col min="13571" max="13571" width="6.28515625" style="74" customWidth="1"/>
    <col min="13572" max="13572" width="16.5703125" style="74" customWidth="1"/>
    <col min="13573" max="13574" width="16.28515625" style="74" customWidth="1"/>
    <col min="13575" max="13824" width="9.140625" style="74"/>
    <col min="13825" max="13825" width="4.85546875" style="74" customWidth="1"/>
    <col min="13826" max="13826" width="35.5703125" style="74" customWidth="1"/>
    <col min="13827" max="13827" width="6.28515625" style="74" customWidth="1"/>
    <col min="13828" max="13828" width="16.5703125" style="74" customWidth="1"/>
    <col min="13829" max="13830" width="16.28515625" style="74" customWidth="1"/>
    <col min="13831" max="14080" width="9.140625" style="74"/>
    <col min="14081" max="14081" width="4.85546875" style="74" customWidth="1"/>
    <col min="14082" max="14082" width="35.5703125" style="74" customWidth="1"/>
    <col min="14083" max="14083" width="6.28515625" style="74" customWidth="1"/>
    <col min="14084" max="14084" width="16.5703125" style="74" customWidth="1"/>
    <col min="14085" max="14086" width="16.28515625" style="74" customWidth="1"/>
    <col min="14087" max="14336" width="9.140625" style="74"/>
    <col min="14337" max="14337" width="4.85546875" style="74" customWidth="1"/>
    <col min="14338" max="14338" width="35.5703125" style="74" customWidth="1"/>
    <col min="14339" max="14339" width="6.28515625" style="74" customWidth="1"/>
    <col min="14340" max="14340" width="16.5703125" style="74" customWidth="1"/>
    <col min="14341" max="14342" width="16.28515625" style="74" customWidth="1"/>
    <col min="14343" max="14592" width="9.140625" style="74"/>
    <col min="14593" max="14593" width="4.85546875" style="74" customWidth="1"/>
    <col min="14594" max="14594" width="35.5703125" style="74" customWidth="1"/>
    <col min="14595" max="14595" width="6.28515625" style="74" customWidth="1"/>
    <col min="14596" max="14596" width="16.5703125" style="74" customWidth="1"/>
    <col min="14597" max="14598" width="16.28515625" style="74" customWidth="1"/>
    <col min="14599" max="14848" width="9.140625" style="74"/>
    <col min="14849" max="14849" width="4.85546875" style="74" customWidth="1"/>
    <col min="14850" max="14850" width="35.5703125" style="74" customWidth="1"/>
    <col min="14851" max="14851" width="6.28515625" style="74" customWidth="1"/>
    <col min="14852" max="14852" width="16.5703125" style="74" customWidth="1"/>
    <col min="14853" max="14854" width="16.28515625" style="74" customWidth="1"/>
    <col min="14855" max="15104" width="9.140625" style="74"/>
    <col min="15105" max="15105" width="4.85546875" style="74" customWidth="1"/>
    <col min="15106" max="15106" width="35.5703125" style="74" customWidth="1"/>
    <col min="15107" max="15107" width="6.28515625" style="74" customWidth="1"/>
    <col min="15108" max="15108" width="16.5703125" style="74" customWidth="1"/>
    <col min="15109" max="15110" width="16.28515625" style="74" customWidth="1"/>
    <col min="15111" max="15360" width="9.140625" style="74"/>
    <col min="15361" max="15361" width="4.85546875" style="74" customWidth="1"/>
    <col min="15362" max="15362" width="35.5703125" style="74" customWidth="1"/>
    <col min="15363" max="15363" width="6.28515625" style="74" customWidth="1"/>
    <col min="15364" max="15364" width="16.5703125" style="74" customWidth="1"/>
    <col min="15365" max="15366" width="16.28515625" style="74" customWidth="1"/>
    <col min="15367" max="15616" width="9.140625" style="74"/>
    <col min="15617" max="15617" width="4.85546875" style="74" customWidth="1"/>
    <col min="15618" max="15618" width="35.5703125" style="74" customWidth="1"/>
    <col min="15619" max="15619" width="6.28515625" style="74" customWidth="1"/>
    <col min="15620" max="15620" width="16.5703125" style="74" customWidth="1"/>
    <col min="15621" max="15622" width="16.28515625" style="74" customWidth="1"/>
    <col min="15623" max="15872" width="9.140625" style="74"/>
    <col min="15873" max="15873" width="4.85546875" style="74" customWidth="1"/>
    <col min="15874" max="15874" width="35.5703125" style="74" customWidth="1"/>
    <col min="15875" max="15875" width="6.28515625" style="74" customWidth="1"/>
    <col min="15876" max="15876" width="16.5703125" style="74" customWidth="1"/>
    <col min="15877" max="15878" width="16.28515625" style="74" customWidth="1"/>
    <col min="15879" max="16128" width="9.140625" style="74"/>
    <col min="16129" max="16129" width="4.85546875" style="74" customWidth="1"/>
    <col min="16130" max="16130" width="35.5703125" style="74" customWidth="1"/>
    <col min="16131" max="16131" width="6.28515625" style="74" customWidth="1"/>
    <col min="16132" max="16132" width="16.5703125" style="74" customWidth="1"/>
    <col min="16133" max="16134" width="16.28515625" style="74" customWidth="1"/>
    <col min="16135" max="16384" width="9.140625" style="74"/>
  </cols>
  <sheetData>
    <row r="1" spans="1:8" ht="42" customHeight="1" x14ac:dyDescent="0.2">
      <c r="A1" s="638" t="s">
        <v>917</v>
      </c>
      <c r="B1" s="638"/>
      <c r="C1" s="638"/>
      <c r="D1" s="638"/>
      <c r="E1" s="638"/>
      <c r="F1" s="638"/>
      <c r="G1" s="638"/>
    </row>
    <row r="2" spans="1:8" x14ac:dyDescent="0.2">
      <c r="A2" s="639" t="s">
        <v>918</v>
      </c>
      <c r="B2" s="639"/>
      <c r="C2" s="639"/>
      <c r="D2" s="639"/>
      <c r="E2" s="639"/>
      <c r="F2" s="639"/>
      <c r="G2" s="639"/>
    </row>
    <row r="3" spans="1:8" x14ac:dyDescent="0.2">
      <c r="A3" s="75"/>
      <c r="B3" s="76"/>
      <c r="C3" s="77"/>
      <c r="D3" s="77"/>
      <c r="E3" s="77"/>
      <c r="F3" s="77"/>
    </row>
    <row r="4" spans="1:8" ht="25.5" customHeight="1" x14ac:dyDescent="0.2">
      <c r="A4" s="640" t="s">
        <v>778</v>
      </c>
      <c r="B4" s="640"/>
      <c r="C4" s="640"/>
      <c r="D4" s="640"/>
      <c r="E4" s="78"/>
      <c r="F4" s="630" t="s">
        <v>741</v>
      </c>
      <c r="G4" s="630"/>
      <c r="H4" s="78"/>
    </row>
    <row r="5" spans="1:8" x14ac:dyDescent="0.2">
      <c r="A5" s="79"/>
      <c r="C5" s="273"/>
      <c r="D5" s="81"/>
      <c r="E5" s="81"/>
      <c r="F5" s="624" t="s">
        <v>279</v>
      </c>
      <c r="G5" s="624"/>
      <c r="H5" s="78"/>
    </row>
    <row r="6" spans="1:8" s="86" customFormat="1" ht="25.5" x14ac:dyDescent="0.2">
      <c r="A6" s="82"/>
      <c r="B6" s="83" t="s">
        <v>464</v>
      </c>
      <c r="C6" s="84" t="s">
        <v>919</v>
      </c>
      <c r="D6" s="85" t="s">
        <v>20</v>
      </c>
      <c r="E6" s="85" t="s">
        <v>21</v>
      </c>
      <c r="F6" s="85" t="s">
        <v>22</v>
      </c>
      <c r="G6" s="85" t="s">
        <v>23</v>
      </c>
    </row>
    <row r="7" spans="1:8" s="86" customFormat="1" x14ac:dyDescent="0.2">
      <c r="A7" s="87" t="s">
        <v>282</v>
      </c>
      <c r="B7" s="85" t="s">
        <v>283</v>
      </c>
      <c r="C7" s="85" t="s">
        <v>297</v>
      </c>
      <c r="D7" s="85">
        <v>1</v>
      </c>
      <c r="E7" s="85">
        <v>2</v>
      </c>
      <c r="F7" s="88">
        <v>3</v>
      </c>
      <c r="G7" s="85">
        <v>4</v>
      </c>
    </row>
    <row r="8" spans="1:8" s="86" customFormat="1" x14ac:dyDescent="0.2">
      <c r="A8" s="82">
        <v>1</v>
      </c>
      <c r="B8" s="83" t="s">
        <v>121</v>
      </c>
      <c r="C8" s="85">
        <v>1</v>
      </c>
      <c r="D8" s="89"/>
      <c r="E8" s="90">
        <v>0</v>
      </c>
      <c r="F8" s="91">
        <f>SUM(D8+E8)</f>
        <v>0</v>
      </c>
      <c r="G8" s="92" t="e">
        <f t="shared" ref="G8:G39" si="0">F8/$F$84</f>
        <v>#DIV/0!</v>
      </c>
      <c r="H8" s="93" t="e">
        <f>+IF(G8&lt;0.02, "","журамд заасан хувиас хэтрүүлж байршуулсан")</f>
        <v>#DIV/0!</v>
      </c>
    </row>
    <row r="9" spans="1:8" s="86" customFormat="1" x14ac:dyDescent="0.2">
      <c r="A9" s="82">
        <v>2</v>
      </c>
      <c r="B9" s="94" t="s">
        <v>920</v>
      </c>
      <c r="C9" s="85">
        <f>C8+1</f>
        <v>2</v>
      </c>
      <c r="D9" s="95">
        <f>SUM(D10:D21)</f>
        <v>0</v>
      </c>
      <c r="E9" s="95">
        <f>SUM(E10:E21)</f>
        <v>0</v>
      </c>
      <c r="F9" s="91">
        <f>SUM(D9+E9)</f>
        <v>0</v>
      </c>
      <c r="G9" s="92" t="e">
        <f t="shared" si="0"/>
        <v>#DIV/0!</v>
      </c>
    </row>
    <row r="10" spans="1:8" s="86" customFormat="1" x14ac:dyDescent="0.2">
      <c r="A10" s="96" t="s">
        <v>617</v>
      </c>
      <c r="B10" s="97" t="str">
        <f>"Ариг банк"</f>
        <v>Ариг банк</v>
      </c>
      <c r="C10" s="98">
        <f t="shared" ref="C10:C60" si="1">C9+1</f>
        <v>3</v>
      </c>
      <c r="D10" s="99"/>
      <c r="E10" s="100"/>
      <c r="F10" s="101">
        <f>SUM(D10+E10)</f>
        <v>0</v>
      </c>
      <c r="G10" s="92" t="e">
        <f t="shared" si="0"/>
        <v>#DIV/0!</v>
      </c>
    </row>
    <row r="11" spans="1:8" s="86" customFormat="1" x14ac:dyDescent="0.2">
      <c r="A11" s="96" t="s">
        <v>642</v>
      </c>
      <c r="B11" s="97" t="str">
        <f>"Богд банк"</f>
        <v>Богд банк</v>
      </c>
      <c r="C11" s="98">
        <f t="shared" si="1"/>
        <v>4</v>
      </c>
      <c r="D11" s="99"/>
      <c r="E11" s="100"/>
      <c r="F11" s="101">
        <f t="shared" ref="F11:F60" si="2">SUM(D11+E11)</f>
        <v>0</v>
      </c>
      <c r="G11" s="92" t="e">
        <f t="shared" si="0"/>
        <v>#DIV/0!</v>
      </c>
    </row>
    <row r="12" spans="1:8" s="86" customFormat="1" x14ac:dyDescent="0.2">
      <c r="A12" s="96" t="s">
        <v>646</v>
      </c>
      <c r="B12" s="97" t="str">
        <f>"Голомт банк"</f>
        <v>Голомт банк</v>
      </c>
      <c r="C12" s="98">
        <f t="shared" si="1"/>
        <v>5</v>
      </c>
      <c r="D12" s="99"/>
      <c r="E12" s="100"/>
      <c r="F12" s="101">
        <f t="shared" si="2"/>
        <v>0</v>
      </c>
      <c r="G12" s="92" t="e">
        <f t="shared" si="0"/>
        <v>#DIV/0!</v>
      </c>
    </row>
    <row r="13" spans="1:8" s="86" customFormat="1" x14ac:dyDescent="0.2">
      <c r="A13" s="96" t="s">
        <v>921</v>
      </c>
      <c r="B13" s="97" t="str">
        <f>"Капитрон банк"</f>
        <v>Капитрон банк</v>
      </c>
      <c r="C13" s="98">
        <f t="shared" si="1"/>
        <v>6</v>
      </c>
      <c r="D13" s="99"/>
      <c r="E13" s="100"/>
      <c r="F13" s="101">
        <f t="shared" si="2"/>
        <v>0</v>
      </c>
      <c r="G13" s="92" t="e">
        <f t="shared" si="0"/>
        <v>#DIV/0!</v>
      </c>
    </row>
    <row r="14" spans="1:8" s="86" customFormat="1" x14ac:dyDescent="0.2">
      <c r="A14" s="96" t="s">
        <v>922</v>
      </c>
      <c r="B14" s="97" t="str">
        <f>"Кредит банк"</f>
        <v>Кредит банк</v>
      </c>
      <c r="C14" s="98">
        <f t="shared" si="1"/>
        <v>7</v>
      </c>
      <c r="D14" s="99"/>
      <c r="E14" s="100"/>
      <c r="F14" s="101">
        <f t="shared" si="2"/>
        <v>0</v>
      </c>
      <c r="G14" s="92" t="e">
        <f t="shared" si="0"/>
        <v>#DIV/0!</v>
      </c>
    </row>
    <row r="15" spans="1:8" s="86" customFormat="1" x14ac:dyDescent="0.2">
      <c r="A15" s="96" t="s">
        <v>923</v>
      </c>
      <c r="B15" s="97" t="str">
        <f>"Төрийн банк"</f>
        <v>Төрийн банк</v>
      </c>
      <c r="C15" s="98">
        <f t="shared" si="1"/>
        <v>8</v>
      </c>
      <c r="D15" s="99"/>
      <c r="E15" s="100"/>
      <c r="F15" s="101">
        <f t="shared" si="2"/>
        <v>0</v>
      </c>
      <c r="G15" s="92" t="e">
        <f t="shared" si="0"/>
        <v>#DIV/0!</v>
      </c>
    </row>
    <row r="16" spans="1:8" s="86" customFormat="1" x14ac:dyDescent="0.2">
      <c r="A16" s="96" t="s">
        <v>924</v>
      </c>
      <c r="B16" s="97" t="str">
        <f>"Тээвэр Хөгжлийн банк"</f>
        <v>Тээвэр Хөгжлийн банк</v>
      </c>
      <c r="C16" s="98">
        <f t="shared" si="1"/>
        <v>9</v>
      </c>
      <c r="D16" s="99"/>
      <c r="E16" s="100"/>
      <c r="F16" s="101">
        <f t="shared" si="2"/>
        <v>0</v>
      </c>
      <c r="G16" s="92" t="e">
        <f t="shared" si="0"/>
        <v>#DIV/0!</v>
      </c>
    </row>
    <row r="17" spans="1:7" s="86" customFormat="1" x14ac:dyDescent="0.2">
      <c r="A17" s="96" t="s">
        <v>925</v>
      </c>
      <c r="B17" s="97" t="str">
        <f>"Үндэсний хөрөнгө оруулалтын банк"</f>
        <v>Үндэсний хөрөнгө оруулалтын банк</v>
      </c>
      <c r="C17" s="98">
        <f t="shared" si="1"/>
        <v>10</v>
      </c>
      <c r="D17" s="99"/>
      <c r="E17" s="100"/>
      <c r="F17" s="101">
        <f t="shared" si="2"/>
        <v>0</v>
      </c>
      <c r="G17" s="92" t="e">
        <f t="shared" si="0"/>
        <v>#DIV/0!</v>
      </c>
    </row>
    <row r="18" spans="1:7" s="86" customFormat="1" x14ac:dyDescent="0.2">
      <c r="A18" s="96" t="s">
        <v>926</v>
      </c>
      <c r="B18" s="97" t="str">
        <f>"Хаан банк"</f>
        <v>Хаан банк</v>
      </c>
      <c r="C18" s="98">
        <f t="shared" si="1"/>
        <v>11</v>
      </c>
      <c r="D18" s="99"/>
      <c r="E18" s="100"/>
      <c r="F18" s="101">
        <f t="shared" si="2"/>
        <v>0</v>
      </c>
      <c r="G18" s="92" t="e">
        <f t="shared" si="0"/>
        <v>#DIV/0!</v>
      </c>
    </row>
    <row r="19" spans="1:7" s="86" customFormat="1" x14ac:dyDescent="0.2">
      <c r="A19" s="96" t="s">
        <v>927</v>
      </c>
      <c r="B19" s="97" t="str">
        <f>"Хас банк"</f>
        <v>Хас банк</v>
      </c>
      <c r="C19" s="98">
        <f t="shared" si="1"/>
        <v>12</v>
      </c>
      <c r="D19" s="99"/>
      <c r="E19" s="100"/>
      <c r="F19" s="101">
        <f t="shared" si="2"/>
        <v>0</v>
      </c>
      <c r="G19" s="92" t="e">
        <f t="shared" si="0"/>
        <v>#DIV/0!</v>
      </c>
    </row>
    <row r="20" spans="1:7" s="86" customFormat="1" x14ac:dyDescent="0.2">
      <c r="A20" s="96" t="s">
        <v>928</v>
      </c>
      <c r="B20" s="97" t="str">
        <f>"Худалдаа хөгжлийн банк"</f>
        <v>Худалдаа хөгжлийн банк</v>
      </c>
      <c r="C20" s="98">
        <f t="shared" si="1"/>
        <v>13</v>
      </c>
      <c r="D20" s="99"/>
      <c r="E20" s="100"/>
      <c r="F20" s="101">
        <f t="shared" si="2"/>
        <v>0</v>
      </c>
      <c r="G20" s="92" t="e">
        <f t="shared" si="0"/>
        <v>#DIV/0!</v>
      </c>
    </row>
    <row r="21" spans="1:7" s="86" customFormat="1" x14ac:dyDescent="0.2">
      <c r="A21" s="96" t="s">
        <v>929</v>
      </c>
      <c r="B21" s="97" t="str">
        <f>"Чингис хаан банк"</f>
        <v>Чингис хаан банк</v>
      </c>
      <c r="C21" s="98">
        <f t="shared" si="1"/>
        <v>14</v>
      </c>
      <c r="D21" s="99"/>
      <c r="E21" s="100"/>
      <c r="F21" s="101">
        <f t="shared" si="2"/>
        <v>0</v>
      </c>
      <c r="G21" s="92" t="e">
        <f t="shared" si="0"/>
        <v>#DIV/0!</v>
      </c>
    </row>
    <row r="22" spans="1:7" s="86" customFormat="1" ht="25.5" x14ac:dyDescent="0.2">
      <c r="A22" s="82">
        <f>+A9+1</f>
        <v>3</v>
      </c>
      <c r="B22" s="94" t="s">
        <v>930</v>
      </c>
      <c r="C22" s="85">
        <f>+C21+1</f>
        <v>15</v>
      </c>
      <c r="D22" s="95">
        <f>SUM(D23:D34)</f>
        <v>0</v>
      </c>
      <c r="E22" s="95">
        <f>SUM(E23:E34)</f>
        <v>0</v>
      </c>
      <c r="F22" s="91">
        <f t="shared" si="2"/>
        <v>0</v>
      </c>
      <c r="G22" s="92" t="e">
        <f t="shared" si="0"/>
        <v>#DIV/0!</v>
      </c>
    </row>
    <row r="23" spans="1:7" s="86" customFormat="1" x14ac:dyDescent="0.2">
      <c r="A23" s="96" t="s">
        <v>931</v>
      </c>
      <c r="B23" s="97" t="str">
        <f>"Ариг банк"</f>
        <v>Ариг банк</v>
      </c>
      <c r="C23" s="98">
        <f t="shared" si="1"/>
        <v>16</v>
      </c>
      <c r="D23" s="99"/>
      <c r="E23" s="102"/>
      <c r="F23" s="101">
        <f t="shared" si="2"/>
        <v>0</v>
      </c>
      <c r="G23" s="92" t="e">
        <f t="shared" si="0"/>
        <v>#DIV/0!</v>
      </c>
    </row>
    <row r="24" spans="1:7" s="86" customFormat="1" x14ac:dyDescent="0.2">
      <c r="A24" s="96" t="s">
        <v>932</v>
      </c>
      <c r="B24" s="97" t="str">
        <f>"Богд банк"</f>
        <v>Богд банк</v>
      </c>
      <c r="C24" s="98">
        <f t="shared" si="1"/>
        <v>17</v>
      </c>
      <c r="D24" s="99"/>
      <c r="E24" s="102"/>
      <c r="F24" s="101">
        <f t="shared" si="2"/>
        <v>0</v>
      </c>
      <c r="G24" s="92" t="e">
        <f t="shared" si="0"/>
        <v>#DIV/0!</v>
      </c>
    </row>
    <row r="25" spans="1:7" s="86" customFormat="1" x14ac:dyDescent="0.2">
      <c r="A25" s="96" t="s">
        <v>933</v>
      </c>
      <c r="B25" s="97" t="str">
        <f>"Голомт банк"</f>
        <v>Голомт банк</v>
      </c>
      <c r="C25" s="98">
        <f t="shared" si="1"/>
        <v>18</v>
      </c>
      <c r="D25" s="99"/>
      <c r="E25" s="102"/>
      <c r="F25" s="101">
        <f t="shared" si="2"/>
        <v>0</v>
      </c>
      <c r="G25" s="92" t="e">
        <f t="shared" si="0"/>
        <v>#DIV/0!</v>
      </c>
    </row>
    <row r="26" spans="1:7" s="86" customFormat="1" x14ac:dyDescent="0.2">
      <c r="A26" s="96" t="s">
        <v>934</v>
      </c>
      <c r="B26" s="97" t="str">
        <f>"Капитрон банк"</f>
        <v>Капитрон банк</v>
      </c>
      <c r="C26" s="98">
        <f t="shared" si="1"/>
        <v>19</v>
      </c>
      <c r="D26" s="99"/>
      <c r="E26" s="102"/>
      <c r="F26" s="101">
        <f t="shared" si="2"/>
        <v>0</v>
      </c>
      <c r="G26" s="92" t="e">
        <f t="shared" si="0"/>
        <v>#DIV/0!</v>
      </c>
    </row>
    <row r="27" spans="1:7" s="86" customFormat="1" x14ac:dyDescent="0.2">
      <c r="A27" s="96" t="s">
        <v>935</v>
      </c>
      <c r="B27" s="97" t="str">
        <f>"Кредит банк"</f>
        <v>Кредит банк</v>
      </c>
      <c r="C27" s="98">
        <f t="shared" si="1"/>
        <v>20</v>
      </c>
      <c r="D27" s="99"/>
      <c r="E27" s="102"/>
      <c r="F27" s="101">
        <f t="shared" si="2"/>
        <v>0</v>
      </c>
      <c r="G27" s="92" t="e">
        <f t="shared" si="0"/>
        <v>#DIV/0!</v>
      </c>
    </row>
    <row r="28" spans="1:7" s="86" customFormat="1" x14ac:dyDescent="0.2">
      <c r="A28" s="96" t="s">
        <v>936</v>
      </c>
      <c r="B28" s="97" t="str">
        <f>"Төрийн банк"</f>
        <v>Төрийн банк</v>
      </c>
      <c r="C28" s="98">
        <f t="shared" si="1"/>
        <v>21</v>
      </c>
      <c r="D28" s="99"/>
      <c r="E28" s="102"/>
      <c r="F28" s="101">
        <f t="shared" si="2"/>
        <v>0</v>
      </c>
      <c r="G28" s="92" t="e">
        <f t="shared" si="0"/>
        <v>#DIV/0!</v>
      </c>
    </row>
    <row r="29" spans="1:7" s="86" customFormat="1" x14ac:dyDescent="0.2">
      <c r="A29" s="96" t="s">
        <v>937</v>
      </c>
      <c r="B29" s="97" t="str">
        <f>"Тээвэр Хөгжлийн банк"</f>
        <v>Тээвэр Хөгжлийн банк</v>
      </c>
      <c r="C29" s="98">
        <f t="shared" si="1"/>
        <v>22</v>
      </c>
      <c r="D29" s="99"/>
      <c r="E29" s="102"/>
      <c r="F29" s="101">
        <f t="shared" si="2"/>
        <v>0</v>
      </c>
      <c r="G29" s="92" t="e">
        <f t="shared" si="0"/>
        <v>#DIV/0!</v>
      </c>
    </row>
    <row r="30" spans="1:7" s="86" customFormat="1" x14ac:dyDescent="0.2">
      <c r="A30" s="96" t="s">
        <v>938</v>
      </c>
      <c r="B30" s="97" t="str">
        <f>"Үндэсний хөрөнгө оруулалтын банк"</f>
        <v>Үндэсний хөрөнгө оруулалтын банк</v>
      </c>
      <c r="C30" s="98">
        <f t="shared" si="1"/>
        <v>23</v>
      </c>
      <c r="D30" s="99"/>
      <c r="E30" s="102"/>
      <c r="F30" s="101">
        <f t="shared" si="2"/>
        <v>0</v>
      </c>
      <c r="G30" s="92" t="e">
        <f t="shared" si="0"/>
        <v>#DIV/0!</v>
      </c>
    </row>
    <row r="31" spans="1:7" s="86" customFormat="1" x14ac:dyDescent="0.2">
      <c r="A31" s="96" t="s">
        <v>939</v>
      </c>
      <c r="B31" s="97" t="str">
        <f>"Хаан банк"</f>
        <v>Хаан банк</v>
      </c>
      <c r="C31" s="98">
        <f t="shared" si="1"/>
        <v>24</v>
      </c>
      <c r="D31" s="99"/>
      <c r="E31" s="102"/>
      <c r="F31" s="101">
        <f t="shared" si="2"/>
        <v>0</v>
      </c>
      <c r="G31" s="92" t="e">
        <f t="shared" si="0"/>
        <v>#DIV/0!</v>
      </c>
    </row>
    <row r="32" spans="1:7" s="86" customFormat="1" x14ac:dyDescent="0.2">
      <c r="A32" s="96" t="s">
        <v>940</v>
      </c>
      <c r="B32" s="97" t="str">
        <f>"Хас банк"</f>
        <v>Хас банк</v>
      </c>
      <c r="C32" s="98">
        <f t="shared" si="1"/>
        <v>25</v>
      </c>
      <c r="D32" s="99"/>
      <c r="E32" s="102"/>
      <c r="F32" s="101">
        <f t="shared" si="2"/>
        <v>0</v>
      </c>
      <c r="G32" s="92" t="e">
        <f t="shared" si="0"/>
        <v>#DIV/0!</v>
      </c>
    </row>
    <row r="33" spans="1:8" s="86" customFormat="1" x14ac:dyDescent="0.2">
      <c r="A33" s="96" t="s">
        <v>941</v>
      </c>
      <c r="B33" s="97" t="str">
        <f>"Худалдаа хөгжлийн банк"</f>
        <v>Худалдаа хөгжлийн банк</v>
      </c>
      <c r="C33" s="98">
        <f t="shared" si="1"/>
        <v>26</v>
      </c>
      <c r="D33" s="99"/>
      <c r="E33" s="102"/>
      <c r="F33" s="101">
        <f t="shared" si="2"/>
        <v>0</v>
      </c>
      <c r="G33" s="92" t="e">
        <f t="shared" si="0"/>
        <v>#DIV/0!</v>
      </c>
    </row>
    <row r="34" spans="1:8" s="86" customFormat="1" x14ac:dyDescent="0.2">
      <c r="A34" s="96" t="s">
        <v>942</v>
      </c>
      <c r="B34" s="97" t="str">
        <f>"Чингис хаан банк"</f>
        <v>Чингис хаан банк</v>
      </c>
      <c r="C34" s="98">
        <f t="shared" si="1"/>
        <v>27</v>
      </c>
      <c r="D34" s="99"/>
      <c r="E34" s="102"/>
      <c r="F34" s="101">
        <f t="shared" si="2"/>
        <v>0</v>
      </c>
      <c r="G34" s="92" t="e">
        <f t="shared" si="0"/>
        <v>#DIV/0!</v>
      </c>
    </row>
    <row r="35" spans="1:8" s="86" customFormat="1" ht="25.5" x14ac:dyDescent="0.2">
      <c r="A35" s="82">
        <v>4</v>
      </c>
      <c r="B35" s="94" t="s">
        <v>943</v>
      </c>
      <c r="C35" s="85">
        <f>+C34+1</f>
        <v>28</v>
      </c>
      <c r="D35" s="95">
        <f>SUM(D36:D47)</f>
        <v>0</v>
      </c>
      <c r="E35" s="95">
        <f>SUM(E36:E47)</f>
        <v>0</v>
      </c>
      <c r="F35" s="91">
        <f t="shared" si="2"/>
        <v>0</v>
      </c>
      <c r="G35" s="92" t="e">
        <f t="shared" si="0"/>
        <v>#DIV/0!</v>
      </c>
    </row>
    <row r="36" spans="1:8" s="86" customFormat="1" x14ac:dyDescent="0.2">
      <c r="A36" s="96" t="s">
        <v>725</v>
      </c>
      <c r="B36" s="97" t="str">
        <f>"Ариг банк"</f>
        <v>Ариг банк</v>
      </c>
      <c r="C36" s="98">
        <f t="shared" si="1"/>
        <v>29</v>
      </c>
      <c r="D36" s="102"/>
      <c r="E36" s="267"/>
      <c r="F36" s="101">
        <f t="shared" si="2"/>
        <v>0</v>
      </c>
      <c r="G36" s="92" t="e">
        <f t="shared" si="0"/>
        <v>#DIV/0!</v>
      </c>
    </row>
    <row r="37" spans="1:8" s="86" customFormat="1" x14ac:dyDescent="0.2">
      <c r="A37" s="96" t="s">
        <v>726</v>
      </c>
      <c r="B37" s="97" t="str">
        <f>"Богд банк"</f>
        <v>Богд банк</v>
      </c>
      <c r="C37" s="98">
        <f t="shared" si="1"/>
        <v>30</v>
      </c>
      <c r="D37" s="102"/>
      <c r="E37" s="267"/>
      <c r="F37" s="101">
        <f t="shared" si="2"/>
        <v>0</v>
      </c>
      <c r="G37" s="92" t="e">
        <f t="shared" si="0"/>
        <v>#DIV/0!</v>
      </c>
    </row>
    <row r="38" spans="1:8" s="86" customFormat="1" x14ac:dyDescent="0.2">
      <c r="A38" s="96" t="s">
        <v>727</v>
      </c>
      <c r="B38" s="97" t="str">
        <f>"Голомт банк"</f>
        <v>Голомт банк</v>
      </c>
      <c r="C38" s="103">
        <f t="shared" si="1"/>
        <v>31</v>
      </c>
      <c r="D38" s="102"/>
      <c r="E38" s="267"/>
      <c r="F38" s="101">
        <f t="shared" si="2"/>
        <v>0</v>
      </c>
      <c r="G38" s="92" t="e">
        <f t="shared" si="0"/>
        <v>#DIV/0!</v>
      </c>
    </row>
    <row r="39" spans="1:8" s="86" customFormat="1" x14ac:dyDescent="0.2">
      <c r="A39" s="96" t="s">
        <v>728</v>
      </c>
      <c r="B39" s="97" t="str">
        <f>"Капитрон банк"</f>
        <v>Капитрон банк</v>
      </c>
      <c r="C39" s="103">
        <f t="shared" si="1"/>
        <v>32</v>
      </c>
      <c r="D39" s="102"/>
      <c r="E39" s="267"/>
      <c r="F39" s="101">
        <f t="shared" si="2"/>
        <v>0</v>
      </c>
      <c r="G39" s="92" t="e">
        <f t="shared" si="0"/>
        <v>#DIV/0!</v>
      </c>
    </row>
    <row r="40" spans="1:8" s="86" customFormat="1" x14ac:dyDescent="0.2">
      <c r="A40" s="96" t="s">
        <v>944</v>
      </c>
      <c r="B40" s="97" t="str">
        <f>"Кредит банк"</f>
        <v>Кредит банк</v>
      </c>
      <c r="C40" s="103">
        <f t="shared" si="1"/>
        <v>33</v>
      </c>
      <c r="D40" s="102"/>
      <c r="E40" s="267"/>
      <c r="F40" s="101">
        <f t="shared" si="2"/>
        <v>0</v>
      </c>
      <c r="G40" s="92" t="e">
        <f t="shared" ref="G40:G67" si="3">F40/$F$84</f>
        <v>#DIV/0!</v>
      </c>
    </row>
    <row r="41" spans="1:8" s="86" customFormat="1" x14ac:dyDescent="0.2">
      <c r="A41" s="96" t="s">
        <v>945</v>
      </c>
      <c r="B41" s="97" t="str">
        <f>"Төрийн банк"</f>
        <v>Төрийн банк</v>
      </c>
      <c r="C41" s="98">
        <f t="shared" si="1"/>
        <v>34</v>
      </c>
      <c r="D41" s="102"/>
      <c r="E41" s="267"/>
      <c r="F41" s="101">
        <f t="shared" si="2"/>
        <v>0</v>
      </c>
      <c r="G41" s="92" t="e">
        <f t="shared" si="3"/>
        <v>#DIV/0!</v>
      </c>
    </row>
    <row r="42" spans="1:8" s="86" customFormat="1" x14ac:dyDescent="0.2">
      <c r="A42" s="96" t="s">
        <v>946</v>
      </c>
      <c r="B42" s="97" t="str">
        <f>"Тээвэр Хөгжлийн банк"</f>
        <v>Тээвэр Хөгжлийн банк</v>
      </c>
      <c r="C42" s="98">
        <f t="shared" si="1"/>
        <v>35</v>
      </c>
      <c r="D42" s="102"/>
      <c r="E42" s="267"/>
      <c r="F42" s="101">
        <f t="shared" si="2"/>
        <v>0</v>
      </c>
      <c r="G42" s="92" t="e">
        <f t="shared" si="3"/>
        <v>#DIV/0!</v>
      </c>
    </row>
    <row r="43" spans="1:8" s="86" customFormat="1" x14ac:dyDescent="0.2">
      <c r="A43" s="96" t="s">
        <v>947</v>
      </c>
      <c r="B43" s="97" t="str">
        <f>"Үндэсний хөрөнгө оруулалтын банк"</f>
        <v>Үндэсний хөрөнгө оруулалтын банк</v>
      </c>
      <c r="C43" s="103">
        <f t="shared" si="1"/>
        <v>36</v>
      </c>
      <c r="D43" s="102"/>
      <c r="E43" s="267"/>
      <c r="F43" s="101">
        <f t="shared" si="2"/>
        <v>0</v>
      </c>
      <c r="G43" s="92" t="e">
        <f t="shared" si="3"/>
        <v>#DIV/0!</v>
      </c>
    </row>
    <row r="44" spans="1:8" s="86" customFormat="1" x14ac:dyDescent="0.2">
      <c r="A44" s="96" t="s">
        <v>948</v>
      </c>
      <c r="B44" s="97" t="str">
        <f>"Хаан банк"</f>
        <v>Хаан банк</v>
      </c>
      <c r="C44" s="103">
        <f t="shared" si="1"/>
        <v>37</v>
      </c>
      <c r="D44" s="102"/>
      <c r="E44" s="267"/>
      <c r="F44" s="101">
        <f t="shared" si="2"/>
        <v>0</v>
      </c>
      <c r="G44" s="92" t="e">
        <f t="shared" si="3"/>
        <v>#DIV/0!</v>
      </c>
    </row>
    <row r="45" spans="1:8" s="86" customFormat="1" x14ac:dyDescent="0.2">
      <c r="A45" s="96" t="s">
        <v>949</v>
      </c>
      <c r="B45" s="97" t="str">
        <f>"Хас банк"</f>
        <v>Хас банк</v>
      </c>
      <c r="C45" s="98">
        <f t="shared" si="1"/>
        <v>38</v>
      </c>
      <c r="D45" s="102"/>
      <c r="E45" s="267"/>
      <c r="F45" s="101">
        <f t="shared" si="2"/>
        <v>0</v>
      </c>
      <c r="G45" s="92" t="e">
        <f t="shared" si="3"/>
        <v>#DIV/0!</v>
      </c>
    </row>
    <row r="46" spans="1:8" s="86" customFormat="1" x14ac:dyDescent="0.2">
      <c r="A46" s="96" t="s">
        <v>950</v>
      </c>
      <c r="B46" s="97" t="str">
        <f>"Худалдаа хөгжлийн банк"</f>
        <v>Худалдаа хөгжлийн банк</v>
      </c>
      <c r="C46" s="98">
        <f t="shared" si="1"/>
        <v>39</v>
      </c>
      <c r="D46" s="102"/>
      <c r="E46" s="267"/>
      <c r="F46" s="101">
        <f t="shared" si="2"/>
        <v>0</v>
      </c>
      <c r="G46" s="92" t="e">
        <f t="shared" si="3"/>
        <v>#DIV/0!</v>
      </c>
    </row>
    <row r="47" spans="1:8" s="86" customFormat="1" x14ac:dyDescent="0.2">
      <c r="A47" s="96" t="s">
        <v>951</v>
      </c>
      <c r="B47" s="97" t="str">
        <f>"Чингис хаан банк"</f>
        <v>Чингис хаан банк</v>
      </c>
      <c r="C47" s="98">
        <f t="shared" si="1"/>
        <v>40</v>
      </c>
      <c r="D47" s="102"/>
      <c r="E47" s="267"/>
      <c r="F47" s="101">
        <f t="shared" si="2"/>
        <v>0</v>
      </c>
      <c r="G47" s="92" t="e">
        <f t="shared" si="3"/>
        <v>#DIV/0!</v>
      </c>
    </row>
    <row r="48" spans="1:8" s="86" customFormat="1" ht="25.5" x14ac:dyDescent="0.2">
      <c r="A48" s="82">
        <v>5</v>
      </c>
      <c r="B48" s="94" t="s">
        <v>952</v>
      </c>
      <c r="C48" s="85">
        <f>+C47+1</f>
        <v>41</v>
      </c>
      <c r="D48" s="95">
        <f>SUM(D49:D60)</f>
        <v>0</v>
      </c>
      <c r="E48" s="95">
        <f>SUM(E49:E60)</f>
        <v>0</v>
      </c>
      <c r="F48" s="91">
        <f t="shared" si="2"/>
        <v>0</v>
      </c>
      <c r="G48" s="92" t="e">
        <f t="shared" si="3"/>
        <v>#DIV/0!</v>
      </c>
      <c r="H48" s="93" t="e">
        <f>+IF(G48&lt;0.8, "","журамд заасан хувиас хэтрүүлж байршуулсан")</f>
        <v>#DIV/0!</v>
      </c>
    </row>
    <row r="49" spans="1:8" s="86" customFormat="1" x14ac:dyDescent="0.2">
      <c r="A49" s="96" t="s">
        <v>729</v>
      </c>
      <c r="B49" s="97" t="str">
        <f>"Ариг банк"</f>
        <v>Ариг банк</v>
      </c>
      <c r="C49" s="98">
        <f t="shared" si="1"/>
        <v>42</v>
      </c>
      <c r="D49" s="102"/>
      <c r="E49" s="104"/>
      <c r="F49" s="101">
        <f t="shared" si="2"/>
        <v>0</v>
      </c>
      <c r="G49" s="92" t="e">
        <f t="shared" si="3"/>
        <v>#DIV/0!</v>
      </c>
    </row>
    <row r="50" spans="1:8" s="86" customFormat="1" x14ac:dyDescent="0.2">
      <c r="A50" s="96" t="s">
        <v>730</v>
      </c>
      <c r="B50" s="97" t="str">
        <f>"Богд банк"</f>
        <v>Богд банк</v>
      </c>
      <c r="C50" s="98">
        <f t="shared" si="1"/>
        <v>43</v>
      </c>
      <c r="D50" s="102"/>
      <c r="E50" s="104"/>
      <c r="F50" s="101">
        <f t="shared" si="2"/>
        <v>0</v>
      </c>
      <c r="G50" s="92" t="e">
        <f t="shared" si="3"/>
        <v>#DIV/0!</v>
      </c>
    </row>
    <row r="51" spans="1:8" s="86" customFormat="1" x14ac:dyDescent="0.2">
      <c r="A51" s="96" t="s">
        <v>732</v>
      </c>
      <c r="B51" s="97" t="str">
        <f>"Голомт банк"</f>
        <v>Голомт банк</v>
      </c>
      <c r="C51" s="98">
        <f t="shared" si="1"/>
        <v>44</v>
      </c>
      <c r="D51" s="102"/>
      <c r="E51" s="104"/>
      <c r="F51" s="101">
        <f t="shared" si="2"/>
        <v>0</v>
      </c>
      <c r="G51" s="92" t="e">
        <f t="shared" si="3"/>
        <v>#DIV/0!</v>
      </c>
    </row>
    <row r="52" spans="1:8" s="86" customFormat="1" x14ac:dyDescent="0.2">
      <c r="A52" s="96" t="s">
        <v>733</v>
      </c>
      <c r="B52" s="97" t="str">
        <f>"Капитрон банк"</f>
        <v>Капитрон банк</v>
      </c>
      <c r="C52" s="98">
        <f t="shared" si="1"/>
        <v>45</v>
      </c>
      <c r="D52" s="102"/>
      <c r="E52" s="104"/>
      <c r="F52" s="101">
        <f t="shared" si="2"/>
        <v>0</v>
      </c>
      <c r="G52" s="92" t="e">
        <f t="shared" si="3"/>
        <v>#DIV/0!</v>
      </c>
    </row>
    <row r="53" spans="1:8" s="86" customFormat="1" x14ac:dyDescent="0.2">
      <c r="A53" s="96" t="s">
        <v>953</v>
      </c>
      <c r="B53" s="97" t="str">
        <f>"Кредит банк"</f>
        <v>Кредит банк</v>
      </c>
      <c r="C53" s="98">
        <f t="shared" si="1"/>
        <v>46</v>
      </c>
      <c r="D53" s="102"/>
      <c r="E53" s="104"/>
      <c r="F53" s="101">
        <f t="shared" si="2"/>
        <v>0</v>
      </c>
      <c r="G53" s="92" t="e">
        <f t="shared" si="3"/>
        <v>#DIV/0!</v>
      </c>
    </row>
    <row r="54" spans="1:8" x14ac:dyDescent="0.2">
      <c r="A54" s="96" t="s">
        <v>954</v>
      </c>
      <c r="B54" s="97" t="str">
        <f>"Төрийн банк"</f>
        <v>Төрийн банк</v>
      </c>
      <c r="C54" s="98">
        <f t="shared" si="1"/>
        <v>47</v>
      </c>
      <c r="D54" s="102"/>
      <c r="E54" s="104"/>
      <c r="F54" s="101">
        <f t="shared" si="2"/>
        <v>0</v>
      </c>
      <c r="G54" s="92" t="e">
        <f t="shared" si="3"/>
        <v>#DIV/0!</v>
      </c>
    </row>
    <row r="55" spans="1:8" x14ac:dyDescent="0.2">
      <c r="A55" s="96" t="s">
        <v>955</v>
      </c>
      <c r="B55" s="97" t="str">
        <f>"Тээвэр Хөгжлийн банк"</f>
        <v>Тээвэр Хөгжлийн банк</v>
      </c>
      <c r="C55" s="98">
        <f t="shared" si="1"/>
        <v>48</v>
      </c>
      <c r="D55" s="102"/>
      <c r="E55" s="104"/>
      <c r="F55" s="101">
        <f t="shared" si="2"/>
        <v>0</v>
      </c>
      <c r="G55" s="92" t="e">
        <f t="shared" si="3"/>
        <v>#DIV/0!</v>
      </c>
    </row>
    <row r="56" spans="1:8" x14ac:dyDescent="0.2">
      <c r="A56" s="96" t="s">
        <v>956</v>
      </c>
      <c r="B56" s="97" t="str">
        <f>"Үндэсний хөрөнгө оруулалтын банк"</f>
        <v>Үндэсний хөрөнгө оруулалтын банк</v>
      </c>
      <c r="C56" s="98">
        <f t="shared" si="1"/>
        <v>49</v>
      </c>
      <c r="D56" s="102"/>
      <c r="E56" s="104"/>
      <c r="F56" s="101">
        <f t="shared" si="2"/>
        <v>0</v>
      </c>
      <c r="G56" s="92" t="e">
        <f t="shared" si="3"/>
        <v>#DIV/0!</v>
      </c>
    </row>
    <row r="57" spans="1:8" x14ac:dyDescent="0.2">
      <c r="A57" s="96" t="s">
        <v>957</v>
      </c>
      <c r="B57" s="97" t="str">
        <f>"Хаан банк"</f>
        <v>Хаан банк</v>
      </c>
      <c r="C57" s="98">
        <f t="shared" si="1"/>
        <v>50</v>
      </c>
      <c r="D57" s="102"/>
      <c r="E57" s="104"/>
      <c r="F57" s="101">
        <f t="shared" si="2"/>
        <v>0</v>
      </c>
      <c r="G57" s="92" t="e">
        <f t="shared" si="3"/>
        <v>#DIV/0!</v>
      </c>
    </row>
    <row r="58" spans="1:8" x14ac:dyDescent="0.2">
      <c r="A58" s="96" t="s">
        <v>958</v>
      </c>
      <c r="B58" s="97" t="str">
        <f>"Хас банк"</f>
        <v>Хас банк</v>
      </c>
      <c r="C58" s="98">
        <f t="shared" si="1"/>
        <v>51</v>
      </c>
      <c r="D58" s="102"/>
      <c r="E58" s="104"/>
      <c r="F58" s="101">
        <f t="shared" si="2"/>
        <v>0</v>
      </c>
      <c r="G58" s="92" t="e">
        <f t="shared" si="3"/>
        <v>#DIV/0!</v>
      </c>
    </row>
    <row r="59" spans="1:8" x14ac:dyDescent="0.2">
      <c r="A59" s="96" t="s">
        <v>959</v>
      </c>
      <c r="B59" s="97" t="str">
        <f>"Худалдаа хөгжлийн банк"</f>
        <v>Худалдаа хөгжлийн банк</v>
      </c>
      <c r="C59" s="98">
        <f t="shared" si="1"/>
        <v>52</v>
      </c>
      <c r="D59" s="102"/>
      <c r="E59" s="104"/>
      <c r="F59" s="101">
        <f t="shared" si="2"/>
        <v>0</v>
      </c>
      <c r="G59" s="92" t="e">
        <f t="shared" si="3"/>
        <v>#DIV/0!</v>
      </c>
    </row>
    <row r="60" spans="1:8" x14ac:dyDescent="0.2">
      <c r="A60" s="96" t="s">
        <v>960</v>
      </c>
      <c r="B60" s="97" t="str">
        <f>"Чингис хаан банк"</f>
        <v>Чингис хаан банк</v>
      </c>
      <c r="C60" s="98">
        <f t="shared" si="1"/>
        <v>53</v>
      </c>
      <c r="D60" s="102"/>
      <c r="E60" s="104"/>
      <c r="F60" s="101">
        <f t="shared" si="2"/>
        <v>0</v>
      </c>
      <c r="G60" s="92" t="e">
        <f t="shared" si="3"/>
        <v>#DIV/0!</v>
      </c>
    </row>
    <row r="61" spans="1:8" x14ac:dyDescent="0.2">
      <c r="A61" s="82">
        <f>+A48+1</f>
        <v>6</v>
      </c>
      <c r="B61" s="105" t="s">
        <v>961</v>
      </c>
      <c r="C61" s="85">
        <f>+C60+1</f>
        <v>54</v>
      </c>
      <c r="D61" s="95">
        <f>SUM(D62:D70)</f>
        <v>0</v>
      </c>
      <c r="E61" s="95">
        <f>SUM(E62:E70)</f>
        <v>0</v>
      </c>
      <c r="F61" s="91">
        <f t="shared" ref="F61:F82" si="4">SUM(D61+E61)</f>
        <v>0</v>
      </c>
      <c r="G61" s="92" t="e">
        <f t="shared" si="3"/>
        <v>#DIV/0!</v>
      </c>
    </row>
    <row r="62" spans="1:8" x14ac:dyDescent="0.2">
      <c r="A62" s="96" t="s">
        <v>962</v>
      </c>
      <c r="B62" s="106" t="s">
        <v>401</v>
      </c>
      <c r="C62" s="98">
        <f t="shared" ref="C62:C84" si="5">C61+1</f>
        <v>55</v>
      </c>
      <c r="D62" s="99"/>
      <c r="E62" s="99"/>
      <c r="F62" s="101">
        <f>SUM(D62+E62)</f>
        <v>0</v>
      </c>
      <c r="G62" s="92" t="e">
        <f t="shared" si="3"/>
        <v>#DIV/0!</v>
      </c>
    </row>
    <row r="63" spans="1:8" x14ac:dyDescent="0.2">
      <c r="A63" s="96" t="s">
        <v>963</v>
      </c>
      <c r="B63" s="106" t="s">
        <v>240</v>
      </c>
      <c r="C63" s="98">
        <f t="shared" si="5"/>
        <v>56</v>
      </c>
      <c r="D63" s="99"/>
      <c r="E63" s="99"/>
      <c r="F63" s="101">
        <f t="shared" si="4"/>
        <v>0</v>
      </c>
      <c r="G63" s="92" t="e">
        <f t="shared" si="3"/>
        <v>#DIV/0!</v>
      </c>
      <c r="H63" s="107" t="e">
        <f>+IF(G63&lt;0.6, "","журамд заасан хувиас хэтрүүлж байршуулсан")</f>
        <v>#DIV/0!</v>
      </c>
    </row>
    <row r="64" spans="1:8" x14ac:dyDescent="0.2">
      <c r="A64" s="96" t="s">
        <v>964</v>
      </c>
      <c r="B64" s="106" t="s">
        <v>246</v>
      </c>
      <c r="C64" s="98">
        <f t="shared" si="5"/>
        <v>57</v>
      </c>
      <c r="D64" s="99"/>
      <c r="E64" s="99"/>
      <c r="F64" s="101">
        <f t="shared" si="4"/>
        <v>0</v>
      </c>
      <c r="G64" s="92" t="e">
        <f t="shared" si="3"/>
        <v>#DIV/0!</v>
      </c>
      <c r="H64" s="107" t="e">
        <f>+IF(G64&lt;0.6, "","журамд заасан хувиас хэтрүүлж байршуулсан")</f>
        <v>#DIV/0!</v>
      </c>
    </row>
    <row r="65" spans="1:8" x14ac:dyDescent="0.2">
      <c r="A65" s="96" t="s">
        <v>965</v>
      </c>
      <c r="B65" s="106" t="s">
        <v>402</v>
      </c>
      <c r="C65" s="98">
        <f t="shared" si="5"/>
        <v>58</v>
      </c>
      <c r="D65" s="99"/>
      <c r="E65" s="99"/>
      <c r="F65" s="101">
        <f t="shared" si="4"/>
        <v>0</v>
      </c>
      <c r="G65" s="92" t="e">
        <f t="shared" si="3"/>
        <v>#DIV/0!</v>
      </c>
      <c r="H65" s="107" t="e">
        <f>+IF(G65&lt;0.6, "","журамд заасан хувиас хэтрүүлж байршуулсан")</f>
        <v>#DIV/0!</v>
      </c>
    </row>
    <row r="66" spans="1:8" x14ac:dyDescent="0.2">
      <c r="A66" s="96" t="s">
        <v>966</v>
      </c>
      <c r="B66" s="106" t="s">
        <v>403</v>
      </c>
      <c r="C66" s="98">
        <f t="shared" si="5"/>
        <v>59</v>
      </c>
      <c r="D66" s="99"/>
      <c r="E66" s="99"/>
      <c r="F66" s="101">
        <f t="shared" si="4"/>
        <v>0</v>
      </c>
      <c r="G66" s="92" t="e">
        <f t="shared" si="3"/>
        <v>#DIV/0!</v>
      </c>
      <c r="H66" s="107" t="e">
        <f>+IF(G66&lt;0.3, "","журамд заасан хувиас хэтрүүлж байршуулсан")</f>
        <v>#DIV/0!</v>
      </c>
    </row>
    <row r="67" spans="1:8" x14ac:dyDescent="0.2">
      <c r="A67" s="96" t="s">
        <v>967</v>
      </c>
      <c r="B67" s="106" t="s">
        <v>404</v>
      </c>
      <c r="C67" s="98">
        <f t="shared" si="5"/>
        <v>60</v>
      </c>
      <c r="D67" s="99"/>
      <c r="E67" s="99"/>
      <c r="F67" s="101">
        <f t="shared" si="4"/>
        <v>0</v>
      </c>
      <c r="G67" s="92" t="e">
        <f t="shared" si="3"/>
        <v>#DIV/0!</v>
      </c>
      <c r="H67" s="107" t="e">
        <f>+IF(G67&lt;0.2, "","журамд заасан хувиас хэтрүүлж байршуулсан")</f>
        <v>#DIV/0!</v>
      </c>
    </row>
    <row r="68" spans="1:8" x14ac:dyDescent="0.2">
      <c r="A68" s="96" t="s">
        <v>968</v>
      </c>
      <c r="B68" s="106" t="s">
        <v>405</v>
      </c>
      <c r="C68" s="98">
        <f t="shared" si="5"/>
        <v>61</v>
      </c>
      <c r="D68" s="99"/>
      <c r="E68" s="99"/>
      <c r="F68" s="101">
        <f t="shared" si="4"/>
        <v>0</v>
      </c>
      <c r="G68" s="92" t="e">
        <f t="shared" ref="G68:G84" si="6">F68/$F$84</f>
        <v>#DIV/0!</v>
      </c>
      <c r="H68" s="107" t="e">
        <f>+IF(G68&lt;0.05, "","журамд заасан хувиас хэтрүүлж байршуулсан")</f>
        <v>#DIV/0!</v>
      </c>
    </row>
    <row r="69" spans="1:8" ht="25.5" x14ac:dyDescent="0.2">
      <c r="A69" s="96" t="s">
        <v>969</v>
      </c>
      <c r="B69" s="106" t="s">
        <v>406</v>
      </c>
      <c r="C69" s="98">
        <f t="shared" si="5"/>
        <v>62</v>
      </c>
      <c r="D69" s="99"/>
      <c r="E69" s="99"/>
      <c r="F69" s="101">
        <f t="shared" si="4"/>
        <v>0</v>
      </c>
      <c r="G69" s="92" t="e">
        <f t="shared" si="6"/>
        <v>#DIV/0!</v>
      </c>
      <c r="H69" s="107" t="e">
        <f>+IF(G69&lt;0.2, "","журамд заасан хувиас хэтрүүлж байршуулсан")</f>
        <v>#DIV/0!</v>
      </c>
    </row>
    <row r="70" spans="1:8" x14ac:dyDescent="0.2">
      <c r="A70" s="96" t="s">
        <v>970</v>
      </c>
      <c r="B70" s="106" t="s">
        <v>734</v>
      </c>
      <c r="C70" s="98">
        <f t="shared" si="5"/>
        <v>63</v>
      </c>
      <c r="D70" s="99"/>
      <c r="E70" s="99"/>
      <c r="F70" s="101">
        <f t="shared" si="4"/>
        <v>0</v>
      </c>
      <c r="G70" s="92" t="e">
        <f t="shared" si="6"/>
        <v>#DIV/0!</v>
      </c>
    </row>
    <row r="71" spans="1:8" x14ac:dyDescent="0.2">
      <c r="A71" s="82">
        <f>+A61+1</f>
        <v>7</v>
      </c>
      <c r="B71" s="94" t="s">
        <v>244</v>
      </c>
      <c r="C71" s="85">
        <f t="shared" si="5"/>
        <v>64</v>
      </c>
      <c r="D71" s="95">
        <v>0</v>
      </c>
      <c r="E71" s="99"/>
      <c r="F71" s="91">
        <f t="shared" si="4"/>
        <v>0</v>
      </c>
      <c r="G71" s="92" t="e">
        <f t="shared" si="6"/>
        <v>#DIV/0!</v>
      </c>
      <c r="H71" s="107" t="e">
        <f>+IF(G71&lt;0.1, "","журамд заасан хувиас хэтрүүлж байршуулсан")</f>
        <v>#DIV/0!</v>
      </c>
    </row>
    <row r="72" spans="1:8" ht="25.5" x14ac:dyDescent="0.2">
      <c r="A72" s="82" t="s">
        <v>243</v>
      </c>
      <c r="B72" s="94" t="s">
        <v>971</v>
      </c>
      <c r="C72" s="85">
        <f t="shared" si="5"/>
        <v>65</v>
      </c>
      <c r="D72" s="95">
        <v>0</v>
      </c>
      <c r="E72" s="95">
        <f>SUM(E73:E82)</f>
        <v>0</v>
      </c>
      <c r="F72" s="108">
        <f t="shared" si="4"/>
        <v>0</v>
      </c>
      <c r="G72" s="92" t="e">
        <f t="shared" si="6"/>
        <v>#DIV/0!</v>
      </c>
      <c r="H72" s="107" t="e">
        <f>+IF(G72&lt;0.2, "","журамд заасан хувиас хэтрүүлж байршуулсан")</f>
        <v>#DIV/0!</v>
      </c>
    </row>
    <row r="73" spans="1:8" x14ac:dyDescent="0.2">
      <c r="A73" s="109" t="s">
        <v>972</v>
      </c>
      <c r="B73" s="106" t="s">
        <v>973</v>
      </c>
      <c r="C73" s="110">
        <f t="shared" si="5"/>
        <v>66</v>
      </c>
      <c r="D73" s="100"/>
      <c r="E73" s="99"/>
      <c r="F73" s="101">
        <f t="shared" si="4"/>
        <v>0</v>
      </c>
      <c r="G73" s="92" t="e">
        <f t="shared" si="6"/>
        <v>#DIV/0!</v>
      </c>
    </row>
    <row r="74" spans="1:8" x14ac:dyDescent="0.2">
      <c r="A74" s="111">
        <f>+A73+0.1</f>
        <v>8.1999999999999993</v>
      </c>
      <c r="B74" s="106" t="s">
        <v>973</v>
      </c>
      <c r="C74" s="110">
        <f t="shared" si="5"/>
        <v>67</v>
      </c>
      <c r="D74" s="100"/>
      <c r="E74" s="99"/>
      <c r="F74" s="101">
        <f t="shared" si="4"/>
        <v>0</v>
      </c>
      <c r="G74" s="92" t="e">
        <f t="shared" si="6"/>
        <v>#DIV/0!</v>
      </c>
    </row>
    <row r="75" spans="1:8" x14ac:dyDescent="0.2">
      <c r="A75" s="111">
        <f t="shared" ref="A75:A81" si="7">+A74+0.1</f>
        <v>8.2999999999999989</v>
      </c>
      <c r="B75" s="106" t="s">
        <v>973</v>
      </c>
      <c r="C75" s="110">
        <f t="shared" si="5"/>
        <v>68</v>
      </c>
      <c r="D75" s="100"/>
      <c r="E75" s="99"/>
      <c r="F75" s="101">
        <f t="shared" si="4"/>
        <v>0</v>
      </c>
      <c r="G75" s="92" t="e">
        <f t="shared" si="6"/>
        <v>#DIV/0!</v>
      </c>
    </row>
    <row r="76" spans="1:8" x14ac:dyDescent="0.2">
      <c r="A76" s="111">
        <f t="shared" si="7"/>
        <v>8.3999999999999986</v>
      </c>
      <c r="B76" s="106" t="s">
        <v>973</v>
      </c>
      <c r="C76" s="110">
        <f t="shared" si="5"/>
        <v>69</v>
      </c>
      <c r="D76" s="100"/>
      <c r="E76" s="99"/>
      <c r="F76" s="101">
        <f t="shared" si="4"/>
        <v>0</v>
      </c>
      <c r="G76" s="92" t="e">
        <f t="shared" si="6"/>
        <v>#DIV/0!</v>
      </c>
    </row>
    <row r="77" spans="1:8" x14ac:dyDescent="0.2">
      <c r="A77" s="111">
        <f t="shared" si="7"/>
        <v>8.4999999999999982</v>
      </c>
      <c r="B77" s="106" t="s">
        <v>973</v>
      </c>
      <c r="C77" s="110">
        <f t="shared" si="5"/>
        <v>70</v>
      </c>
      <c r="D77" s="100"/>
      <c r="E77" s="99"/>
      <c r="F77" s="101">
        <f t="shared" si="4"/>
        <v>0</v>
      </c>
      <c r="G77" s="92" t="e">
        <f t="shared" si="6"/>
        <v>#DIV/0!</v>
      </c>
    </row>
    <row r="78" spans="1:8" x14ac:dyDescent="0.2">
      <c r="A78" s="111">
        <f t="shared" si="7"/>
        <v>8.5999999999999979</v>
      </c>
      <c r="B78" s="106" t="s">
        <v>973</v>
      </c>
      <c r="C78" s="110">
        <f t="shared" si="5"/>
        <v>71</v>
      </c>
      <c r="D78" s="100"/>
      <c r="E78" s="99"/>
      <c r="F78" s="101">
        <f t="shared" si="4"/>
        <v>0</v>
      </c>
      <c r="G78" s="92" t="e">
        <f t="shared" si="6"/>
        <v>#DIV/0!</v>
      </c>
    </row>
    <row r="79" spans="1:8" x14ac:dyDescent="0.2">
      <c r="A79" s="111">
        <f t="shared" si="7"/>
        <v>8.6999999999999975</v>
      </c>
      <c r="B79" s="106" t="s">
        <v>973</v>
      </c>
      <c r="C79" s="110">
        <f t="shared" si="5"/>
        <v>72</v>
      </c>
      <c r="D79" s="100"/>
      <c r="E79" s="99"/>
      <c r="F79" s="101">
        <f t="shared" si="4"/>
        <v>0</v>
      </c>
      <c r="G79" s="92" t="e">
        <f t="shared" si="6"/>
        <v>#DIV/0!</v>
      </c>
    </row>
    <row r="80" spans="1:8" x14ac:dyDescent="0.2">
      <c r="A80" s="111">
        <f t="shared" si="7"/>
        <v>8.7999999999999972</v>
      </c>
      <c r="B80" s="106" t="s">
        <v>973</v>
      </c>
      <c r="C80" s="110">
        <f t="shared" si="5"/>
        <v>73</v>
      </c>
      <c r="D80" s="100"/>
      <c r="E80" s="99"/>
      <c r="F80" s="101">
        <f t="shared" si="4"/>
        <v>0</v>
      </c>
      <c r="G80" s="92" t="e">
        <f t="shared" si="6"/>
        <v>#DIV/0!</v>
      </c>
    </row>
    <row r="81" spans="1:8" x14ac:dyDescent="0.2">
      <c r="A81" s="111">
        <f t="shared" si="7"/>
        <v>8.8999999999999968</v>
      </c>
      <c r="B81" s="106" t="s">
        <v>973</v>
      </c>
      <c r="C81" s="110">
        <f t="shared" si="5"/>
        <v>74</v>
      </c>
      <c r="D81" s="100"/>
      <c r="E81" s="99"/>
      <c r="F81" s="101">
        <f t="shared" si="4"/>
        <v>0</v>
      </c>
      <c r="G81" s="92" t="e">
        <f t="shared" si="6"/>
        <v>#DIV/0!</v>
      </c>
    </row>
    <row r="82" spans="1:8" x14ac:dyDescent="0.2">
      <c r="A82" s="109">
        <v>8.1</v>
      </c>
      <c r="B82" s="106" t="s">
        <v>973</v>
      </c>
      <c r="C82" s="110">
        <f t="shared" si="5"/>
        <v>75</v>
      </c>
      <c r="D82" s="100"/>
      <c r="E82" s="99"/>
      <c r="F82" s="101">
        <f t="shared" si="4"/>
        <v>0</v>
      </c>
      <c r="G82" s="92" t="e">
        <f t="shared" si="6"/>
        <v>#DIV/0!</v>
      </c>
    </row>
    <row r="83" spans="1:8" ht="25.5" x14ac:dyDescent="0.2">
      <c r="A83" s="82">
        <f>+A72+1</f>
        <v>9</v>
      </c>
      <c r="B83" s="83" t="s">
        <v>974</v>
      </c>
      <c r="C83" s="85">
        <f t="shared" si="5"/>
        <v>76</v>
      </c>
      <c r="D83" s="95">
        <v>0</v>
      </c>
      <c r="E83" s="99"/>
      <c r="F83" s="91">
        <f>+D83+E83</f>
        <v>0</v>
      </c>
      <c r="G83" s="112" t="e">
        <f t="shared" si="6"/>
        <v>#DIV/0!</v>
      </c>
      <c r="H83" s="107" t="e">
        <f>+IF(G83&lt;0.3, "","журамд заасан хувиас хэтрүүлж байршуулсан")</f>
        <v>#DIV/0!</v>
      </c>
    </row>
    <row r="84" spans="1:8" x14ac:dyDescent="0.2">
      <c r="A84" s="82" t="s">
        <v>247</v>
      </c>
      <c r="B84" s="83" t="s">
        <v>745</v>
      </c>
      <c r="C84" s="85">
        <f t="shared" si="5"/>
        <v>77</v>
      </c>
      <c r="D84" s="113">
        <f>SUM(D8,D9,D22,D35,D48,D61,D71,D72,D83)</f>
        <v>0</v>
      </c>
      <c r="E84" s="113">
        <f>SUM(E8,E9,E22,E35,E48,E61,E71,E72,E83)</f>
        <v>0</v>
      </c>
      <c r="F84" s="114">
        <f>+F8+F9+F22+F35+F48+F61+F71+F72+F83</f>
        <v>0</v>
      </c>
      <c r="G84" s="92" t="e">
        <f t="shared" si="6"/>
        <v>#DIV/0!</v>
      </c>
    </row>
    <row r="85" spans="1:8" x14ac:dyDescent="0.2">
      <c r="A85" s="115"/>
      <c r="B85" s="116"/>
      <c r="C85" s="117"/>
      <c r="D85" s="118"/>
      <c r="E85" s="118"/>
      <c r="F85" s="118"/>
      <c r="G85" s="119"/>
    </row>
    <row r="86" spans="1:8" x14ac:dyDescent="0.2">
      <c r="B86" s="2" t="s">
        <v>285</v>
      </c>
      <c r="C86" s="271"/>
      <c r="D86" s="4"/>
      <c r="E86" s="4"/>
      <c r="F86" s="121"/>
    </row>
    <row r="87" spans="1:8" x14ac:dyDescent="0.2">
      <c r="B87" s="5"/>
      <c r="C87" s="271"/>
      <c r="D87" s="4"/>
      <c r="E87" s="4"/>
      <c r="F87" s="122"/>
    </row>
    <row r="88" spans="1:8" x14ac:dyDescent="0.2">
      <c r="B88" s="5" t="s">
        <v>286</v>
      </c>
      <c r="C88" s="271"/>
      <c r="D88" s="4"/>
      <c r="E88" s="4"/>
      <c r="F88" s="122"/>
    </row>
    <row r="89" spans="1:8" x14ac:dyDescent="0.2">
      <c r="B89" s="5"/>
      <c r="C89" s="271"/>
      <c r="D89" s="4"/>
      <c r="E89" s="4"/>
      <c r="F89" s="122"/>
    </row>
    <row r="90" spans="1:8" x14ac:dyDescent="0.2">
      <c r="B90" s="6" t="s">
        <v>287</v>
      </c>
      <c r="C90" s="576" t="s">
        <v>288</v>
      </c>
      <c r="D90" s="576"/>
      <c r="E90" s="4" t="s">
        <v>289</v>
      </c>
      <c r="F90" s="122"/>
    </row>
    <row r="91" spans="1:8" x14ac:dyDescent="0.2">
      <c r="B91" s="5"/>
      <c r="C91" s="576"/>
      <c r="D91" s="576"/>
      <c r="E91" s="4"/>
      <c r="F91" s="122"/>
    </row>
    <row r="92" spans="1:8" x14ac:dyDescent="0.2">
      <c r="B92" s="6" t="s">
        <v>290</v>
      </c>
      <c r="C92" s="576" t="s">
        <v>291</v>
      </c>
      <c r="D92" s="576"/>
      <c r="E92" s="4" t="s">
        <v>292</v>
      </c>
      <c r="F92" s="122"/>
    </row>
    <row r="93" spans="1:8" x14ac:dyDescent="0.2">
      <c r="B93" s="5"/>
      <c r="C93" s="576"/>
      <c r="D93" s="576"/>
      <c r="E93" s="4"/>
      <c r="F93" s="122"/>
    </row>
    <row r="94" spans="1:8" x14ac:dyDescent="0.2">
      <c r="B94" s="6" t="s">
        <v>293</v>
      </c>
      <c r="C94" s="576" t="s">
        <v>288</v>
      </c>
      <c r="D94" s="576"/>
      <c r="E94" s="4" t="s">
        <v>292</v>
      </c>
      <c r="F94" s="122"/>
    </row>
    <row r="95" spans="1:8" x14ac:dyDescent="0.2">
      <c r="B95" s="122"/>
      <c r="C95" s="122"/>
      <c r="D95" s="122"/>
      <c r="E95" s="122"/>
      <c r="F95" s="122"/>
    </row>
    <row r="96" spans="1:8" x14ac:dyDescent="0.2">
      <c r="B96" s="122"/>
      <c r="C96" s="122"/>
      <c r="D96" s="122"/>
      <c r="E96" s="122"/>
      <c r="F96" s="122"/>
    </row>
    <row r="97" spans="2:6" x14ac:dyDescent="0.2">
      <c r="B97" s="122"/>
      <c r="C97" s="122"/>
      <c r="D97" s="122"/>
      <c r="E97" s="122"/>
      <c r="F97" s="122"/>
    </row>
  </sheetData>
  <sheetProtection password="CA9F" sheet="1" objects="1" scenarios="1"/>
  <mergeCells count="10">
    <mergeCell ref="C92:D92"/>
    <mergeCell ref="C93:D93"/>
    <mergeCell ref="C94:D94"/>
    <mergeCell ref="F5:G5"/>
    <mergeCell ref="A1:G1"/>
    <mergeCell ref="A2:G2"/>
    <mergeCell ref="A4:D4"/>
    <mergeCell ref="F4:G4"/>
    <mergeCell ref="C90:D90"/>
    <mergeCell ref="C91:D91"/>
  </mergeCells>
  <dataValidations count="1">
    <dataValidation type="decimal" allowBlank="1" showInputMessage="1" showErrorMessage="1" sqref="D65540:F65620 IZ65540:JB65620 SV65540:SX65620 ACR65540:ACT65620 AMN65540:AMP65620 AWJ65540:AWL65620 BGF65540:BGH65620 BQB65540:BQD65620 BZX65540:BZZ65620 CJT65540:CJV65620 CTP65540:CTR65620 DDL65540:DDN65620 DNH65540:DNJ65620 DXD65540:DXF65620 EGZ65540:EHB65620 EQV65540:EQX65620 FAR65540:FAT65620 FKN65540:FKP65620 FUJ65540:FUL65620 GEF65540:GEH65620 GOB65540:GOD65620 GXX65540:GXZ65620 HHT65540:HHV65620 HRP65540:HRR65620 IBL65540:IBN65620 ILH65540:ILJ65620 IVD65540:IVF65620 JEZ65540:JFB65620 JOV65540:JOX65620 JYR65540:JYT65620 KIN65540:KIP65620 KSJ65540:KSL65620 LCF65540:LCH65620 LMB65540:LMD65620 LVX65540:LVZ65620 MFT65540:MFV65620 MPP65540:MPR65620 MZL65540:MZN65620 NJH65540:NJJ65620 NTD65540:NTF65620 OCZ65540:ODB65620 OMV65540:OMX65620 OWR65540:OWT65620 PGN65540:PGP65620 PQJ65540:PQL65620 QAF65540:QAH65620 QKB65540:QKD65620 QTX65540:QTZ65620 RDT65540:RDV65620 RNP65540:RNR65620 RXL65540:RXN65620 SHH65540:SHJ65620 SRD65540:SRF65620 TAZ65540:TBB65620 TKV65540:TKX65620 TUR65540:TUT65620 UEN65540:UEP65620 UOJ65540:UOL65620 UYF65540:UYH65620 VIB65540:VID65620 VRX65540:VRZ65620 WBT65540:WBV65620 WLP65540:WLR65620 WVL65540:WVN65620 D131076:F131156 IZ131076:JB131156 SV131076:SX131156 ACR131076:ACT131156 AMN131076:AMP131156 AWJ131076:AWL131156 BGF131076:BGH131156 BQB131076:BQD131156 BZX131076:BZZ131156 CJT131076:CJV131156 CTP131076:CTR131156 DDL131076:DDN131156 DNH131076:DNJ131156 DXD131076:DXF131156 EGZ131076:EHB131156 EQV131076:EQX131156 FAR131076:FAT131156 FKN131076:FKP131156 FUJ131076:FUL131156 GEF131076:GEH131156 GOB131076:GOD131156 GXX131076:GXZ131156 HHT131076:HHV131156 HRP131076:HRR131156 IBL131076:IBN131156 ILH131076:ILJ131156 IVD131076:IVF131156 JEZ131076:JFB131156 JOV131076:JOX131156 JYR131076:JYT131156 KIN131076:KIP131156 KSJ131076:KSL131156 LCF131076:LCH131156 LMB131076:LMD131156 LVX131076:LVZ131156 MFT131076:MFV131156 MPP131076:MPR131156 MZL131076:MZN131156 NJH131076:NJJ131156 NTD131076:NTF131156 OCZ131076:ODB131156 OMV131076:OMX131156 OWR131076:OWT131156 PGN131076:PGP131156 PQJ131076:PQL131156 QAF131076:QAH131156 QKB131076:QKD131156 QTX131076:QTZ131156 RDT131076:RDV131156 RNP131076:RNR131156 RXL131076:RXN131156 SHH131076:SHJ131156 SRD131076:SRF131156 TAZ131076:TBB131156 TKV131076:TKX131156 TUR131076:TUT131156 UEN131076:UEP131156 UOJ131076:UOL131156 UYF131076:UYH131156 VIB131076:VID131156 VRX131076:VRZ131156 WBT131076:WBV131156 WLP131076:WLR131156 WVL131076:WVN131156 D196612:F196692 IZ196612:JB196692 SV196612:SX196692 ACR196612:ACT196692 AMN196612:AMP196692 AWJ196612:AWL196692 BGF196612:BGH196692 BQB196612:BQD196692 BZX196612:BZZ196692 CJT196612:CJV196692 CTP196612:CTR196692 DDL196612:DDN196692 DNH196612:DNJ196692 DXD196612:DXF196692 EGZ196612:EHB196692 EQV196612:EQX196692 FAR196612:FAT196692 FKN196612:FKP196692 FUJ196612:FUL196692 GEF196612:GEH196692 GOB196612:GOD196692 GXX196612:GXZ196692 HHT196612:HHV196692 HRP196612:HRR196692 IBL196612:IBN196692 ILH196612:ILJ196692 IVD196612:IVF196692 JEZ196612:JFB196692 JOV196612:JOX196692 JYR196612:JYT196692 KIN196612:KIP196692 KSJ196612:KSL196692 LCF196612:LCH196692 LMB196612:LMD196692 LVX196612:LVZ196692 MFT196612:MFV196692 MPP196612:MPR196692 MZL196612:MZN196692 NJH196612:NJJ196692 NTD196612:NTF196692 OCZ196612:ODB196692 OMV196612:OMX196692 OWR196612:OWT196692 PGN196612:PGP196692 PQJ196612:PQL196692 QAF196612:QAH196692 QKB196612:QKD196692 QTX196612:QTZ196692 RDT196612:RDV196692 RNP196612:RNR196692 RXL196612:RXN196692 SHH196612:SHJ196692 SRD196612:SRF196692 TAZ196612:TBB196692 TKV196612:TKX196692 TUR196612:TUT196692 UEN196612:UEP196692 UOJ196612:UOL196692 UYF196612:UYH196692 VIB196612:VID196692 VRX196612:VRZ196692 WBT196612:WBV196692 WLP196612:WLR196692 WVL196612:WVN196692 D262148:F262228 IZ262148:JB262228 SV262148:SX262228 ACR262148:ACT262228 AMN262148:AMP262228 AWJ262148:AWL262228 BGF262148:BGH262228 BQB262148:BQD262228 BZX262148:BZZ262228 CJT262148:CJV262228 CTP262148:CTR262228 DDL262148:DDN262228 DNH262148:DNJ262228 DXD262148:DXF262228 EGZ262148:EHB262228 EQV262148:EQX262228 FAR262148:FAT262228 FKN262148:FKP262228 FUJ262148:FUL262228 GEF262148:GEH262228 GOB262148:GOD262228 GXX262148:GXZ262228 HHT262148:HHV262228 HRP262148:HRR262228 IBL262148:IBN262228 ILH262148:ILJ262228 IVD262148:IVF262228 JEZ262148:JFB262228 JOV262148:JOX262228 JYR262148:JYT262228 KIN262148:KIP262228 KSJ262148:KSL262228 LCF262148:LCH262228 LMB262148:LMD262228 LVX262148:LVZ262228 MFT262148:MFV262228 MPP262148:MPR262228 MZL262148:MZN262228 NJH262148:NJJ262228 NTD262148:NTF262228 OCZ262148:ODB262228 OMV262148:OMX262228 OWR262148:OWT262228 PGN262148:PGP262228 PQJ262148:PQL262228 QAF262148:QAH262228 QKB262148:QKD262228 QTX262148:QTZ262228 RDT262148:RDV262228 RNP262148:RNR262228 RXL262148:RXN262228 SHH262148:SHJ262228 SRD262148:SRF262228 TAZ262148:TBB262228 TKV262148:TKX262228 TUR262148:TUT262228 UEN262148:UEP262228 UOJ262148:UOL262228 UYF262148:UYH262228 VIB262148:VID262228 VRX262148:VRZ262228 WBT262148:WBV262228 WLP262148:WLR262228 WVL262148:WVN262228 D327684:F327764 IZ327684:JB327764 SV327684:SX327764 ACR327684:ACT327764 AMN327684:AMP327764 AWJ327684:AWL327764 BGF327684:BGH327764 BQB327684:BQD327764 BZX327684:BZZ327764 CJT327684:CJV327764 CTP327684:CTR327764 DDL327684:DDN327764 DNH327684:DNJ327764 DXD327684:DXF327764 EGZ327684:EHB327764 EQV327684:EQX327764 FAR327684:FAT327764 FKN327684:FKP327764 FUJ327684:FUL327764 GEF327684:GEH327764 GOB327684:GOD327764 GXX327684:GXZ327764 HHT327684:HHV327764 HRP327684:HRR327764 IBL327684:IBN327764 ILH327684:ILJ327764 IVD327684:IVF327764 JEZ327684:JFB327764 JOV327684:JOX327764 JYR327684:JYT327764 KIN327684:KIP327764 KSJ327684:KSL327764 LCF327684:LCH327764 LMB327684:LMD327764 LVX327684:LVZ327764 MFT327684:MFV327764 MPP327684:MPR327764 MZL327684:MZN327764 NJH327684:NJJ327764 NTD327684:NTF327764 OCZ327684:ODB327764 OMV327684:OMX327764 OWR327684:OWT327764 PGN327684:PGP327764 PQJ327684:PQL327764 QAF327684:QAH327764 QKB327684:QKD327764 QTX327684:QTZ327764 RDT327684:RDV327764 RNP327684:RNR327764 RXL327684:RXN327764 SHH327684:SHJ327764 SRD327684:SRF327764 TAZ327684:TBB327764 TKV327684:TKX327764 TUR327684:TUT327764 UEN327684:UEP327764 UOJ327684:UOL327764 UYF327684:UYH327764 VIB327684:VID327764 VRX327684:VRZ327764 WBT327684:WBV327764 WLP327684:WLR327764 WVL327684:WVN327764 D393220:F393300 IZ393220:JB393300 SV393220:SX393300 ACR393220:ACT393300 AMN393220:AMP393300 AWJ393220:AWL393300 BGF393220:BGH393300 BQB393220:BQD393300 BZX393220:BZZ393300 CJT393220:CJV393300 CTP393220:CTR393300 DDL393220:DDN393300 DNH393220:DNJ393300 DXD393220:DXF393300 EGZ393220:EHB393300 EQV393220:EQX393300 FAR393220:FAT393300 FKN393220:FKP393300 FUJ393220:FUL393300 GEF393220:GEH393300 GOB393220:GOD393300 GXX393220:GXZ393300 HHT393220:HHV393300 HRP393220:HRR393300 IBL393220:IBN393300 ILH393220:ILJ393300 IVD393220:IVF393300 JEZ393220:JFB393300 JOV393220:JOX393300 JYR393220:JYT393300 KIN393220:KIP393300 KSJ393220:KSL393300 LCF393220:LCH393300 LMB393220:LMD393300 LVX393220:LVZ393300 MFT393220:MFV393300 MPP393220:MPR393300 MZL393220:MZN393300 NJH393220:NJJ393300 NTD393220:NTF393300 OCZ393220:ODB393300 OMV393220:OMX393300 OWR393220:OWT393300 PGN393220:PGP393300 PQJ393220:PQL393300 QAF393220:QAH393300 QKB393220:QKD393300 QTX393220:QTZ393300 RDT393220:RDV393300 RNP393220:RNR393300 RXL393220:RXN393300 SHH393220:SHJ393300 SRD393220:SRF393300 TAZ393220:TBB393300 TKV393220:TKX393300 TUR393220:TUT393300 UEN393220:UEP393300 UOJ393220:UOL393300 UYF393220:UYH393300 VIB393220:VID393300 VRX393220:VRZ393300 WBT393220:WBV393300 WLP393220:WLR393300 WVL393220:WVN393300 D458756:F458836 IZ458756:JB458836 SV458756:SX458836 ACR458756:ACT458836 AMN458756:AMP458836 AWJ458756:AWL458836 BGF458756:BGH458836 BQB458756:BQD458836 BZX458756:BZZ458836 CJT458756:CJV458836 CTP458756:CTR458836 DDL458756:DDN458836 DNH458756:DNJ458836 DXD458756:DXF458836 EGZ458756:EHB458836 EQV458756:EQX458836 FAR458756:FAT458836 FKN458756:FKP458836 FUJ458756:FUL458836 GEF458756:GEH458836 GOB458756:GOD458836 GXX458756:GXZ458836 HHT458756:HHV458836 HRP458756:HRR458836 IBL458756:IBN458836 ILH458756:ILJ458836 IVD458756:IVF458836 JEZ458756:JFB458836 JOV458756:JOX458836 JYR458756:JYT458836 KIN458756:KIP458836 KSJ458756:KSL458836 LCF458756:LCH458836 LMB458756:LMD458836 LVX458756:LVZ458836 MFT458756:MFV458836 MPP458756:MPR458836 MZL458756:MZN458836 NJH458756:NJJ458836 NTD458756:NTF458836 OCZ458756:ODB458836 OMV458756:OMX458836 OWR458756:OWT458836 PGN458756:PGP458836 PQJ458756:PQL458836 QAF458756:QAH458836 QKB458756:QKD458836 QTX458756:QTZ458836 RDT458756:RDV458836 RNP458756:RNR458836 RXL458756:RXN458836 SHH458756:SHJ458836 SRD458756:SRF458836 TAZ458756:TBB458836 TKV458756:TKX458836 TUR458756:TUT458836 UEN458756:UEP458836 UOJ458756:UOL458836 UYF458756:UYH458836 VIB458756:VID458836 VRX458756:VRZ458836 WBT458756:WBV458836 WLP458756:WLR458836 WVL458756:WVN458836 D524292:F524372 IZ524292:JB524372 SV524292:SX524372 ACR524292:ACT524372 AMN524292:AMP524372 AWJ524292:AWL524372 BGF524292:BGH524372 BQB524292:BQD524372 BZX524292:BZZ524372 CJT524292:CJV524372 CTP524292:CTR524372 DDL524292:DDN524372 DNH524292:DNJ524372 DXD524292:DXF524372 EGZ524292:EHB524372 EQV524292:EQX524372 FAR524292:FAT524372 FKN524292:FKP524372 FUJ524292:FUL524372 GEF524292:GEH524372 GOB524292:GOD524372 GXX524292:GXZ524372 HHT524292:HHV524372 HRP524292:HRR524372 IBL524292:IBN524372 ILH524292:ILJ524372 IVD524292:IVF524372 JEZ524292:JFB524372 JOV524292:JOX524372 JYR524292:JYT524372 KIN524292:KIP524372 KSJ524292:KSL524372 LCF524292:LCH524372 LMB524292:LMD524372 LVX524292:LVZ524372 MFT524292:MFV524372 MPP524292:MPR524372 MZL524292:MZN524372 NJH524292:NJJ524372 NTD524292:NTF524372 OCZ524292:ODB524372 OMV524292:OMX524372 OWR524292:OWT524372 PGN524292:PGP524372 PQJ524292:PQL524372 QAF524292:QAH524372 QKB524292:QKD524372 QTX524292:QTZ524372 RDT524292:RDV524372 RNP524292:RNR524372 RXL524292:RXN524372 SHH524292:SHJ524372 SRD524292:SRF524372 TAZ524292:TBB524372 TKV524292:TKX524372 TUR524292:TUT524372 UEN524292:UEP524372 UOJ524292:UOL524372 UYF524292:UYH524372 VIB524292:VID524372 VRX524292:VRZ524372 WBT524292:WBV524372 WLP524292:WLR524372 WVL524292:WVN524372 D589828:F589908 IZ589828:JB589908 SV589828:SX589908 ACR589828:ACT589908 AMN589828:AMP589908 AWJ589828:AWL589908 BGF589828:BGH589908 BQB589828:BQD589908 BZX589828:BZZ589908 CJT589828:CJV589908 CTP589828:CTR589908 DDL589828:DDN589908 DNH589828:DNJ589908 DXD589828:DXF589908 EGZ589828:EHB589908 EQV589828:EQX589908 FAR589828:FAT589908 FKN589828:FKP589908 FUJ589828:FUL589908 GEF589828:GEH589908 GOB589828:GOD589908 GXX589828:GXZ589908 HHT589828:HHV589908 HRP589828:HRR589908 IBL589828:IBN589908 ILH589828:ILJ589908 IVD589828:IVF589908 JEZ589828:JFB589908 JOV589828:JOX589908 JYR589828:JYT589908 KIN589828:KIP589908 KSJ589828:KSL589908 LCF589828:LCH589908 LMB589828:LMD589908 LVX589828:LVZ589908 MFT589828:MFV589908 MPP589828:MPR589908 MZL589828:MZN589908 NJH589828:NJJ589908 NTD589828:NTF589908 OCZ589828:ODB589908 OMV589828:OMX589908 OWR589828:OWT589908 PGN589828:PGP589908 PQJ589828:PQL589908 QAF589828:QAH589908 QKB589828:QKD589908 QTX589828:QTZ589908 RDT589828:RDV589908 RNP589828:RNR589908 RXL589828:RXN589908 SHH589828:SHJ589908 SRD589828:SRF589908 TAZ589828:TBB589908 TKV589828:TKX589908 TUR589828:TUT589908 UEN589828:UEP589908 UOJ589828:UOL589908 UYF589828:UYH589908 VIB589828:VID589908 VRX589828:VRZ589908 WBT589828:WBV589908 WLP589828:WLR589908 WVL589828:WVN589908 D655364:F655444 IZ655364:JB655444 SV655364:SX655444 ACR655364:ACT655444 AMN655364:AMP655444 AWJ655364:AWL655444 BGF655364:BGH655444 BQB655364:BQD655444 BZX655364:BZZ655444 CJT655364:CJV655444 CTP655364:CTR655444 DDL655364:DDN655444 DNH655364:DNJ655444 DXD655364:DXF655444 EGZ655364:EHB655444 EQV655364:EQX655444 FAR655364:FAT655444 FKN655364:FKP655444 FUJ655364:FUL655444 GEF655364:GEH655444 GOB655364:GOD655444 GXX655364:GXZ655444 HHT655364:HHV655444 HRP655364:HRR655444 IBL655364:IBN655444 ILH655364:ILJ655444 IVD655364:IVF655444 JEZ655364:JFB655444 JOV655364:JOX655444 JYR655364:JYT655444 KIN655364:KIP655444 KSJ655364:KSL655444 LCF655364:LCH655444 LMB655364:LMD655444 LVX655364:LVZ655444 MFT655364:MFV655444 MPP655364:MPR655444 MZL655364:MZN655444 NJH655364:NJJ655444 NTD655364:NTF655444 OCZ655364:ODB655444 OMV655364:OMX655444 OWR655364:OWT655444 PGN655364:PGP655444 PQJ655364:PQL655444 QAF655364:QAH655444 QKB655364:QKD655444 QTX655364:QTZ655444 RDT655364:RDV655444 RNP655364:RNR655444 RXL655364:RXN655444 SHH655364:SHJ655444 SRD655364:SRF655444 TAZ655364:TBB655444 TKV655364:TKX655444 TUR655364:TUT655444 UEN655364:UEP655444 UOJ655364:UOL655444 UYF655364:UYH655444 VIB655364:VID655444 VRX655364:VRZ655444 WBT655364:WBV655444 WLP655364:WLR655444 WVL655364:WVN655444 D720900:F720980 IZ720900:JB720980 SV720900:SX720980 ACR720900:ACT720980 AMN720900:AMP720980 AWJ720900:AWL720980 BGF720900:BGH720980 BQB720900:BQD720980 BZX720900:BZZ720980 CJT720900:CJV720980 CTP720900:CTR720980 DDL720900:DDN720980 DNH720900:DNJ720980 DXD720900:DXF720980 EGZ720900:EHB720980 EQV720900:EQX720980 FAR720900:FAT720980 FKN720900:FKP720980 FUJ720900:FUL720980 GEF720900:GEH720980 GOB720900:GOD720980 GXX720900:GXZ720980 HHT720900:HHV720980 HRP720900:HRR720980 IBL720900:IBN720980 ILH720900:ILJ720980 IVD720900:IVF720980 JEZ720900:JFB720980 JOV720900:JOX720980 JYR720900:JYT720980 KIN720900:KIP720980 KSJ720900:KSL720980 LCF720900:LCH720980 LMB720900:LMD720980 LVX720900:LVZ720980 MFT720900:MFV720980 MPP720900:MPR720980 MZL720900:MZN720980 NJH720900:NJJ720980 NTD720900:NTF720980 OCZ720900:ODB720980 OMV720900:OMX720980 OWR720900:OWT720980 PGN720900:PGP720980 PQJ720900:PQL720980 QAF720900:QAH720980 QKB720900:QKD720980 QTX720900:QTZ720980 RDT720900:RDV720980 RNP720900:RNR720980 RXL720900:RXN720980 SHH720900:SHJ720980 SRD720900:SRF720980 TAZ720900:TBB720980 TKV720900:TKX720980 TUR720900:TUT720980 UEN720900:UEP720980 UOJ720900:UOL720980 UYF720900:UYH720980 VIB720900:VID720980 VRX720900:VRZ720980 WBT720900:WBV720980 WLP720900:WLR720980 WVL720900:WVN720980 D786436:F786516 IZ786436:JB786516 SV786436:SX786516 ACR786436:ACT786516 AMN786436:AMP786516 AWJ786436:AWL786516 BGF786436:BGH786516 BQB786436:BQD786516 BZX786436:BZZ786516 CJT786436:CJV786516 CTP786436:CTR786516 DDL786436:DDN786516 DNH786436:DNJ786516 DXD786436:DXF786516 EGZ786436:EHB786516 EQV786436:EQX786516 FAR786436:FAT786516 FKN786436:FKP786516 FUJ786436:FUL786516 GEF786436:GEH786516 GOB786436:GOD786516 GXX786436:GXZ786516 HHT786436:HHV786516 HRP786436:HRR786516 IBL786436:IBN786516 ILH786436:ILJ786516 IVD786436:IVF786516 JEZ786436:JFB786516 JOV786436:JOX786516 JYR786436:JYT786516 KIN786436:KIP786516 KSJ786436:KSL786516 LCF786436:LCH786516 LMB786436:LMD786516 LVX786436:LVZ786516 MFT786436:MFV786516 MPP786436:MPR786516 MZL786436:MZN786516 NJH786436:NJJ786516 NTD786436:NTF786516 OCZ786436:ODB786516 OMV786436:OMX786516 OWR786436:OWT786516 PGN786436:PGP786516 PQJ786436:PQL786516 QAF786436:QAH786516 QKB786436:QKD786516 QTX786436:QTZ786516 RDT786436:RDV786516 RNP786436:RNR786516 RXL786436:RXN786516 SHH786436:SHJ786516 SRD786436:SRF786516 TAZ786436:TBB786516 TKV786436:TKX786516 TUR786436:TUT786516 UEN786436:UEP786516 UOJ786436:UOL786516 UYF786436:UYH786516 VIB786436:VID786516 VRX786436:VRZ786516 WBT786436:WBV786516 WLP786436:WLR786516 WVL786436:WVN786516 D851972:F852052 IZ851972:JB852052 SV851972:SX852052 ACR851972:ACT852052 AMN851972:AMP852052 AWJ851972:AWL852052 BGF851972:BGH852052 BQB851972:BQD852052 BZX851972:BZZ852052 CJT851972:CJV852052 CTP851972:CTR852052 DDL851972:DDN852052 DNH851972:DNJ852052 DXD851972:DXF852052 EGZ851972:EHB852052 EQV851972:EQX852052 FAR851972:FAT852052 FKN851972:FKP852052 FUJ851972:FUL852052 GEF851972:GEH852052 GOB851972:GOD852052 GXX851972:GXZ852052 HHT851972:HHV852052 HRP851972:HRR852052 IBL851972:IBN852052 ILH851972:ILJ852052 IVD851972:IVF852052 JEZ851972:JFB852052 JOV851972:JOX852052 JYR851972:JYT852052 KIN851972:KIP852052 KSJ851972:KSL852052 LCF851972:LCH852052 LMB851972:LMD852052 LVX851972:LVZ852052 MFT851972:MFV852052 MPP851972:MPR852052 MZL851972:MZN852052 NJH851972:NJJ852052 NTD851972:NTF852052 OCZ851972:ODB852052 OMV851972:OMX852052 OWR851972:OWT852052 PGN851972:PGP852052 PQJ851972:PQL852052 QAF851972:QAH852052 QKB851972:QKD852052 QTX851972:QTZ852052 RDT851972:RDV852052 RNP851972:RNR852052 RXL851972:RXN852052 SHH851972:SHJ852052 SRD851972:SRF852052 TAZ851972:TBB852052 TKV851972:TKX852052 TUR851972:TUT852052 UEN851972:UEP852052 UOJ851972:UOL852052 UYF851972:UYH852052 VIB851972:VID852052 VRX851972:VRZ852052 WBT851972:WBV852052 WLP851972:WLR852052 WVL851972:WVN852052 D917508:F917588 IZ917508:JB917588 SV917508:SX917588 ACR917508:ACT917588 AMN917508:AMP917588 AWJ917508:AWL917588 BGF917508:BGH917588 BQB917508:BQD917588 BZX917508:BZZ917588 CJT917508:CJV917588 CTP917508:CTR917588 DDL917508:DDN917588 DNH917508:DNJ917588 DXD917508:DXF917588 EGZ917508:EHB917588 EQV917508:EQX917588 FAR917508:FAT917588 FKN917508:FKP917588 FUJ917508:FUL917588 GEF917508:GEH917588 GOB917508:GOD917588 GXX917508:GXZ917588 HHT917508:HHV917588 HRP917508:HRR917588 IBL917508:IBN917588 ILH917508:ILJ917588 IVD917508:IVF917588 JEZ917508:JFB917588 JOV917508:JOX917588 JYR917508:JYT917588 KIN917508:KIP917588 KSJ917508:KSL917588 LCF917508:LCH917588 LMB917508:LMD917588 LVX917508:LVZ917588 MFT917508:MFV917588 MPP917508:MPR917588 MZL917508:MZN917588 NJH917508:NJJ917588 NTD917508:NTF917588 OCZ917508:ODB917588 OMV917508:OMX917588 OWR917508:OWT917588 PGN917508:PGP917588 PQJ917508:PQL917588 QAF917508:QAH917588 QKB917508:QKD917588 QTX917508:QTZ917588 RDT917508:RDV917588 RNP917508:RNR917588 RXL917508:RXN917588 SHH917508:SHJ917588 SRD917508:SRF917588 TAZ917508:TBB917588 TKV917508:TKX917588 TUR917508:TUT917588 UEN917508:UEP917588 UOJ917508:UOL917588 UYF917508:UYH917588 VIB917508:VID917588 VRX917508:VRZ917588 WBT917508:WBV917588 WLP917508:WLR917588 WVL917508:WVN917588 D983044:F983124 IZ983044:JB983124 SV983044:SX983124 ACR983044:ACT983124 AMN983044:AMP983124 AWJ983044:AWL983124 BGF983044:BGH983124 BQB983044:BQD983124 BZX983044:BZZ983124 CJT983044:CJV983124 CTP983044:CTR983124 DDL983044:DDN983124 DNH983044:DNJ983124 DXD983044:DXF983124 EGZ983044:EHB983124 EQV983044:EQX983124 FAR983044:FAT983124 FKN983044:FKP983124 FUJ983044:FUL983124 GEF983044:GEH983124 GOB983044:GOD983124 GXX983044:GXZ983124 HHT983044:HHV983124 HRP983044:HRR983124 IBL983044:IBN983124 ILH983044:ILJ983124 IVD983044:IVF983124 JEZ983044:JFB983124 JOV983044:JOX983124 JYR983044:JYT983124 KIN983044:KIP983124 KSJ983044:KSL983124 LCF983044:LCH983124 LMB983044:LMD983124 LVX983044:LVZ983124 MFT983044:MFV983124 MPP983044:MPR983124 MZL983044:MZN983124 NJH983044:NJJ983124 NTD983044:NTF983124 OCZ983044:ODB983124 OMV983044:OMX983124 OWR983044:OWT983124 PGN983044:PGP983124 PQJ983044:PQL983124 QAF983044:QAH983124 QKB983044:QKD983124 QTX983044:QTZ983124 RDT983044:RDV983124 RNP983044:RNR983124 RXL983044:RXN983124 SHH983044:SHJ983124 SRD983044:SRF983124 TAZ983044:TBB983124 TKV983044:TKX983124 TUR983044:TUT983124 UEN983044:UEP983124 UOJ983044:UOL983124 UYF983044:UYH983124 VIB983044:VID983124 VRX983044:VRZ983124 WBT983044:WBV983124 WLP983044:WLR983124 WVL983044:WVN983124 D8:F84 IZ8:JB84 SV8:SX84 ACR8:ACT84 AMN8:AMP84 AWJ8:AWL84 BGF8:BGH84 BQB8:BQD84 BZX8:BZZ84 CJT8:CJV84 CTP8:CTR84 DDL8:DDN84 DNH8:DNJ84 DXD8:DXF84 EGZ8:EHB84 EQV8:EQX84 FAR8:FAT84 FKN8:FKP84 FUJ8:FUL84 GEF8:GEH84 GOB8:GOD84 GXX8:GXZ84 HHT8:HHV84 HRP8:HRR84 IBL8:IBN84 ILH8:ILJ84 IVD8:IVF84 JEZ8:JFB84 JOV8:JOX84 JYR8:JYT84 KIN8:KIP84 KSJ8:KSL84 LCF8:LCH84 LMB8:LMD84 LVX8:LVZ84 MFT8:MFV84 MPP8:MPR84 MZL8:MZN84 NJH8:NJJ84 NTD8:NTF84 OCZ8:ODB84 OMV8:OMX84 OWR8:OWT84 PGN8:PGP84 PQJ8:PQL84 QAF8:QAH84 QKB8:QKD84 QTX8:QTZ84 RDT8:RDV84 RNP8:RNR84 RXL8:RXN84 SHH8:SHJ84 SRD8:SRF84 TAZ8:TBB84 TKV8:TKX84 TUR8:TUT84 UEN8:UEP84 UOJ8:UOL84 UYF8:UYH84 VIB8:VID84 VRX8:VRZ84 WBT8:WBV84 WLP8:WLR84 WVL8:WVN84" xr:uid="{219FE84E-3C6B-425F-9788-A05BF2F7AB21}">
      <formula1>0</formula1>
      <formula2>1E+27</formula2>
    </dataValidation>
  </dataValidations>
  <pageMargins left="1.1499999999999999" right="0.7" top="0.75" bottom="0.75" header="0.3" footer="0.3"/>
  <pageSetup scale="80"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954EC-6506-4A5E-A63D-69AEF4F6FD26}">
  <dimension ref="A2:Y42"/>
  <sheetViews>
    <sheetView workbookViewId="0">
      <selection activeCell="H32" sqref="H32"/>
    </sheetView>
  </sheetViews>
  <sheetFormatPr defaultRowHeight="12.75" x14ac:dyDescent="0.2"/>
  <cols>
    <col min="1" max="1" width="3.5703125" style="286" customWidth="1"/>
    <col min="2" max="23" width="22.5703125" style="286" customWidth="1"/>
    <col min="24" max="16384" width="9.140625" style="286"/>
  </cols>
  <sheetData>
    <row r="2" spans="1:23" x14ac:dyDescent="0.2">
      <c r="W2" s="462" t="s">
        <v>1027</v>
      </c>
    </row>
    <row r="3" spans="1:23" x14ac:dyDescent="0.2">
      <c r="W3" s="462" t="s">
        <v>1028</v>
      </c>
    </row>
    <row r="4" spans="1:23" x14ac:dyDescent="0.2">
      <c r="A4" s="462"/>
    </row>
    <row r="5" spans="1:23" x14ac:dyDescent="0.2">
      <c r="A5" s="462"/>
      <c r="H5" s="463" t="s">
        <v>1063</v>
      </c>
    </row>
    <row r="7" spans="1:23" ht="15.75" customHeight="1" x14ac:dyDescent="0.2">
      <c r="A7" s="654" t="s">
        <v>1029</v>
      </c>
      <c r="B7" s="654"/>
      <c r="C7" s="654"/>
      <c r="D7" s="654"/>
      <c r="E7" s="454"/>
      <c r="F7" s="454"/>
      <c r="G7" s="454"/>
      <c r="H7" s="454"/>
      <c r="I7" s="454"/>
      <c r="J7" s="454"/>
      <c r="K7" s="454"/>
      <c r="L7" s="454"/>
      <c r="M7" s="454"/>
      <c r="N7" s="454"/>
      <c r="O7" s="454"/>
      <c r="P7" s="454"/>
      <c r="S7" s="657"/>
      <c r="T7" s="657"/>
      <c r="U7" s="657"/>
      <c r="V7" s="657"/>
      <c r="W7" s="657"/>
    </row>
    <row r="8" spans="1:23" ht="15.75" customHeight="1" x14ac:dyDescent="0.2">
      <c r="A8" s="464"/>
      <c r="B8" s="464"/>
      <c r="C8" s="464"/>
      <c r="D8" s="464"/>
      <c r="E8" s="454"/>
      <c r="F8" s="454"/>
      <c r="G8" s="454"/>
      <c r="H8" s="454"/>
      <c r="I8" s="454"/>
      <c r="J8" s="454"/>
      <c r="K8" s="454"/>
      <c r="L8" s="454"/>
      <c r="M8" s="454"/>
      <c r="N8" s="454"/>
      <c r="O8" s="454"/>
      <c r="P8" s="454"/>
      <c r="Q8" s="454"/>
      <c r="R8" s="454"/>
      <c r="S8" s="465"/>
      <c r="T8" s="465"/>
      <c r="U8" s="465"/>
      <c r="V8" s="465"/>
      <c r="W8" s="465"/>
    </row>
    <row r="9" spans="1:23" ht="25.5" customHeight="1" x14ac:dyDescent="0.2">
      <c r="A9" s="658" t="s">
        <v>280</v>
      </c>
      <c r="B9" s="661" t="s">
        <v>1031</v>
      </c>
      <c r="C9" s="644" t="s">
        <v>1032</v>
      </c>
      <c r="D9" s="644" t="s">
        <v>1033</v>
      </c>
      <c r="E9" s="644" t="s">
        <v>224</v>
      </c>
      <c r="F9" s="644" t="s">
        <v>1034</v>
      </c>
      <c r="G9" s="644" t="s">
        <v>183</v>
      </c>
      <c r="H9" s="641" t="s">
        <v>1035</v>
      </c>
      <c r="I9" s="642"/>
      <c r="J9" s="643"/>
      <c r="K9" s="644" t="s">
        <v>1036</v>
      </c>
      <c r="L9" s="641" t="s">
        <v>1037</v>
      </c>
      <c r="M9" s="642"/>
      <c r="N9" s="642"/>
      <c r="O9" s="643"/>
      <c r="P9" s="641" t="s">
        <v>1038</v>
      </c>
      <c r="Q9" s="642"/>
      <c r="R9" s="641" t="s">
        <v>1039</v>
      </c>
      <c r="S9" s="643"/>
      <c r="T9" s="644" t="s">
        <v>1040</v>
      </c>
      <c r="U9" s="644" t="s">
        <v>1041</v>
      </c>
      <c r="V9" s="644" t="s">
        <v>1042</v>
      </c>
      <c r="W9" s="644" t="s">
        <v>1043</v>
      </c>
    </row>
    <row r="10" spans="1:23" ht="12.75" customHeight="1" x14ac:dyDescent="0.2">
      <c r="A10" s="659"/>
      <c r="B10" s="662"/>
      <c r="C10" s="645"/>
      <c r="D10" s="645"/>
      <c r="E10" s="645"/>
      <c r="F10" s="645"/>
      <c r="G10" s="645"/>
      <c r="H10" s="644" t="s">
        <v>1044</v>
      </c>
      <c r="I10" s="644" t="s">
        <v>1045</v>
      </c>
      <c r="J10" s="644" t="s">
        <v>1046</v>
      </c>
      <c r="K10" s="645"/>
      <c r="L10" s="650" t="s">
        <v>1047</v>
      </c>
      <c r="M10" s="651"/>
      <c r="N10" s="641" t="s">
        <v>1048</v>
      </c>
      <c r="O10" s="643"/>
      <c r="P10" s="644" t="s">
        <v>1050</v>
      </c>
      <c r="Q10" s="647" t="s">
        <v>1051</v>
      </c>
      <c r="R10" s="647" t="s">
        <v>1052</v>
      </c>
      <c r="S10" s="644" t="s">
        <v>1053</v>
      </c>
      <c r="T10" s="645"/>
      <c r="U10" s="645"/>
      <c r="V10" s="645"/>
      <c r="W10" s="645"/>
    </row>
    <row r="11" spans="1:23" ht="12.75" customHeight="1" x14ac:dyDescent="0.2">
      <c r="A11" s="659"/>
      <c r="B11" s="662"/>
      <c r="C11" s="645"/>
      <c r="D11" s="645"/>
      <c r="E11" s="645"/>
      <c r="F11" s="645"/>
      <c r="G11" s="645"/>
      <c r="H11" s="645"/>
      <c r="I11" s="645"/>
      <c r="J11" s="645"/>
      <c r="K11" s="645"/>
      <c r="L11" s="652"/>
      <c r="M11" s="653"/>
      <c r="N11" s="641" t="s">
        <v>1049</v>
      </c>
      <c r="O11" s="643"/>
      <c r="P11" s="645"/>
      <c r="Q11" s="648"/>
      <c r="R11" s="648"/>
      <c r="S11" s="645"/>
      <c r="T11" s="645"/>
      <c r="U11" s="645"/>
      <c r="V11" s="645"/>
      <c r="W11" s="645"/>
    </row>
    <row r="12" spans="1:23" ht="83.25" customHeight="1" x14ac:dyDescent="0.2">
      <c r="A12" s="660"/>
      <c r="B12" s="663"/>
      <c r="C12" s="646"/>
      <c r="D12" s="646"/>
      <c r="E12" s="646"/>
      <c r="F12" s="646"/>
      <c r="G12" s="646"/>
      <c r="H12" s="646"/>
      <c r="I12" s="646"/>
      <c r="J12" s="646"/>
      <c r="K12" s="646"/>
      <c r="L12" s="466" t="s">
        <v>1054</v>
      </c>
      <c r="M12" s="466" t="s">
        <v>1055</v>
      </c>
      <c r="N12" s="466" t="s">
        <v>1056</v>
      </c>
      <c r="O12" s="466" t="s">
        <v>1057</v>
      </c>
      <c r="P12" s="646"/>
      <c r="Q12" s="649"/>
      <c r="R12" s="649"/>
      <c r="S12" s="646"/>
      <c r="T12" s="646"/>
      <c r="U12" s="646"/>
      <c r="V12" s="646"/>
      <c r="W12" s="646"/>
    </row>
    <row r="13" spans="1:23" x14ac:dyDescent="0.2">
      <c r="A13" s="467">
        <v>1</v>
      </c>
      <c r="B13" s="468">
        <v>2</v>
      </c>
      <c r="C13" s="446">
        <v>3</v>
      </c>
      <c r="D13" s="446">
        <v>4</v>
      </c>
      <c r="E13" s="446">
        <v>5</v>
      </c>
      <c r="F13" s="446">
        <v>6</v>
      </c>
      <c r="G13" s="446">
        <v>7</v>
      </c>
      <c r="H13" s="446">
        <v>8</v>
      </c>
      <c r="I13" s="446">
        <v>9</v>
      </c>
      <c r="J13" s="446">
        <v>10</v>
      </c>
      <c r="K13" s="446">
        <v>11</v>
      </c>
      <c r="L13" s="446">
        <v>12</v>
      </c>
      <c r="M13" s="446">
        <v>13</v>
      </c>
      <c r="N13" s="446">
        <v>14</v>
      </c>
      <c r="O13" s="446">
        <v>15</v>
      </c>
      <c r="P13" s="446">
        <v>16</v>
      </c>
      <c r="Q13" s="469">
        <v>17</v>
      </c>
      <c r="R13" s="469">
        <v>18</v>
      </c>
      <c r="S13" s="446">
        <v>19</v>
      </c>
      <c r="T13" s="446">
        <v>20</v>
      </c>
      <c r="U13" s="446">
        <v>21</v>
      </c>
      <c r="V13" s="446">
        <v>22</v>
      </c>
      <c r="W13" s="446">
        <v>23</v>
      </c>
    </row>
    <row r="14" spans="1:23" x14ac:dyDescent="0.2">
      <c r="A14" s="460">
        <v>1</v>
      </c>
      <c r="B14" s="330"/>
      <c r="C14" s="482"/>
      <c r="D14" s="482"/>
      <c r="E14" s="482"/>
      <c r="F14" s="483"/>
      <c r="G14" s="482"/>
      <c r="H14" s="482"/>
      <c r="I14" s="482"/>
      <c r="J14" s="482"/>
      <c r="K14" s="483"/>
      <c r="L14" s="482"/>
      <c r="M14" s="482"/>
      <c r="N14" s="482"/>
      <c r="O14" s="482"/>
      <c r="P14" s="482"/>
      <c r="Q14" s="482"/>
      <c r="R14" s="482"/>
      <c r="S14" s="482"/>
      <c r="T14" s="482"/>
      <c r="U14" s="482"/>
      <c r="V14" s="482"/>
      <c r="W14" s="482"/>
    </row>
    <row r="15" spans="1:23" x14ac:dyDescent="0.2">
      <c r="A15" s="461">
        <v>2</v>
      </c>
      <c r="B15" s="484"/>
      <c r="C15" s="482"/>
      <c r="D15" s="482"/>
      <c r="E15" s="482"/>
      <c r="F15" s="483"/>
      <c r="G15" s="482"/>
      <c r="H15" s="482"/>
      <c r="I15" s="482"/>
      <c r="J15" s="482"/>
      <c r="K15" s="483"/>
      <c r="L15" s="482"/>
      <c r="M15" s="482"/>
      <c r="N15" s="482"/>
      <c r="O15" s="482"/>
      <c r="P15" s="482"/>
      <c r="Q15" s="485"/>
      <c r="R15" s="485"/>
      <c r="S15" s="482"/>
      <c r="T15" s="482"/>
      <c r="U15" s="482"/>
      <c r="V15" s="482"/>
      <c r="W15" s="482"/>
    </row>
    <row r="16" spans="1:23" x14ac:dyDescent="0.2">
      <c r="A16" s="461">
        <v>3</v>
      </c>
      <c r="B16" s="484"/>
      <c r="C16" s="482"/>
      <c r="D16" s="482"/>
      <c r="E16" s="482"/>
      <c r="F16" s="483"/>
      <c r="G16" s="482"/>
      <c r="H16" s="482"/>
      <c r="I16" s="482"/>
      <c r="J16" s="482"/>
      <c r="K16" s="483"/>
      <c r="L16" s="482"/>
      <c r="M16" s="482"/>
      <c r="N16" s="482"/>
      <c r="O16" s="482"/>
      <c r="P16" s="482"/>
      <c r="Q16" s="485"/>
      <c r="R16" s="485"/>
      <c r="S16" s="482"/>
      <c r="T16" s="482"/>
      <c r="U16" s="482"/>
      <c r="V16" s="482"/>
      <c r="W16" s="482"/>
    </row>
    <row r="17" spans="1:25" x14ac:dyDescent="0.2">
      <c r="A17" s="460">
        <v>4</v>
      </c>
      <c r="B17" s="484"/>
      <c r="C17" s="482"/>
      <c r="D17" s="482"/>
      <c r="E17" s="482"/>
      <c r="F17" s="483"/>
      <c r="G17" s="482"/>
      <c r="H17" s="482"/>
      <c r="I17" s="482"/>
      <c r="J17" s="482"/>
      <c r="K17" s="483"/>
      <c r="L17" s="482"/>
      <c r="M17" s="482"/>
      <c r="N17" s="482"/>
      <c r="O17" s="482"/>
      <c r="P17" s="482"/>
      <c r="Q17" s="485"/>
      <c r="R17" s="485"/>
      <c r="S17" s="482"/>
      <c r="T17" s="482"/>
      <c r="U17" s="482"/>
      <c r="V17" s="482"/>
      <c r="W17" s="482"/>
    </row>
    <row r="18" spans="1:25" x14ac:dyDescent="0.2">
      <c r="A18" s="461">
        <v>5</v>
      </c>
      <c r="B18" s="484"/>
      <c r="C18" s="482"/>
      <c r="D18" s="482"/>
      <c r="E18" s="482"/>
      <c r="F18" s="483"/>
      <c r="G18" s="482"/>
      <c r="H18" s="482"/>
      <c r="I18" s="482"/>
      <c r="J18" s="482"/>
      <c r="K18" s="483"/>
      <c r="L18" s="482"/>
      <c r="M18" s="482"/>
      <c r="N18" s="482"/>
      <c r="O18" s="482"/>
      <c r="P18" s="482"/>
      <c r="Q18" s="485"/>
      <c r="R18" s="485"/>
      <c r="S18" s="482"/>
      <c r="T18" s="482"/>
      <c r="U18" s="482"/>
      <c r="V18" s="482"/>
      <c r="W18" s="482"/>
    </row>
    <row r="19" spans="1:25" x14ac:dyDescent="0.2">
      <c r="A19" s="461">
        <v>6</v>
      </c>
      <c r="B19" s="484"/>
      <c r="C19" s="482"/>
      <c r="D19" s="482"/>
      <c r="E19" s="482"/>
      <c r="F19" s="483"/>
      <c r="G19" s="482"/>
      <c r="H19" s="482"/>
      <c r="I19" s="482"/>
      <c r="J19" s="482"/>
      <c r="K19" s="483"/>
      <c r="L19" s="482"/>
      <c r="M19" s="482"/>
      <c r="N19" s="482"/>
      <c r="O19" s="482"/>
      <c r="P19" s="482"/>
      <c r="Q19" s="485"/>
      <c r="R19" s="485"/>
      <c r="S19" s="482"/>
      <c r="T19" s="482"/>
      <c r="U19" s="482"/>
      <c r="V19" s="482"/>
      <c r="W19" s="482"/>
    </row>
    <row r="20" spans="1:25" x14ac:dyDescent="0.2">
      <c r="A20" s="460">
        <v>7</v>
      </c>
      <c r="B20" s="484"/>
      <c r="C20" s="482"/>
      <c r="D20" s="482"/>
      <c r="E20" s="482"/>
      <c r="F20" s="483"/>
      <c r="G20" s="482"/>
      <c r="H20" s="482"/>
      <c r="I20" s="482"/>
      <c r="J20" s="482"/>
      <c r="K20" s="483"/>
      <c r="L20" s="482"/>
      <c r="M20" s="482"/>
      <c r="N20" s="482"/>
      <c r="O20" s="482"/>
      <c r="P20" s="482"/>
      <c r="Q20" s="485"/>
      <c r="R20" s="485"/>
      <c r="S20" s="482"/>
      <c r="T20" s="482"/>
      <c r="U20" s="482"/>
      <c r="V20" s="482"/>
      <c r="W20" s="482"/>
    </row>
    <row r="21" spans="1:25" x14ac:dyDescent="0.2">
      <c r="A21" s="461">
        <v>8</v>
      </c>
      <c r="B21" s="484"/>
      <c r="C21" s="482"/>
      <c r="D21" s="482"/>
      <c r="E21" s="482"/>
      <c r="F21" s="483"/>
      <c r="G21" s="482"/>
      <c r="H21" s="482"/>
      <c r="I21" s="482"/>
      <c r="J21" s="482"/>
      <c r="K21" s="483"/>
      <c r="L21" s="482"/>
      <c r="M21" s="482"/>
      <c r="N21" s="482"/>
      <c r="O21" s="482"/>
      <c r="P21" s="482"/>
      <c r="Q21" s="485"/>
      <c r="R21" s="485"/>
      <c r="S21" s="482"/>
      <c r="T21" s="482"/>
      <c r="U21" s="482"/>
      <c r="V21" s="482"/>
      <c r="W21" s="482"/>
    </row>
    <row r="22" spans="1:25" x14ac:dyDescent="0.2">
      <c r="A22" s="461">
        <v>9</v>
      </c>
      <c r="B22" s="484"/>
      <c r="C22" s="482"/>
      <c r="D22" s="482"/>
      <c r="E22" s="482"/>
      <c r="F22" s="483"/>
      <c r="G22" s="482"/>
      <c r="H22" s="482"/>
      <c r="I22" s="482"/>
      <c r="J22" s="482"/>
      <c r="K22" s="483"/>
      <c r="L22" s="482"/>
      <c r="M22" s="482"/>
      <c r="N22" s="482"/>
      <c r="O22" s="482"/>
      <c r="P22" s="482"/>
      <c r="Q22" s="485"/>
      <c r="R22" s="485"/>
      <c r="S22" s="482"/>
      <c r="T22" s="482"/>
      <c r="U22" s="482"/>
      <c r="V22" s="482"/>
      <c r="W22" s="482"/>
    </row>
    <row r="23" spans="1:25" x14ac:dyDescent="0.2">
      <c r="A23" s="460">
        <v>10</v>
      </c>
      <c r="B23" s="484"/>
      <c r="C23" s="482"/>
      <c r="D23" s="482"/>
      <c r="E23" s="482"/>
      <c r="F23" s="483"/>
      <c r="G23" s="482"/>
      <c r="H23" s="482"/>
      <c r="I23" s="482"/>
      <c r="J23" s="482"/>
      <c r="K23" s="483"/>
      <c r="L23" s="482"/>
      <c r="M23" s="482"/>
      <c r="N23" s="482"/>
      <c r="O23" s="482"/>
      <c r="P23" s="482"/>
      <c r="Q23" s="485"/>
      <c r="R23" s="485"/>
      <c r="S23" s="482"/>
      <c r="T23" s="482"/>
      <c r="U23" s="482"/>
      <c r="V23" s="482"/>
      <c r="W23" s="482"/>
    </row>
    <row r="24" spans="1:25" x14ac:dyDescent="0.2">
      <c r="A24" s="461">
        <v>11</v>
      </c>
      <c r="B24" s="484"/>
      <c r="C24" s="482"/>
      <c r="D24" s="482"/>
      <c r="E24" s="482"/>
      <c r="F24" s="483"/>
      <c r="G24" s="482"/>
      <c r="H24" s="482"/>
      <c r="I24" s="482"/>
      <c r="J24" s="482"/>
      <c r="K24" s="483"/>
      <c r="L24" s="482"/>
      <c r="M24" s="482"/>
      <c r="N24" s="482"/>
      <c r="O24" s="482"/>
      <c r="P24" s="482"/>
      <c r="Q24" s="485"/>
      <c r="R24" s="485"/>
      <c r="S24" s="482"/>
      <c r="T24" s="482"/>
      <c r="U24" s="482"/>
      <c r="V24" s="482"/>
      <c r="W24" s="482"/>
    </row>
    <row r="25" spans="1:25" x14ac:dyDescent="0.2">
      <c r="A25" s="461">
        <v>12</v>
      </c>
      <c r="B25" s="330"/>
      <c r="C25" s="482"/>
      <c r="D25" s="482"/>
      <c r="E25" s="482"/>
      <c r="F25" s="483"/>
      <c r="G25" s="482"/>
      <c r="H25" s="482"/>
      <c r="I25" s="482"/>
      <c r="J25" s="482"/>
      <c r="K25" s="483"/>
      <c r="L25" s="482"/>
      <c r="M25" s="482"/>
      <c r="N25" s="482"/>
      <c r="O25" s="482"/>
      <c r="P25" s="482"/>
      <c r="Q25" s="482"/>
      <c r="R25" s="482"/>
      <c r="S25" s="482"/>
      <c r="T25" s="482"/>
      <c r="U25" s="482"/>
      <c r="V25" s="482"/>
      <c r="W25" s="482"/>
    </row>
    <row r="26" spans="1:25" x14ac:dyDescent="0.2">
      <c r="A26" s="655" t="s">
        <v>1058</v>
      </c>
      <c r="B26" s="656"/>
      <c r="C26" s="453"/>
      <c r="D26" s="453"/>
      <c r="E26" s="453">
        <f t="shared" ref="E26:S26" si="0">SUM(E14:E25)</f>
        <v>0</v>
      </c>
      <c r="F26" s="453">
        <f t="shared" si="0"/>
        <v>0</v>
      </c>
      <c r="G26" s="453">
        <f t="shared" si="0"/>
        <v>0</v>
      </c>
      <c r="H26" s="453">
        <f t="shared" si="0"/>
        <v>0</v>
      </c>
      <c r="I26" s="453">
        <f t="shared" si="0"/>
        <v>0</v>
      </c>
      <c r="J26" s="453">
        <f t="shared" si="0"/>
        <v>0</v>
      </c>
      <c r="K26" s="453">
        <f t="shared" si="0"/>
        <v>0</v>
      </c>
      <c r="L26" s="453">
        <f t="shared" si="0"/>
        <v>0</v>
      </c>
      <c r="M26" s="453">
        <f t="shared" si="0"/>
        <v>0</v>
      </c>
      <c r="N26" s="453">
        <f t="shared" si="0"/>
        <v>0</v>
      </c>
      <c r="O26" s="453">
        <f t="shared" si="0"/>
        <v>0</v>
      </c>
      <c r="P26" s="453">
        <f t="shared" si="0"/>
        <v>0</v>
      </c>
      <c r="Q26" s="453">
        <f t="shared" si="0"/>
        <v>0</v>
      </c>
      <c r="R26" s="453">
        <f t="shared" si="0"/>
        <v>0</v>
      </c>
      <c r="S26" s="453">
        <f t="shared" si="0"/>
        <v>0</v>
      </c>
      <c r="T26" s="453">
        <f t="shared" ref="T26:W26" si="1">SUM(T14:T25)</f>
        <v>0</v>
      </c>
      <c r="U26" s="453">
        <f t="shared" si="1"/>
        <v>0</v>
      </c>
      <c r="V26" s="453">
        <f t="shared" si="1"/>
        <v>0</v>
      </c>
      <c r="W26" s="453">
        <f t="shared" si="1"/>
        <v>0</v>
      </c>
    </row>
    <row r="27" spans="1:25" ht="13.5" thickBot="1" x14ac:dyDescent="0.25">
      <c r="A27" s="454"/>
      <c r="B27" s="454"/>
      <c r="C27" s="454"/>
      <c r="D27" s="454"/>
      <c r="E27" s="454"/>
      <c r="F27" s="455"/>
      <c r="G27" s="454"/>
      <c r="H27" s="454"/>
      <c r="I27" s="454"/>
      <c r="J27" s="454"/>
      <c r="K27" s="455"/>
      <c r="L27" s="454"/>
      <c r="M27" s="454"/>
      <c r="N27" s="454"/>
      <c r="O27" s="454"/>
      <c r="P27" s="454"/>
      <c r="Q27" s="454"/>
      <c r="R27" s="454"/>
      <c r="S27" s="454"/>
      <c r="T27" s="454"/>
      <c r="U27" s="454"/>
      <c r="V27" s="454"/>
      <c r="W27" s="454"/>
    </row>
    <row r="28" spans="1:25" x14ac:dyDescent="0.2">
      <c r="A28" s="456"/>
      <c r="D28" s="457" t="s">
        <v>1059</v>
      </c>
      <c r="E28" s="458"/>
      <c r="F28" s="458"/>
      <c r="G28" s="458"/>
      <c r="H28" s="458"/>
      <c r="I28" s="458"/>
      <c r="J28" s="458"/>
      <c r="K28" s="458"/>
      <c r="L28" s="458"/>
      <c r="M28" s="458"/>
      <c r="N28" s="458"/>
      <c r="O28" s="458"/>
      <c r="P28" s="458"/>
      <c r="Q28" s="458"/>
      <c r="R28" s="458"/>
      <c r="S28" s="458"/>
      <c r="T28" s="458"/>
      <c r="U28" s="458"/>
      <c r="V28" s="458"/>
      <c r="W28" s="458"/>
      <c r="X28" s="458"/>
      <c r="Y28" s="458"/>
    </row>
    <row r="29" spans="1:25" ht="12.75" customHeight="1" x14ac:dyDescent="0.2">
      <c r="A29" s="456"/>
      <c r="D29" s="458" t="s">
        <v>1091</v>
      </c>
      <c r="E29" s="456"/>
      <c r="F29" s="456"/>
      <c r="G29" s="456"/>
      <c r="H29" s="456"/>
      <c r="I29" s="456"/>
      <c r="J29" s="456"/>
      <c r="K29" s="456"/>
      <c r="L29" s="456"/>
      <c r="M29" s="456"/>
      <c r="N29" s="456"/>
      <c r="O29" s="456"/>
      <c r="P29" s="456"/>
      <c r="Q29" s="456"/>
      <c r="R29" s="456"/>
      <c r="S29" s="456"/>
      <c r="T29" s="456"/>
      <c r="U29" s="456"/>
      <c r="V29" s="456"/>
      <c r="W29" s="456"/>
      <c r="X29" s="456"/>
      <c r="Y29" s="456"/>
    </row>
    <row r="30" spans="1:25" x14ac:dyDescent="0.2">
      <c r="A30" s="456"/>
      <c r="D30" s="458" t="s">
        <v>1092</v>
      </c>
      <c r="E30" s="458"/>
      <c r="F30" s="458"/>
      <c r="G30" s="458"/>
      <c r="H30" s="458"/>
      <c r="I30" s="458"/>
      <c r="J30" s="458"/>
      <c r="K30" s="458"/>
      <c r="L30" s="458"/>
      <c r="M30" s="458"/>
      <c r="N30" s="458"/>
      <c r="O30" s="458"/>
      <c r="P30" s="458"/>
      <c r="Q30" s="458"/>
      <c r="R30" s="458"/>
      <c r="S30" s="458"/>
      <c r="T30" s="458"/>
      <c r="U30" s="458"/>
      <c r="V30" s="458"/>
      <c r="W30" s="458"/>
      <c r="X30" s="458"/>
      <c r="Y30" s="458"/>
    </row>
    <row r="31" spans="1:25" x14ac:dyDescent="0.2">
      <c r="A31" s="458"/>
      <c r="D31" s="458" t="s">
        <v>1060</v>
      </c>
      <c r="E31" s="458"/>
      <c r="F31" s="458"/>
      <c r="G31" s="458"/>
      <c r="H31" s="458"/>
      <c r="I31" s="458"/>
      <c r="J31" s="458"/>
      <c r="K31" s="458"/>
      <c r="L31" s="458"/>
      <c r="M31" s="458"/>
      <c r="N31" s="458"/>
      <c r="O31" s="458"/>
      <c r="P31" s="458"/>
      <c r="Q31" s="458"/>
      <c r="R31" s="458"/>
      <c r="S31" s="458"/>
      <c r="T31" s="458"/>
      <c r="U31" s="458"/>
      <c r="V31" s="458"/>
      <c r="W31" s="458"/>
      <c r="X31" s="458"/>
      <c r="Y31" s="458"/>
    </row>
    <row r="32" spans="1:25" x14ac:dyDescent="0.2">
      <c r="A32" s="459"/>
      <c r="D32" s="458" t="s">
        <v>1061</v>
      </c>
      <c r="E32" s="459"/>
      <c r="F32" s="459"/>
      <c r="G32" s="459"/>
      <c r="H32" s="459"/>
      <c r="I32" s="459"/>
      <c r="J32" s="459"/>
      <c r="K32" s="459"/>
      <c r="L32" s="459"/>
      <c r="M32" s="459"/>
      <c r="N32" s="459"/>
      <c r="O32" s="459"/>
      <c r="P32" s="459"/>
      <c r="Q32" s="459"/>
      <c r="R32" s="459"/>
      <c r="S32" s="459"/>
      <c r="T32" s="459"/>
      <c r="U32" s="459"/>
      <c r="V32" s="459"/>
      <c r="W32" s="459"/>
      <c r="X32" s="459"/>
      <c r="Y32" s="459"/>
    </row>
    <row r="33" spans="1:25" x14ac:dyDescent="0.2">
      <c r="A33" s="459"/>
      <c r="D33" s="458"/>
      <c r="E33" s="459"/>
      <c r="F33" s="459"/>
      <c r="G33" s="459"/>
      <c r="H33" s="459"/>
      <c r="I33" s="459"/>
      <c r="J33" s="459"/>
      <c r="K33" s="459"/>
      <c r="L33" s="459"/>
      <c r="M33" s="459"/>
      <c r="N33" s="459"/>
      <c r="O33" s="459"/>
      <c r="P33" s="459"/>
      <c r="Q33" s="459"/>
      <c r="R33" s="459"/>
      <c r="S33" s="459"/>
      <c r="T33" s="459"/>
      <c r="U33" s="459"/>
      <c r="V33" s="459"/>
      <c r="W33" s="459"/>
      <c r="X33" s="459"/>
      <c r="Y33" s="459"/>
    </row>
    <row r="34" spans="1:25" x14ac:dyDescent="0.2">
      <c r="B34" s="2" t="s">
        <v>285</v>
      </c>
      <c r="C34" s="4"/>
      <c r="D34" s="4"/>
    </row>
    <row r="35" spans="1:25" x14ac:dyDescent="0.2">
      <c r="B35" s="5"/>
      <c r="C35" s="4"/>
      <c r="D35" s="4"/>
    </row>
    <row r="36" spans="1:25" ht="38.25" customHeight="1" x14ac:dyDescent="0.2">
      <c r="B36" s="445" t="s">
        <v>1062</v>
      </c>
      <c r="C36" s="4"/>
      <c r="D36" s="4"/>
    </row>
    <row r="37" spans="1:25" x14ac:dyDescent="0.2">
      <c r="B37" s="5"/>
      <c r="C37" s="4"/>
      <c r="D37" s="4"/>
    </row>
    <row r="38" spans="1:25" x14ac:dyDescent="0.2">
      <c r="B38" s="445" t="s">
        <v>287</v>
      </c>
      <c r="D38" s="576" t="s">
        <v>288</v>
      </c>
      <c r="E38" s="576"/>
      <c r="F38" s="4" t="s">
        <v>289</v>
      </c>
    </row>
    <row r="39" spans="1:25" x14ac:dyDescent="0.2">
      <c r="B39" s="5"/>
      <c r="D39" s="576"/>
      <c r="E39" s="576"/>
      <c r="F39" s="4"/>
    </row>
    <row r="40" spans="1:25" x14ac:dyDescent="0.2">
      <c r="B40" s="445" t="s">
        <v>290</v>
      </c>
      <c r="D40" s="576" t="s">
        <v>291</v>
      </c>
      <c r="E40" s="576"/>
      <c r="F40" s="4" t="s">
        <v>292</v>
      </c>
    </row>
    <row r="41" spans="1:25" x14ac:dyDescent="0.2">
      <c r="B41" s="5"/>
      <c r="D41" s="576"/>
      <c r="E41" s="576"/>
      <c r="F41" s="4"/>
    </row>
    <row r="42" spans="1:25" x14ac:dyDescent="0.2">
      <c r="B42" s="445" t="s">
        <v>293</v>
      </c>
      <c r="D42" s="576" t="s">
        <v>288</v>
      </c>
      <c r="E42" s="576"/>
      <c r="F42" s="4" t="s">
        <v>292</v>
      </c>
    </row>
  </sheetData>
  <sheetProtection password="CA9F" sheet="1" objects="1" scenarios="1"/>
  <mergeCells count="34">
    <mergeCell ref="D38:E38"/>
    <mergeCell ref="D39:E39"/>
    <mergeCell ref="D40:E40"/>
    <mergeCell ref="D41:E41"/>
    <mergeCell ref="D42:E42"/>
    <mergeCell ref="A7:D7"/>
    <mergeCell ref="A26:B26"/>
    <mergeCell ref="T9:T12"/>
    <mergeCell ref="U9:U12"/>
    <mergeCell ref="V9:V12"/>
    <mergeCell ref="G9:G12"/>
    <mergeCell ref="S7:W7"/>
    <mergeCell ref="A9:A12"/>
    <mergeCell ref="B9:B12"/>
    <mergeCell ref="C9:C12"/>
    <mergeCell ref="D9:D12"/>
    <mergeCell ref="E9:E12"/>
    <mergeCell ref="F9:F12"/>
    <mergeCell ref="W9:W12"/>
    <mergeCell ref="H10:H12"/>
    <mergeCell ref="I10:I12"/>
    <mergeCell ref="J10:J12"/>
    <mergeCell ref="L10:M11"/>
    <mergeCell ref="N10:O10"/>
    <mergeCell ref="N11:O11"/>
    <mergeCell ref="H9:J9"/>
    <mergeCell ref="K9:K12"/>
    <mergeCell ref="L9:O9"/>
    <mergeCell ref="P9:Q9"/>
    <mergeCell ref="R9:S9"/>
    <mergeCell ref="P10:P12"/>
    <mergeCell ref="Q10:Q12"/>
    <mergeCell ref="R10:R12"/>
    <mergeCell ref="S10:S1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DDCE9-EDC4-48D5-B2F0-C71839FCBFED}">
  <dimension ref="A2:AA45"/>
  <sheetViews>
    <sheetView zoomScale="90" zoomScaleNormal="90" workbookViewId="0">
      <selection activeCell="J40" sqref="J40"/>
    </sheetView>
  </sheetViews>
  <sheetFormatPr defaultRowHeight="12.75" x14ac:dyDescent="0.2"/>
  <cols>
    <col min="1" max="1" width="9.140625" style="286"/>
    <col min="2" max="26" width="19.42578125" style="286" customWidth="1"/>
    <col min="27" max="16384" width="9.140625" style="286"/>
  </cols>
  <sheetData>
    <row r="2" spans="1:27" x14ac:dyDescent="0.2">
      <c r="Z2" s="462" t="s">
        <v>1027</v>
      </c>
    </row>
    <row r="3" spans="1:27" x14ac:dyDescent="0.2">
      <c r="Z3" s="462" t="s">
        <v>1064</v>
      </c>
    </row>
    <row r="4" spans="1:27" x14ac:dyDescent="0.2">
      <c r="A4" s="462"/>
    </row>
    <row r="5" spans="1:27" x14ac:dyDescent="0.2">
      <c r="A5" s="462"/>
    </row>
    <row r="6" spans="1:27" x14ac:dyDescent="0.2">
      <c r="A6" s="462"/>
    </row>
    <row r="7" spans="1:27" x14ac:dyDescent="0.2">
      <c r="M7" s="463" t="s">
        <v>1085</v>
      </c>
    </row>
    <row r="8" spans="1:27" x14ac:dyDescent="0.2">
      <c r="A8" s="476" t="s">
        <v>1029</v>
      </c>
      <c r="Z8" s="477" t="s">
        <v>1030</v>
      </c>
    </row>
    <row r="9" spans="1:27" x14ac:dyDescent="0.2">
      <c r="A9" s="476"/>
      <c r="Z9" s="477"/>
    </row>
    <row r="10" spans="1:27" s="479" customFormat="1" ht="25.5" customHeight="1" x14ac:dyDescent="0.2">
      <c r="A10" s="668" t="s">
        <v>1031</v>
      </c>
      <c r="B10" s="664" t="s">
        <v>1033</v>
      </c>
      <c r="C10" s="664" t="s">
        <v>1065</v>
      </c>
      <c r="D10" s="665" t="s">
        <v>1066</v>
      </c>
      <c r="E10" s="665"/>
      <c r="F10" s="665" t="s">
        <v>1067</v>
      </c>
      <c r="G10" s="665"/>
      <c r="H10" s="664" t="s">
        <v>1068</v>
      </c>
      <c r="I10" s="665" t="s">
        <v>1035</v>
      </c>
      <c r="J10" s="665"/>
      <c r="K10" s="665"/>
      <c r="L10" s="665" t="s">
        <v>1069</v>
      </c>
      <c r="M10" s="665"/>
      <c r="N10" s="665"/>
      <c r="O10" s="665" t="s">
        <v>1070</v>
      </c>
      <c r="P10" s="665"/>
      <c r="Q10" s="665"/>
      <c r="R10" s="665"/>
      <c r="S10" s="665"/>
      <c r="T10" s="665" t="s">
        <v>1071</v>
      </c>
      <c r="U10" s="665"/>
      <c r="V10" s="665" t="s">
        <v>1072</v>
      </c>
      <c r="W10" s="665"/>
      <c r="X10" s="665" t="s">
        <v>1073</v>
      </c>
      <c r="Y10" s="665"/>
      <c r="Z10" s="664" t="s">
        <v>1041</v>
      </c>
      <c r="AA10" s="478"/>
    </row>
    <row r="11" spans="1:27" s="479" customFormat="1" x14ac:dyDescent="0.2">
      <c r="A11" s="668"/>
      <c r="B11" s="664"/>
      <c r="C11" s="664"/>
      <c r="D11" s="665"/>
      <c r="E11" s="665"/>
      <c r="F11" s="664" t="s">
        <v>1065</v>
      </c>
      <c r="G11" s="664" t="s">
        <v>183</v>
      </c>
      <c r="H11" s="664"/>
      <c r="I11" s="664" t="s">
        <v>1044</v>
      </c>
      <c r="J11" s="664" t="s">
        <v>1045</v>
      </c>
      <c r="K11" s="664" t="s">
        <v>1046</v>
      </c>
      <c r="L11" s="664" t="s">
        <v>1074</v>
      </c>
      <c r="M11" s="664" t="s">
        <v>1075</v>
      </c>
      <c r="N11" s="664" t="s">
        <v>1076</v>
      </c>
      <c r="O11" s="665" t="s">
        <v>1077</v>
      </c>
      <c r="P11" s="665"/>
      <c r="Q11" s="665" t="s">
        <v>1049</v>
      </c>
      <c r="R11" s="665"/>
      <c r="S11" s="665"/>
      <c r="T11" s="664" t="s">
        <v>1078</v>
      </c>
      <c r="U11" s="664" t="s">
        <v>1079</v>
      </c>
      <c r="V11" s="664" t="s">
        <v>1052</v>
      </c>
      <c r="W11" s="664" t="s">
        <v>1053</v>
      </c>
      <c r="X11" s="664" t="s">
        <v>1042</v>
      </c>
      <c r="Y11" s="664" t="s">
        <v>1080</v>
      </c>
      <c r="Z11" s="664"/>
      <c r="AA11" s="478"/>
    </row>
    <row r="12" spans="1:27" s="479" customFormat="1" ht="82.5" customHeight="1" x14ac:dyDescent="0.2">
      <c r="A12" s="668"/>
      <c r="B12" s="664"/>
      <c r="C12" s="664"/>
      <c r="D12" s="480" t="s">
        <v>1081</v>
      </c>
      <c r="E12" s="480" t="s">
        <v>1082</v>
      </c>
      <c r="F12" s="664"/>
      <c r="G12" s="664"/>
      <c r="H12" s="664"/>
      <c r="I12" s="664"/>
      <c r="J12" s="664"/>
      <c r="K12" s="664"/>
      <c r="L12" s="664"/>
      <c r="M12" s="664"/>
      <c r="N12" s="664"/>
      <c r="O12" s="466" t="s">
        <v>1054</v>
      </c>
      <c r="P12" s="466" t="s">
        <v>1055</v>
      </c>
      <c r="Q12" s="466" t="s">
        <v>1056</v>
      </c>
      <c r="R12" s="466" t="s">
        <v>1057</v>
      </c>
      <c r="S12" s="466" t="s">
        <v>1083</v>
      </c>
      <c r="T12" s="664"/>
      <c r="U12" s="664"/>
      <c r="V12" s="664"/>
      <c r="W12" s="664"/>
      <c r="X12" s="664"/>
      <c r="Y12" s="664"/>
      <c r="Z12" s="664"/>
      <c r="AA12" s="478"/>
    </row>
    <row r="13" spans="1:27" x14ac:dyDescent="0.2">
      <c r="A13" s="475">
        <v>1</v>
      </c>
      <c r="B13" s="319">
        <v>2</v>
      </c>
      <c r="C13" s="319">
        <v>3</v>
      </c>
      <c r="D13" s="319">
        <v>4</v>
      </c>
      <c r="E13" s="319">
        <v>5</v>
      </c>
      <c r="F13" s="319">
        <v>6</v>
      </c>
      <c r="G13" s="319">
        <v>7</v>
      </c>
      <c r="H13" s="319"/>
      <c r="I13" s="319">
        <v>9</v>
      </c>
      <c r="J13" s="319">
        <v>10</v>
      </c>
      <c r="K13" s="319">
        <v>11</v>
      </c>
      <c r="L13" s="319">
        <v>12</v>
      </c>
      <c r="M13" s="319">
        <v>13</v>
      </c>
      <c r="N13" s="319">
        <v>14</v>
      </c>
      <c r="O13" s="319">
        <v>15</v>
      </c>
      <c r="P13" s="319">
        <v>16</v>
      </c>
      <c r="Q13" s="319">
        <v>17</v>
      </c>
      <c r="R13" s="319">
        <v>18</v>
      </c>
      <c r="S13" s="319"/>
      <c r="T13" s="481">
        <v>20</v>
      </c>
      <c r="U13" s="319">
        <v>21</v>
      </c>
      <c r="V13" s="319">
        <v>22</v>
      </c>
      <c r="W13" s="481">
        <v>23</v>
      </c>
      <c r="X13" s="481">
        <v>24</v>
      </c>
      <c r="Y13" s="481">
        <v>25</v>
      </c>
      <c r="Z13" s="319">
        <v>26</v>
      </c>
      <c r="AA13" s="459"/>
    </row>
    <row r="14" spans="1:27" x14ac:dyDescent="0.2">
      <c r="A14" s="475">
        <v>1</v>
      </c>
      <c r="B14" s="486"/>
      <c r="C14" s="487"/>
      <c r="D14" s="487"/>
      <c r="E14" s="487"/>
      <c r="F14" s="487"/>
      <c r="G14" s="487"/>
      <c r="H14" s="486"/>
      <c r="I14" s="487"/>
      <c r="J14" s="487"/>
      <c r="K14" s="487"/>
      <c r="L14" s="487"/>
      <c r="M14" s="487"/>
      <c r="N14" s="487"/>
      <c r="O14" s="487"/>
      <c r="P14" s="487"/>
      <c r="Q14" s="487"/>
      <c r="R14" s="487"/>
      <c r="S14" s="487"/>
      <c r="T14" s="487"/>
      <c r="U14" s="487"/>
      <c r="V14" s="487"/>
      <c r="W14" s="487"/>
      <c r="X14" s="487"/>
      <c r="Y14" s="487"/>
      <c r="Z14" s="487"/>
      <c r="AA14" s="459"/>
    </row>
    <row r="15" spans="1:27" x14ac:dyDescent="0.2">
      <c r="A15" s="475">
        <v>2</v>
      </c>
      <c r="B15" s="486"/>
      <c r="C15" s="487"/>
      <c r="D15" s="487"/>
      <c r="E15" s="487"/>
      <c r="F15" s="487"/>
      <c r="G15" s="487"/>
      <c r="H15" s="486"/>
      <c r="I15" s="487"/>
      <c r="J15" s="487"/>
      <c r="K15" s="487"/>
      <c r="L15" s="487"/>
      <c r="M15" s="487"/>
      <c r="N15" s="487"/>
      <c r="O15" s="487"/>
      <c r="P15" s="487"/>
      <c r="Q15" s="487"/>
      <c r="R15" s="487"/>
      <c r="S15" s="487"/>
      <c r="T15" s="487"/>
      <c r="U15" s="487"/>
      <c r="V15" s="487"/>
      <c r="W15" s="487"/>
      <c r="X15" s="487"/>
      <c r="Y15" s="487"/>
      <c r="Z15" s="487"/>
      <c r="AA15" s="459"/>
    </row>
    <row r="16" spans="1:27" x14ac:dyDescent="0.2">
      <c r="A16" s="475">
        <v>3</v>
      </c>
      <c r="B16" s="486"/>
      <c r="C16" s="487"/>
      <c r="D16" s="487"/>
      <c r="E16" s="487"/>
      <c r="F16" s="487"/>
      <c r="G16" s="487"/>
      <c r="H16" s="486"/>
      <c r="I16" s="487"/>
      <c r="J16" s="487"/>
      <c r="K16" s="487"/>
      <c r="L16" s="487"/>
      <c r="M16" s="487"/>
      <c r="N16" s="487"/>
      <c r="O16" s="487"/>
      <c r="P16" s="487"/>
      <c r="Q16" s="487"/>
      <c r="R16" s="487"/>
      <c r="S16" s="487"/>
      <c r="T16" s="487"/>
      <c r="U16" s="487"/>
      <c r="V16" s="487"/>
      <c r="W16" s="487"/>
      <c r="X16" s="487"/>
      <c r="Y16" s="487"/>
      <c r="Z16" s="487"/>
      <c r="AA16" s="459"/>
    </row>
    <row r="17" spans="1:27" x14ac:dyDescent="0.2">
      <c r="A17" s="475">
        <v>4</v>
      </c>
      <c r="B17" s="486"/>
      <c r="C17" s="487"/>
      <c r="D17" s="487"/>
      <c r="E17" s="487"/>
      <c r="F17" s="487"/>
      <c r="G17" s="487"/>
      <c r="H17" s="486"/>
      <c r="I17" s="487"/>
      <c r="J17" s="487"/>
      <c r="K17" s="487"/>
      <c r="L17" s="487"/>
      <c r="M17" s="487"/>
      <c r="N17" s="487"/>
      <c r="O17" s="487"/>
      <c r="P17" s="487"/>
      <c r="Q17" s="487"/>
      <c r="R17" s="487"/>
      <c r="S17" s="487"/>
      <c r="T17" s="488"/>
      <c r="U17" s="487"/>
      <c r="V17" s="487"/>
      <c r="W17" s="488"/>
      <c r="X17" s="488"/>
      <c r="Y17" s="488"/>
      <c r="Z17" s="487"/>
      <c r="AA17" s="459"/>
    </row>
    <row r="18" spans="1:27" x14ac:dyDescent="0.2">
      <c r="A18" s="475">
        <v>5</v>
      </c>
      <c r="B18" s="486"/>
      <c r="C18" s="487"/>
      <c r="D18" s="487"/>
      <c r="E18" s="487"/>
      <c r="F18" s="487"/>
      <c r="G18" s="487"/>
      <c r="H18" s="486"/>
      <c r="I18" s="487"/>
      <c r="J18" s="487"/>
      <c r="K18" s="487"/>
      <c r="L18" s="487"/>
      <c r="M18" s="487"/>
      <c r="N18" s="487"/>
      <c r="O18" s="487"/>
      <c r="P18" s="487"/>
      <c r="Q18" s="487"/>
      <c r="R18" s="487"/>
      <c r="S18" s="487"/>
      <c r="T18" s="488"/>
      <c r="U18" s="487"/>
      <c r="V18" s="487"/>
      <c r="W18" s="488"/>
      <c r="X18" s="488"/>
      <c r="Y18" s="488"/>
      <c r="Z18" s="487"/>
      <c r="AA18" s="459"/>
    </row>
    <row r="19" spans="1:27" x14ac:dyDescent="0.2">
      <c r="A19" s="475">
        <v>6</v>
      </c>
      <c r="B19" s="486"/>
      <c r="C19" s="487"/>
      <c r="D19" s="487"/>
      <c r="E19" s="487"/>
      <c r="F19" s="487"/>
      <c r="G19" s="487"/>
      <c r="H19" s="486"/>
      <c r="I19" s="487"/>
      <c r="J19" s="487"/>
      <c r="K19" s="487"/>
      <c r="L19" s="487"/>
      <c r="M19" s="487"/>
      <c r="N19" s="487"/>
      <c r="O19" s="487"/>
      <c r="P19" s="487"/>
      <c r="Q19" s="487"/>
      <c r="R19" s="487"/>
      <c r="S19" s="487"/>
      <c r="T19" s="488"/>
      <c r="U19" s="487"/>
      <c r="V19" s="487"/>
      <c r="W19" s="488"/>
      <c r="X19" s="488"/>
      <c r="Y19" s="488"/>
      <c r="Z19" s="487"/>
      <c r="AA19" s="459"/>
    </row>
    <row r="20" spans="1:27" x14ac:dyDescent="0.2">
      <c r="A20" s="475">
        <v>7</v>
      </c>
      <c r="B20" s="486"/>
      <c r="C20" s="487"/>
      <c r="D20" s="487"/>
      <c r="E20" s="487"/>
      <c r="F20" s="487"/>
      <c r="G20" s="487"/>
      <c r="H20" s="486"/>
      <c r="I20" s="487"/>
      <c r="J20" s="487"/>
      <c r="K20" s="487"/>
      <c r="L20" s="487"/>
      <c r="M20" s="487"/>
      <c r="N20" s="487"/>
      <c r="O20" s="487"/>
      <c r="P20" s="487"/>
      <c r="Q20" s="487"/>
      <c r="R20" s="487"/>
      <c r="S20" s="487"/>
      <c r="T20" s="488"/>
      <c r="U20" s="487"/>
      <c r="V20" s="487"/>
      <c r="W20" s="488"/>
      <c r="X20" s="488"/>
      <c r="Y20" s="488"/>
      <c r="Z20" s="487"/>
      <c r="AA20" s="459"/>
    </row>
    <row r="21" spans="1:27" x14ac:dyDescent="0.2">
      <c r="A21" s="475">
        <v>8</v>
      </c>
      <c r="B21" s="486"/>
      <c r="C21" s="487"/>
      <c r="D21" s="487"/>
      <c r="E21" s="487"/>
      <c r="F21" s="487"/>
      <c r="G21" s="487"/>
      <c r="H21" s="486"/>
      <c r="I21" s="487"/>
      <c r="J21" s="487"/>
      <c r="K21" s="487"/>
      <c r="L21" s="487"/>
      <c r="M21" s="487"/>
      <c r="N21" s="487"/>
      <c r="O21" s="487"/>
      <c r="P21" s="487"/>
      <c r="Q21" s="487"/>
      <c r="R21" s="487"/>
      <c r="S21" s="487"/>
      <c r="T21" s="488"/>
      <c r="U21" s="487"/>
      <c r="V21" s="487"/>
      <c r="W21" s="488"/>
      <c r="X21" s="488"/>
      <c r="Y21" s="488"/>
      <c r="Z21" s="487"/>
      <c r="AA21" s="459"/>
    </row>
    <row r="22" spans="1:27" x14ac:dyDescent="0.2">
      <c r="A22" s="475">
        <v>9</v>
      </c>
      <c r="B22" s="486"/>
      <c r="C22" s="487"/>
      <c r="D22" s="487"/>
      <c r="E22" s="487"/>
      <c r="F22" s="487"/>
      <c r="G22" s="487"/>
      <c r="H22" s="486"/>
      <c r="I22" s="487"/>
      <c r="J22" s="487"/>
      <c r="K22" s="487"/>
      <c r="L22" s="487"/>
      <c r="M22" s="487"/>
      <c r="N22" s="487"/>
      <c r="O22" s="487"/>
      <c r="P22" s="487"/>
      <c r="Q22" s="487"/>
      <c r="R22" s="487"/>
      <c r="S22" s="487"/>
      <c r="T22" s="488"/>
      <c r="U22" s="487"/>
      <c r="V22" s="487"/>
      <c r="W22" s="488"/>
      <c r="X22" s="488"/>
      <c r="Y22" s="488"/>
      <c r="Z22" s="487"/>
      <c r="AA22" s="459"/>
    </row>
    <row r="23" spans="1:27" x14ac:dyDescent="0.2">
      <c r="A23" s="475">
        <v>10</v>
      </c>
      <c r="B23" s="489"/>
      <c r="C23" s="490"/>
      <c r="D23" s="490"/>
      <c r="E23" s="491"/>
      <c r="F23" s="491"/>
      <c r="G23" s="490"/>
      <c r="H23" s="486"/>
      <c r="I23" s="492"/>
      <c r="J23" s="490"/>
      <c r="K23" s="490"/>
      <c r="L23" s="490"/>
      <c r="M23" s="490"/>
      <c r="N23" s="490"/>
      <c r="O23" s="490"/>
      <c r="P23" s="490"/>
      <c r="Q23" s="490"/>
      <c r="R23" s="492"/>
      <c r="S23" s="490"/>
      <c r="T23" s="493"/>
      <c r="U23" s="490"/>
      <c r="V23" s="490"/>
      <c r="W23" s="493"/>
      <c r="X23" s="488"/>
      <c r="Y23" s="488"/>
      <c r="Z23" s="490"/>
      <c r="AA23" s="459"/>
    </row>
    <row r="24" spans="1:27" x14ac:dyDescent="0.2">
      <c r="A24" s="475">
        <v>11</v>
      </c>
      <c r="B24" s="486"/>
      <c r="C24" s="490"/>
      <c r="D24" s="490"/>
      <c r="E24" s="490"/>
      <c r="F24" s="490"/>
      <c r="G24" s="490"/>
      <c r="H24" s="486"/>
      <c r="I24" s="492"/>
      <c r="J24" s="490"/>
      <c r="K24" s="490"/>
      <c r="L24" s="490"/>
      <c r="M24" s="490"/>
      <c r="N24" s="490"/>
      <c r="O24" s="490"/>
      <c r="P24" s="490"/>
      <c r="Q24" s="490"/>
      <c r="R24" s="492"/>
      <c r="S24" s="490"/>
      <c r="T24" s="490"/>
      <c r="U24" s="490"/>
      <c r="V24" s="490"/>
      <c r="W24" s="490"/>
      <c r="X24" s="487"/>
      <c r="Y24" s="487"/>
      <c r="Z24" s="490"/>
      <c r="AA24" s="459"/>
    </row>
    <row r="25" spans="1:27" x14ac:dyDescent="0.2">
      <c r="A25" s="475">
        <v>12</v>
      </c>
      <c r="B25" s="486"/>
      <c r="C25" s="490"/>
      <c r="D25" s="490"/>
      <c r="E25" s="490"/>
      <c r="F25" s="490"/>
      <c r="G25" s="490"/>
      <c r="H25" s="486"/>
      <c r="I25" s="492"/>
      <c r="J25" s="490"/>
      <c r="K25" s="490"/>
      <c r="L25" s="490"/>
      <c r="M25" s="490"/>
      <c r="N25" s="490"/>
      <c r="O25" s="490"/>
      <c r="P25" s="490"/>
      <c r="Q25" s="490"/>
      <c r="R25" s="492"/>
      <c r="S25" s="490"/>
      <c r="T25" s="490"/>
      <c r="U25" s="490"/>
      <c r="V25" s="490"/>
      <c r="W25" s="490"/>
      <c r="X25" s="487"/>
      <c r="Y25" s="487"/>
      <c r="Z25" s="490"/>
      <c r="AA25" s="459"/>
    </row>
    <row r="26" spans="1:27" x14ac:dyDescent="0.2">
      <c r="A26" s="666" t="s">
        <v>10</v>
      </c>
      <c r="B26" s="667"/>
      <c r="C26" s="470">
        <f>SUM(C14:C25)</f>
        <v>0</v>
      </c>
      <c r="D26" s="470">
        <f t="shared" ref="D26:F26" si="0">SUM(D14:D25)</f>
        <v>0</v>
      </c>
      <c r="E26" s="470">
        <f t="shared" si="0"/>
        <v>0</v>
      </c>
      <c r="F26" s="470">
        <f t="shared" si="0"/>
        <v>0</v>
      </c>
      <c r="G26" s="470">
        <f>SUM(G14:G25)</f>
        <v>0</v>
      </c>
      <c r="H26" s="470"/>
      <c r="I26" s="470">
        <f>SUM(I14:I25)</f>
        <v>0</v>
      </c>
      <c r="J26" s="470">
        <f t="shared" ref="J26:Z26" si="1">SUM(J14:J25)</f>
        <v>0</v>
      </c>
      <c r="K26" s="470">
        <f t="shared" si="1"/>
        <v>0</v>
      </c>
      <c r="L26" s="470">
        <f t="shared" si="1"/>
        <v>0</v>
      </c>
      <c r="M26" s="470">
        <f t="shared" si="1"/>
        <v>0</v>
      </c>
      <c r="N26" s="470">
        <f t="shared" si="1"/>
        <v>0</v>
      </c>
      <c r="O26" s="470">
        <f t="shared" si="1"/>
        <v>0</v>
      </c>
      <c r="P26" s="470">
        <f t="shared" si="1"/>
        <v>0</v>
      </c>
      <c r="Q26" s="470">
        <f t="shared" si="1"/>
        <v>0</v>
      </c>
      <c r="R26" s="470">
        <f t="shared" si="1"/>
        <v>0</v>
      </c>
      <c r="S26" s="470">
        <f t="shared" si="1"/>
        <v>0</v>
      </c>
      <c r="T26" s="470">
        <f t="shared" si="1"/>
        <v>0</v>
      </c>
      <c r="U26" s="470">
        <f t="shared" si="1"/>
        <v>0</v>
      </c>
      <c r="V26" s="470">
        <f t="shared" si="1"/>
        <v>0</v>
      </c>
      <c r="W26" s="470">
        <f t="shared" si="1"/>
        <v>0</v>
      </c>
      <c r="X26" s="470">
        <f t="shared" si="1"/>
        <v>0</v>
      </c>
      <c r="Y26" s="470">
        <f t="shared" si="1"/>
        <v>0</v>
      </c>
      <c r="Z26" s="470">
        <f t="shared" si="1"/>
        <v>0</v>
      </c>
      <c r="AA26" s="459"/>
    </row>
    <row r="27" spans="1:27" x14ac:dyDescent="0.2">
      <c r="A27" s="471"/>
      <c r="B27" s="471"/>
      <c r="C27" s="472"/>
      <c r="D27" s="472"/>
      <c r="E27" s="472"/>
      <c r="F27" s="472"/>
      <c r="G27" s="472"/>
      <c r="H27" s="472"/>
      <c r="I27" s="472"/>
      <c r="J27" s="472"/>
      <c r="K27" s="472"/>
      <c r="L27" s="472"/>
      <c r="M27" s="472"/>
      <c r="N27" s="472"/>
      <c r="O27" s="472"/>
      <c r="P27" s="472"/>
      <c r="Q27" s="472"/>
      <c r="R27" s="472"/>
      <c r="S27" s="472"/>
      <c r="T27" s="472"/>
      <c r="U27" s="472"/>
      <c r="V27" s="472"/>
      <c r="W27" s="472"/>
      <c r="X27" s="472"/>
      <c r="Y27" s="473"/>
      <c r="Z27" s="473"/>
      <c r="AA27" s="459"/>
    </row>
    <row r="28" spans="1:27" x14ac:dyDescent="0.2">
      <c r="B28" s="444"/>
      <c r="C28" s="672"/>
      <c r="D28" s="672"/>
      <c r="E28" s="672"/>
      <c r="F28" s="672"/>
      <c r="G28" s="672"/>
      <c r="H28" s="626"/>
      <c r="I28" s="626"/>
      <c r="J28" s="626"/>
      <c r="K28" s="626"/>
      <c r="L28" s="626"/>
      <c r="M28" s="626"/>
      <c r="O28" s="626"/>
      <c r="P28" s="626"/>
      <c r="Q28" s="626"/>
      <c r="R28" s="626"/>
      <c r="S28" s="626"/>
      <c r="T28" s="626"/>
      <c r="U28" s="626"/>
      <c r="V28" s="626"/>
      <c r="W28" s="626"/>
      <c r="Y28" s="444"/>
      <c r="Z28" s="444"/>
    </row>
    <row r="29" spans="1:27" ht="13.5" thickBot="1" x14ac:dyDescent="0.25">
      <c r="C29" s="670"/>
      <c r="D29" s="670"/>
      <c r="E29" s="670"/>
      <c r="F29" s="670"/>
      <c r="G29" s="670"/>
      <c r="H29" s="670"/>
      <c r="I29" s="670"/>
      <c r="J29" s="670"/>
      <c r="K29" s="670"/>
      <c r="L29" s="670"/>
      <c r="M29" s="670"/>
      <c r="O29" s="670"/>
      <c r="P29" s="670"/>
      <c r="Q29" s="670"/>
      <c r="R29" s="670"/>
      <c r="S29" s="670"/>
      <c r="T29" s="670"/>
      <c r="U29" s="670"/>
      <c r="V29" s="670"/>
      <c r="W29" s="670"/>
      <c r="Y29" s="474"/>
      <c r="Z29" s="474"/>
    </row>
    <row r="30" spans="1:27" x14ac:dyDescent="0.2">
      <c r="A30" s="459"/>
      <c r="B30" s="671" t="s">
        <v>1090</v>
      </c>
      <c r="C30" s="671"/>
      <c r="D30" s="671"/>
      <c r="E30" s="671"/>
      <c r="F30" s="671"/>
      <c r="G30" s="671"/>
      <c r="H30" s="671"/>
      <c r="I30" s="671"/>
      <c r="J30" s="671"/>
      <c r="K30" s="671"/>
      <c r="L30" s="671"/>
      <c r="M30" s="671"/>
      <c r="N30" s="671"/>
      <c r="O30" s="671"/>
      <c r="P30" s="671"/>
      <c r="Q30" s="671"/>
      <c r="R30" s="671"/>
      <c r="S30" s="671"/>
      <c r="T30" s="671"/>
      <c r="U30" s="671"/>
      <c r="V30" s="671"/>
      <c r="W30" s="671"/>
      <c r="X30" s="671"/>
      <c r="Y30" s="671"/>
      <c r="Z30" s="671"/>
      <c r="AA30" s="459"/>
    </row>
    <row r="31" spans="1:27" x14ac:dyDescent="0.2">
      <c r="A31" s="459"/>
      <c r="B31" s="669" t="s">
        <v>1084</v>
      </c>
      <c r="C31" s="669"/>
      <c r="D31" s="669"/>
      <c r="E31" s="669"/>
      <c r="F31" s="669"/>
      <c r="G31" s="669"/>
      <c r="H31" s="669"/>
      <c r="I31" s="669"/>
      <c r="J31" s="669"/>
      <c r="K31" s="669"/>
      <c r="L31" s="669"/>
      <c r="M31" s="669"/>
      <c r="N31" s="669"/>
      <c r="O31" s="669"/>
      <c r="P31" s="669"/>
      <c r="Q31" s="669"/>
      <c r="R31" s="669"/>
      <c r="S31" s="669"/>
      <c r="T31" s="669"/>
      <c r="U31" s="669"/>
      <c r="V31" s="669"/>
      <c r="W31" s="669"/>
      <c r="X31" s="669"/>
      <c r="Y31" s="669"/>
      <c r="Z31" s="669"/>
      <c r="AA31" s="459"/>
    </row>
    <row r="32" spans="1:27" x14ac:dyDescent="0.2">
      <c r="B32" s="4" t="s">
        <v>1086</v>
      </c>
    </row>
    <row r="33" spans="2:6" x14ac:dyDescent="0.2">
      <c r="B33" s="4" t="s">
        <v>1087</v>
      </c>
    </row>
    <row r="34" spans="2:6" x14ac:dyDescent="0.2">
      <c r="B34" s="4" t="s">
        <v>1088</v>
      </c>
    </row>
    <row r="35" spans="2:6" x14ac:dyDescent="0.2">
      <c r="B35" s="4" t="s">
        <v>1089</v>
      </c>
    </row>
    <row r="37" spans="2:6" x14ac:dyDescent="0.2">
      <c r="B37" s="2" t="s">
        <v>285</v>
      </c>
      <c r="C37" s="4"/>
      <c r="D37" s="4"/>
    </row>
    <row r="38" spans="2:6" x14ac:dyDescent="0.2">
      <c r="B38" s="5"/>
      <c r="C38" s="4"/>
      <c r="D38" s="4"/>
    </row>
    <row r="39" spans="2:6" x14ac:dyDescent="0.2">
      <c r="B39" s="445" t="s">
        <v>1062</v>
      </c>
      <c r="C39" s="4"/>
      <c r="D39" s="4"/>
    </row>
    <row r="40" spans="2:6" x14ac:dyDescent="0.2">
      <c r="B40" s="5"/>
      <c r="C40" s="4"/>
      <c r="D40" s="4"/>
    </row>
    <row r="41" spans="2:6" x14ac:dyDescent="0.2">
      <c r="B41" s="445" t="s">
        <v>287</v>
      </c>
      <c r="D41" s="576" t="s">
        <v>288</v>
      </c>
      <c r="E41" s="576"/>
      <c r="F41" s="4" t="s">
        <v>289</v>
      </c>
    </row>
    <row r="42" spans="2:6" x14ac:dyDescent="0.2">
      <c r="B42" s="5"/>
      <c r="D42" s="576"/>
      <c r="E42" s="576"/>
      <c r="F42" s="4"/>
    </row>
    <row r="43" spans="2:6" x14ac:dyDescent="0.2">
      <c r="B43" s="445" t="s">
        <v>290</v>
      </c>
      <c r="D43" s="576" t="s">
        <v>291</v>
      </c>
      <c r="E43" s="576"/>
      <c r="F43" s="4" t="s">
        <v>292</v>
      </c>
    </row>
    <row r="44" spans="2:6" x14ac:dyDescent="0.2">
      <c r="B44" s="5"/>
      <c r="D44" s="576"/>
      <c r="E44" s="576"/>
      <c r="F44" s="4"/>
    </row>
    <row r="45" spans="2:6" x14ac:dyDescent="0.2">
      <c r="B45" s="445" t="s">
        <v>293</v>
      </c>
      <c r="D45" s="576" t="s">
        <v>288</v>
      </c>
      <c r="E45" s="576"/>
      <c r="F45" s="4" t="s">
        <v>292</v>
      </c>
    </row>
  </sheetData>
  <sheetProtection password="CA9F" sheet="1" objects="1" scenarios="1"/>
  <mergeCells count="47">
    <mergeCell ref="D41:E41"/>
    <mergeCell ref="D42:E42"/>
    <mergeCell ref="D43:E43"/>
    <mergeCell ref="D44:E44"/>
    <mergeCell ref="D45:E45"/>
    <mergeCell ref="B31:Z31"/>
    <mergeCell ref="S29:T29"/>
    <mergeCell ref="U29:W29"/>
    <mergeCell ref="B30:Z30"/>
    <mergeCell ref="S28:T28"/>
    <mergeCell ref="U28:W28"/>
    <mergeCell ref="C29:G29"/>
    <mergeCell ref="H29:M29"/>
    <mergeCell ref="O29:R29"/>
    <mergeCell ref="C28:G28"/>
    <mergeCell ref="H28:M28"/>
    <mergeCell ref="O28:R28"/>
    <mergeCell ref="A26:B26"/>
    <mergeCell ref="Y11:Y12"/>
    <mergeCell ref="Q11:S11"/>
    <mergeCell ref="T11:T12"/>
    <mergeCell ref="U11:U12"/>
    <mergeCell ref="V11:V12"/>
    <mergeCell ref="W11:W12"/>
    <mergeCell ref="X11:X12"/>
    <mergeCell ref="A10:A12"/>
    <mergeCell ref="B10:B12"/>
    <mergeCell ref="C10:C12"/>
    <mergeCell ref="D10:E11"/>
    <mergeCell ref="F10:G10"/>
    <mergeCell ref="H10:H12"/>
    <mergeCell ref="Z10:Z12"/>
    <mergeCell ref="F11:F12"/>
    <mergeCell ref="G11:G12"/>
    <mergeCell ref="I11:I12"/>
    <mergeCell ref="J11:J12"/>
    <mergeCell ref="K11:K12"/>
    <mergeCell ref="L11:L12"/>
    <mergeCell ref="M11:M12"/>
    <mergeCell ref="N11:N12"/>
    <mergeCell ref="O11:P11"/>
    <mergeCell ref="I10:K10"/>
    <mergeCell ref="L10:N10"/>
    <mergeCell ref="O10:S10"/>
    <mergeCell ref="T10:U10"/>
    <mergeCell ref="V10:W10"/>
    <mergeCell ref="X10:Y10"/>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8E548-9013-42B9-9E8A-99E364021C80}">
  <sheetPr>
    <pageSetUpPr fitToPage="1"/>
  </sheetPr>
  <dimension ref="A1:G569"/>
  <sheetViews>
    <sheetView zoomScale="96" zoomScaleNormal="96" workbookViewId="0">
      <pane xSplit="1" topLeftCell="B1" activePane="topRight" state="frozen"/>
      <selection activeCell="L11" sqref="L11"/>
      <selection pane="topRight" activeCell="E37" sqref="E37"/>
    </sheetView>
  </sheetViews>
  <sheetFormatPr defaultRowHeight="12.75" x14ac:dyDescent="0.2"/>
  <cols>
    <col min="1" max="1" width="5.7109375" style="72" customWidth="1"/>
    <col min="2" max="2" width="36.85546875" style="364" customWidth="1"/>
    <col min="3" max="3" width="28.5703125" style="365" customWidth="1"/>
    <col min="4" max="4" width="28.5703125" style="366" customWidth="1"/>
    <col min="5" max="5" width="28.5703125" style="247" customWidth="1"/>
    <col min="6" max="256" width="9.140625" style="72"/>
    <col min="257" max="257" width="5.7109375" style="72" customWidth="1"/>
    <col min="258" max="258" width="36.85546875" style="72" customWidth="1"/>
    <col min="259" max="261" width="17.85546875" style="72" customWidth="1"/>
    <col min="262" max="512" width="9.140625" style="72"/>
    <col min="513" max="513" width="5.7109375" style="72" customWidth="1"/>
    <col min="514" max="514" width="36.85546875" style="72" customWidth="1"/>
    <col min="515" max="517" width="17.85546875" style="72" customWidth="1"/>
    <col min="518" max="768" width="9.140625" style="72"/>
    <col min="769" max="769" width="5.7109375" style="72" customWidth="1"/>
    <col min="770" max="770" width="36.85546875" style="72" customWidth="1"/>
    <col min="771" max="773" width="17.85546875" style="72" customWidth="1"/>
    <col min="774" max="1024" width="9.140625" style="72"/>
    <col min="1025" max="1025" width="5.7109375" style="72" customWidth="1"/>
    <col min="1026" max="1026" width="36.85546875" style="72" customWidth="1"/>
    <col min="1027" max="1029" width="17.85546875" style="72" customWidth="1"/>
    <col min="1030" max="1280" width="9.140625" style="72"/>
    <col min="1281" max="1281" width="5.7109375" style="72" customWidth="1"/>
    <col min="1282" max="1282" width="36.85546875" style="72" customWidth="1"/>
    <col min="1283" max="1285" width="17.85546875" style="72" customWidth="1"/>
    <col min="1286" max="1536" width="9.140625" style="72"/>
    <col min="1537" max="1537" width="5.7109375" style="72" customWidth="1"/>
    <col min="1538" max="1538" width="36.85546875" style="72" customWidth="1"/>
    <col min="1539" max="1541" width="17.85546875" style="72" customWidth="1"/>
    <col min="1542" max="1792" width="9.140625" style="72"/>
    <col min="1793" max="1793" width="5.7109375" style="72" customWidth="1"/>
    <col min="1794" max="1794" width="36.85546875" style="72" customWidth="1"/>
    <col min="1795" max="1797" width="17.85546875" style="72" customWidth="1"/>
    <col min="1798" max="2048" width="9.140625" style="72"/>
    <col min="2049" max="2049" width="5.7109375" style="72" customWidth="1"/>
    <col min="2050" max="2050" width="36.85546875" style="72" customWidth="1"/>
    <col min="2051" max="2053" width="17.85546875" style="72" customWidth="1"/>
    <col min="2054" max="2304" width="9.140625" style="72"/>
    <col min="2305" max="2305" width="5.7109375" style="72" customWidth="1"/>
    <col min="2306" max="2306" width="36.85546875" style="72" customWidth="1"/>
    <col min="2307" max="2309" width="17.85546875" style="72" customWidth="1"/>
    <col min="2310" max="2560" width="9.140625" style="72"/>
    <col min="2561" max="2561" width="5.7109375" style="72" customWidth="1"/>
    <col min="2562" max="2562" width="36.85546875" style="72" customWidth="1"/>
    <col min="2563" max="2565" width="17.85546875" style="72" customWidth="1"/>
    <col min="2566" max="2816" width="9.140625" style="72"/>
    <col min="2817" max="2817" width="5.7109375" style="72" customWidth="1"/>
    <col min="2818" max="2818" width="36.85546875" style="72" customWidth="1"/>
    <col min="2819" max="2821" width="17.85546875" style="72" customWidth="1"/>
    <col min="2822" max="3072" width="9.140625" style="72"/>
    <col min="3073" max="3073" width="5.7109375" style="72" customWidth="1"/>
    <col min="3074" max="3074" width="36.85546875" style="72" customWidth="1"/>
    <col min="3075" max="3077" width="17.85546875" style="72" customWidth="1"/>
    <col min="3078" max="3328" width="9.140625" style="72"/>
    <col min="3329" max="3329" width="5.7109375" style="72" customWidth="1"/>
    <col min="3330" max="3330" width="36.85546875" style="72" customWidth="1"/>
    <col min="3331" max="3333" width="17.85546875" style="72" customWidth="1"/>
    <col min="3334" max="3584" width="9.140625" style="72"/>
    <col min="3585" max="3585" width="5.7109375" style="72" customWidth="1"/>
    <col min="3586" max="3586" width="36.85546875" style="72" customWidth="1"/>
    <col min="3587" max="3589" width="17.85546875" style="72" customWidth="1"/>
    <col min="3590" max="3840" width="9.140625" style="72"/>
    <col min="3841" max="3841" width="5.7109375" style="72" customWidth="1"/>
    <col min="3842" max="3842" width="36.85546875" style="72" customWidth="1"/>
    <col min="3843" max="3845" width="17.85546875" style="72" customWidth="1"/>
    <col min="3846" max="4096" width="9.140625" style="72"/>
    <col min="4097" max="4097" width="5.7109375" style="72" customWidth="1"/>
    <col min="4098" max="4098" width="36.85546875" style="72" customWidth="1"/>
    <col min="4099" max="4101" width="17.85546875" style="72" customWidth="1"/>
    <col min="4102" max="4352" width="9.140625" style="72"/>
    <col min="4353" max="4353" width="5.7109375" style="72" customWidth="1"/>
    <col min="4354" max="4354" width="36.85546875" style="72" customWidth="1"/>
    <col min="4355" max="4357" width="17.85546875" style="72" customWidth="1"/>
    <col min="4358" max="4608" width="9.140625" style="72"/>
    <col min="4609" max="4609" width="5.7109375" style="72" customWidth="1"/>
    <col min="4610" max="4610" width="36.85546875" style="72" customWidth="1"/>
    <col min="4611" max="4613" width="17.85546875" style="72" customWidth="1"/>
    <col min="4614" max="4864" width="9.140625" style="72"/>
    <col min="4865" max="4865" width="5.7109375" style="72" customWidth="1"/>
    <col min="4866" max="4866" width="36.85546875" style="72" customWidth="1"/>
    <col min="4867" max="4869" width="17.85546875" style="72" customWidth="1"/>
    <col min="4870" max="5120" width="9.140625" style="72"/>
    <col min="5121" max="5121" width="5.7109375" style="72" customWidth="1"/>
    <col min="5122" max="5122" width="36.85546875" style="72" customWidth="1"/>
    <col min="5123" max="5125" width="17.85546875" style="72" customWidth="1"/>
    <col min="5126" max="5376" width="9.140625" style="72"/>
    <col min="5377" max="5377" width="5.7109375" style="72" customWidth="1"/>
    <col min="5378" max="5378" width="36.85546875" style="72" customWidth="1"/>
    <col min="5379" max="5381" width="17.85546875" style="72" customWidth="1"/>
    <col min="5382" max="5632" width="9.140625" style="72"/>
    <col min="5633" max="5633" width="5.7109375" style="72" customWidth="1"/>
    <col min="5634" max="5634" width="36.85546875" style="72" customWidth="1"/>
    <col min="5635" max="5637" width="17.85546875" style="72" customWidth="1"/>
    <col min="5638" max="5888" width="9.140625" style="72"/>
    <col min="5889" max="5889" width="5.7109375" style="72" customWidth="1"/>
    <col min="5890" max="5890" width="36.85546875" style="72" customWidth="1"/>
    <col min="5891" max="5893" width="17.85546875" style="72" customWidth="1"/>
    <col min="5894" max="6144" width="9.140625" style="72"/>
    <col min="6145" max="6145" width="5.7109375" style="72" customWidth="1"/>
    <col min="6146" max="6146" width="36.85546875" style="72" customWidth="1"/>
    <col min="6147" max="6149" width="17.85546875" style="72" customWidth="1"/>
    <col min="6150" max="6400" width="9.140625" style="72"/>
    <col min="6401" max="6401" width="5.7109375" style="72" customWidth="1"/>
    <col min="6402" max="6402" width="36.85546875" style="72" customWidth="1"/>
    <col min="6403" max="6405" width="17.85546875" style="72" customWidth="1"/>
    <col min="6406" max="6656" width="9.140625" style="72"/>
    <col min="6657" max="6657" width="5.7109375" style="72" customWidth="1"/>
    <col min="6658" max="6658" width="36.85546875" style="72" customWidth="1"/>
    <col min="6659" max="6661" width="17.85546875" style="72" customWidth="1"/>
    <col min="6662" max="6912" width="9.140625" style="72"/>
    <col min="6913" max="6913" width="5.7109375" style="72" customWidth="1"/>
    <col min="6914" max="6914" width="36.85546875" style="72" customWidth="1"/>
    <col min="6915" max="6917" width="17.85546875" style="72" customWidth="1"/>
    <col min="6918" max="7168" width="9.140625" style="72"/>
    <col min="7169" max="7169" width="5.7109375" style="72" customWidth="1"/>
    <col min="7170" max="7170" width="36.85546875" style="72" customWidth="1"/>
    <col min="7171" max="7173" width="17.85546875" style="72" customWidth="1"/>
    <col min="7174" max="7424" width="9.140625" style="72"/>
    <col min="7425" max="7425" width="5.7109375" style="72" customWidth="1"/>
    <col min="7426" max="7426" width="36.85546875" style="72" customWidth="1"/>
    <col min="7427" max="7429" width="17.85546875" style="72" customWidth="1"/>
    <col min="7430" max="7680" width="9.140625" style="72"/>
    <col min="7681" max="7681" width="5.7109375" style="72" customWidth="1"/>
    <col min="7682" max="7682" width="36.85546875" style="72" customWidth="1"/>
    <col min="7683" max="7685" width="17.85546875" style="72" customWidth="1"/>
    <col min="7686" max="7936" width="9.140625" style="72"/>
    <col min="7937" max="7937" width="5.7109375" style="72" customWidth="1"/>
    <col min="7938" max="7938" width="36.85546875" style="72" customWidth="1"/>
    <col min="7939" max="7941" width="17.85546875" style="72" customWidth="1"/>
    <col min="7942" max="8192" width="9.140625" style="72"/>
    <col min="8193" max="8193" width="5.7109375" style="72" customWidth="1"/>
    <col min="8194" max="8194" width="36.85546875" style="72" customWidth="1"/>
    <col min="8195" max="8197" width="17.85546875" style="72" customWidth="1"/>
    <col min="8198" max="8448" width="9.140625" style="72"/>
    <col min="8449" max="8449" width="5.7109375" style="72" customWidth="1"/>
    <col min="8450" max="8450" width="36.85546875" style="72" customWidth="1"/>
    <col min="8451" max="8453" width="17.85546875" style="72" customWidth="1"/>
    <col min="8454" max="8704" width="9.140625" style="72"/>
    <col min="8705" max="8705" width="5.7109375" style="72" customWidth="1"/>
    <col min="8706" max="8706" width="36.85546875" style="72" customWidth="1"/>
    <col min="8707" max="8709" width="17.85546875" style="72" customWidth="1"/>
    <col min="8710" max="8960" width="9.140625" style="72"/>
    <col min="8961" max="8961" width="5.7109375" style="72" customWidth="1"/>
    <col min="8962" max="8962" width="36.85546875" style="72" customWidth="1"/>
    <col min="8963" max="8965" width="17.85546875" style="72" customWidth="1"/>
    <col min="8966" max="9216" width="9.140625" style="72"/>
    <col min="9217" max="9217" width="5.7109375" style="72" customWidth="1"/>
    <col min="9218" max="9218" width="36.85546875" style="72" customWidth="1"/>
    <col min="9219" max="9221" width="17.85546875" style="72" customWidth="1"/>
    <col min="9222" max="9472" width="9.140625" style="72"/>
    <col min="9473" max="9473" width="5.7109375" style="72" customWidth="1"/>
    <col min="9474" max="9474" width="36.85546875" style="72" customWidth="1"/>
    <col min="9475" max="9477" width="17.85546875" style="72" customWidth="1"/>
    <col min="9478" max="9728" width="9.140625" style="72"/>
    <col min="9729" max="9729" width="5.7109375" style="72" customWidth="1"/>
    <col min="9730" max="9730" width="36.85546875" style="72" customWidth="1"/>
    <col min="9731" max="9733" width="17.85546875" style="72" customWidth="1"/>
    <col min="9734" max="9984" width="9.140625" style="72"/>
    <col min="9985" max="9985" width="5.7109375" style="72" customWidth="1"/>
    <col min="9986" max="9986" width="36.85546875" style="72" customWidth="1"/>
    <col min="9987" max="9989" width="17.85546875" style="72" customWidth="1"/>
    <col min="9990" max="10240" width="9.140625" style="72"/>
    <col min="10241" max="10241" width="5.7109375" style="72" customWidth="1"/>
    <col min="10242" max="10242" width="36.85546875" style="72" customWidth="1"/>
    <col min="10243" max="10245" width="17.85546875" style="72" customWidth="1"/>
    <col min="10246" max="10496" width="9.140625" style="72"/>
    <col min="10497" max="10497" width="5.7109375" style="72" customWidth="1"/>
    <col min="10498" max="10498" width="36.85546875" style="72" customWidth="1"/>
    <col min="10499" max="10501" width="17.85546875" style="72" customWidth="1"/>
    <col min="10502" max="10752" width="9.140625" style="72"/>
    <col min="10753" max="10753" width="5.7109375" style="72" customWidth="1"/>
    <col min="10754" max="10754" width="36.85546875" style="72" customWidth="1"/>
    <col min="10755" max="10757" width="17.85546875" style="72" customWidth="1"/>
    <col min="10758" max="11008" width="9.140625" style="72"/>
    <col min="11009" max="11009" width="5.7109375" style="72" customWidth="1"/>
    <col min="11010" max="11010" width="36.85546875" style="72" customWidth="1"/>
    <col min="11011" max="11013" width="17.85546875" style="72" customWidth="1"/>
    <col min="11014" max="11264" width="9.140625" style="72"/>
    <col min="11265" max="11265" width="5.7109375" style="72" customWidth="1"/>
    <col min="11266" max="11266" width="36.85546875" style="72" customWidth="1"/>
    <col min="11267" max="11269" width="17.85546875" style="72" customWidth="1"/>
    <col min="11270" max="11520" width="9.140625" style="72"/>
    <col min="11521" max="11521" width="5.7109375" style="72" customWidth="1"/>
    <col min="11522" max="11522" width="36.85546875" style="72" customWidth="1"/>
    <col min="11523" max="11525" width="17.85546875" style="72" customWidth="1"/>
    <col min="11526" max="11776" width="9.140625" style="72"/>
    <col min="11777" max="11777" width="5.7109375" style="72" customWidth="1"/>
    <col min="11778" max="11778" width="36.85546875" style="72" customWidth="1"/>
    <col min="11779" max="11781" width="17.85546875" style="72" customWidth="1"/>
    <col min="11782" max="12032" width="9.140625" style="72"/>
    <col min="12033" max="12033" width="5.7109375" style="72" customWidth="1"/>
    <col min="12034" max="12034" width="36.85546875" style="72" customWidth="1"/>
    <col min="12035" max="12037" width="17.85546875" style="72" customWidth="1"/>
    <col min="12038" max="12288" width="9.140625" style="72"/>
    <col min="12289" max="12289" width="5.7109375" style="72" customWidth="1"/>
    <col min="12290" max="12290" width="36.85546875" style="72" customWidth="1"/>
    <col min="12291" max="12293" width="17.85546875" style="72" customWidth="1"/>
    <col min="12294" max="12544" width="9.140625" style="72"/>
    <col min="12545" max="12545" width="5.7109375" style="72" customWidth="1"/>
    <col min="12546" max="12546" width="36.85546875" style="72" customWidth="1"/>
    <col min="12547" max="12549" width="17.85546875" style="72" customWidth="1"/>
    <col min="12550" max="12800" width="9.140625" style="72"/>
    <col min="12801" max="12801" width="5.7109375" style="72" customWidth="1"/>
    <col min="12802" max="12802" width="36.85546875" style="72" customWidth="1"/>
    <col min="12803" max="12805" width="17.85546875" style="72" customWidth="1"/>
    <col min="12806" max="13056" width="9.140625" style="72"/>
    <col min="13057" max="13057" width="5.7109375" style="72" customWidth="1"/>
    <col min="13058" max="13058" width="36.85546875" style="72" customWidth="1"/>
    <col min="13059" max="13061" width="17.85546875" style="72" customWidth="1"/>
    <col min="13062" max="13312" width="9.140625" style="72"/>
    <col min="13313" max="13313" width="5.7109375" style="72" customWidth="1"/>
    <col min="13314" max="13314" width="36.85546875" style="72" customWidth="1"/>
    <col min="13315" max="13317" width="17.85546875" style="72" customWidth="1"/>
    <col min="13318" max="13568" width="9.140625" style="72"/>
    <col min="13569" max="13569" width="5.7109375" style="72" customWidth="1"/>
    <col min="13570" max="13570" width="36.85546875" style="72" customWidth="1"/>
    <col min="13571" max="13573" width="17.85546875" style="72" customWidth="1"/>
    <col min="13574" max="13824" width="9.140625" style="72"/>
    <col min="13825" max="13825" width="5.7109375" style="72" customWidth="1"/>
    <col min="13826" max="13826" width="36.85546875" style="72" customWidth="1"/>
    <col min="13827" max="13829" width="17.85546875" style="72" customWidth="1"/>
    <col min="13830" max="14080" width="9.140625" style="72"/>
    <col min="14081" max="14081" width="5.7109375" style="72" customWidth="1"/>
    <col min="14082" max="14082" width="36.85546875" style="72" customWidth="1"/>
    <col min="14083" max="14085" width="17.85546875" style="72" customWidth="1"/>
    <col min="14086" max="14336" width="9.140625" style="72"/>
    <col min="14337" max="14337" width="5.7109375" style="72" customWidth="1"/>
    <col min="14338" max="14338" width="36.85546875" style="72" customWidth="1"/>
    <col min="14339" max="14341" width="17.85546875" style="72" customWidth="1"/>
    <col min="14342" max="14592" width="9.140625" style="72"/>
    <col min="14593" max="14593" width="5.7109375" style="72" customWidth="1"/>
    <col min="14594" max="14594" width="36.85546875" style="72" customWidth="1"/>
    <col min="14595" max="14597" width="17.85546875" style="72" customWidth="1"/>
    <col min="14598" max="14848" width="9.140625" style="72"/>
    <col min="14849" max="14849" width="5.7109375" style="72" customWidth="1"/>
    <col min="14850" max="14850" width="36.85546875" style="72" customWidth="1"/>
    <col min="14851" max="14853" width="17.85546875" style="72" customWidth="1"/>
    <col min="14854" max="15104" width="9.140625" style="72"/>
    <col min="15105" max="15105" width="5.7109375" style="72" customWidth="1"/>
    <col min="15106" max="15106" width="36.85546875" style="72" customWidth="1"/>
    <col min="15107" max="15109" width="17.85546875" style="72" customWidth="1"/>
    <col min="15110" max="15360" width="9.140625" style="72"/>
    <col min="15361" max="15361" width="5.7109375" style="72" customWidth="1"/>
    <col min="15362" max="15362" width="36.85546875" style="72" customWidth="1"/>
    <col min="15363" max="15365" width="17.85546875" style="72" customWidth="1"/>
    <col min="15366" max="15616" width="9.140625" style="72"/>
    <col min="15617" max="15617" width="5.7109375" style="72" customWidth="1"/>
    <col min="15618" max="15618" width="36.85546875" style="72" customWidth="1"/>
    <col min="15619" max="15621" width="17.85546875" style="72" customWidth="1"/>
    <col min="15622" max="15872" width="9.140625" style="72"/>
    <col min="15873" max="15873" width="5.7109375" style="72" customWidth="1"/>
    <col min="15874" max="15874" width="36.85546875" style="72" customWidth="1"/>
    <col min="15875" max="15877" width="17.85546875" style="72" customWidth="1"/>
    <col min="15878" max="16128" width="9.140625" style="72"/>
    <col min="16129" max="16129" width="5.7109375" style="72" customWidth="1"/>
    <col min="16130" max="16130" width="36.85546875" style="72" customWidth="1"/>
    <col min="16131" max="16133" width="17.85546875" style="72" customWidth="1"/>
    <col min="16134" max="16384" width="9.140625" style="72"/>
  </cols>
  <sheetData>
    <row r="1" spans="1:5" x14ac:dyDescent="0.2">
      <c r="A1" s="73"/>
      <c r="B1" s="224"/>
      <c r="C1" s="225"/>
      <c r="D1" s="226"/>
      <c r="E1" s="73"/>
    </row>
    <row r="2" spans="1:5" x14ac:dyDescent="0.2">
      <c r="A2" s="637" t="s">
        <v>787</v>
      </c>
      <c r="B2" s="637"/>
      <c r="C2" s="637"/>
      <c r="D2" s="637"/>
      <c r="E2" s="637"/>
    </row>
    <row r="3" spans="1:5" x14ac:dyDescent="0.2">
      <c r="A3" s="73"/>
      <c r="B3" s="351"/>
      <c r="C3" s="225"/>
      <c r="D3" s="226"/>
      <c r="E3" s="73"/>
    </row>
    <row r="4" spans="1:5" x14ac:dyDescent="0.2">
      <c r="A4" s="73"/>
      <c r="B4" s="351"/>
      <c r="C4" s="225"/>
      <c r="D4" s="226"/>
      <c r="E4" s="73"/>
    </row>
    <row r="5" spans="1:5" ht="12.75" customHeight="1" x14ac:dyDescent="0.2">
      <c r="A5" s="673" t="s">
        <v>778</v>
      </c>
      <c r="B5" s="673"/>
      <c r="C5" s="673"/>
      <c r="D5" s="630" t="s">
        <v>741</v>
      </c>
      <c r="E5" s="630"/>
    </row>
    <row r="6" spans="1:5" x14ac:dyDescent="0.2">
      <c r="A6" s="276"/>
      <c r="B6" s="224"/>
      <c r="C6" s="225"/>
      <c r="D6" s="630" t="s">
        <v>279</v>
      </c>
      <c r="E6" s="630"/>
    </row>
    <row r="7" spans="1:5" s="377" customFormat="1" ht="25.5" x14ac:dyDescent="0.2">
      <c r="A7" s="352"/>
      <c r="B7" s="353" t="s">
        <v>229</v>
      </c>
      <c r="C7" s="354" t="s">
        <v>264</v>
      </c>
      <c r="D7" s="239" t="s">
        <v>232</v>
      </c>
      <c r="E7" s="232" t="s">
        <v>785</v>
      </c>
    </row>
    <row r="8" spans="1:5" x14ac:dyDescent="0.2">
      <c r="A8" s="353" t="s">
        <v>282</v>
      </c>
      <c r="B8" s="353" t="s">
        <v>283</v>
      </c>
      <c r="C8" s="355">
        <v>1</v>
      </c>
      <c r="D8" s="232">
        <v>2</v>
      </c>
      <c r="E8" s="232">
        <v>3</v>
      </c>
    </row>
    <row r="9" spans="1:5" s="378" customFormat="1" ht="25.5" x14ac:dyDescent="0.2">
      <c r="A9" s="356" t="s">
        <v>788</v>
      </c>
      <c r="B9" s="356" t="str">
        <f>"Банкны харилцах, хадгаламж "</f>
        <v xml:space="preserve">Банкны харилцах, хадгаламж </v>
      </c>
      <c r="C9" s="357">
        <f>C10+C11+C12+C13+C14+C16+C17+C18+C19+C20+C21+C22+C23+C24+C25+C26+C27+C28+C29+C15</f>
        <v>0</v>
      </c>
      <c r="D9" s="357">
        <f t="shared" ref="D9:E9" si="0">D10+D11+D12+D13+D14+D16+D17+D18+D19+D20+D21+D22+D23+D24+D25+D26+D27+D28+D29+D15</f>
        <v>0</v>
      </c>
      <c r="E9" s="357">
        <f t="shared" si="0"/>
        <v>0</v>
      </c>
    </row>
    <row r="10" spans="1:5" x14ac:dyDescent="0.2">
      <c r="A10" s="344">
        <v>1.1000000000000001</v>
      </c>
      <c r="B10" s="341" t="str">
        <f>"Хаан банк"</f>
        <v>Хаан банк</v>
      </c>
      <c r="C10" s="66"/>
      <c r="D10" s="258">
        <f>IF(C10&lt;=0.35*(i.04130!$E$46-i.04130!$E$39-i.04130!$E$40),i.04144a!C10,0.35*(i.04130!$E$46-i.04130!$E$39-i.04130!$E$40))</f>
        <v>0</v>
      </c>
      <c r="E10" s="369">
        <f t="shared" ref="E10:E73" si="1">C10-D10</f>
        <v>0</v>
      </c>
    </row>
    <row r="11" spans="1:5" x14ac:dyDescent="0.2">
      <c r="A11" s="344">
        <v>1.2</v>
      </c>
      <c r="B11" s="341" t="str">
        <f>"Голомт банк"</f>
        <v>Голомт банк</v>
      </c>
      <c r="C11" s="66"/>
      <c r="D11" s="258">
        <f>IF(C11&lt;=0.35*(i.04130!$E$46-i.04130!$E$39-i.04130!$E$40),i.04144a!C11,0.35*(i.04130!$E$46-i.04130!$E$39-i.04130!$E$40))</f>
        <v>0</v>
      </c>
      <c r="E11" s="369">
        <f t="shared" si="1"/>
        <v>0</v>
      </c>
    </row>
    <row r="12" spans="1:5" x14ac:dyDescent="0.2">
      <c r="A12" s="344">
        <v>1.3</v>
      </c>
      <c r="B12" s="341" t="str">
        <f>"Худалдаа хөгжлийн банк"</f>
        <v>Худалдаа хөгжлийн банк</v>
      </c>
      <c r="C12" s="66"/>
      <c r="D12" s="258">
        <f>IF(C12&lt;=0.35*(i.04130!$E$46-i.04130!$E$39-i.04130!$E$40),i.04144a!C12,0.35*(i.04130!$E$46-i.04130!$E$39-i.04130!$E$40))</f>
        <v>0</v>
      </c>
      <c r="E12" s="369">
        <f t="shared" si="1"/>
        <v>0</v>
      </c>
    </row>
    <row r="13" spans="1:5" x14ac:dyDescent="0.2">
      <c r="A13" s="344">
        <v>1.4</v>
      </c>
      <c r="B13" s="341" t="str">
        <f>"Төрийн банк"</f>
        <v>Төрийн банк</v>
      </c>
      <c r="C13" s="66"/>
      <c r="D13" s="258">
        <f>IF(C13&lt;=0.35*(i.04130!$E$46-i.04130!$E$39-i.04130!$E$40),i.04144a!C13,0.35*(i.04130!$E$46-i.04130!$E$39-i.04130!$E$40))</f>
        <v>0</v>
      </c>
      <c r="E13" s="369">
        <f t="shared" si="1"/>
        <v>0</v>
      </c>
    </row>
    <row r="14" spans="1:5" x14ac:dyDescent="0.2">
      <c r="A14" s="344">
        <v>1.5</v>
      </c>
      <c r="B14" s="341" t="str">
        <f>"Хас банк"</f>
        <v>Хас банк</v>
      </c>
      <c r="C14" s="66"/>
      <c r="D14" s="258">
        <f>IF(C14&lt;=0.35*(i.04130!$E$46-i.04130!$E$39-i.04130!$E$40),i.04144a!C14,0.35*(i.04130!$E$46-i.04130!$E$39-i.04130!$E$40))</f>
        <v>0</v>
      </c>
      <c r="E14" s="369">
        <f t="shared" si="1"/>
        <v>0</v>
      </c>
    </row>
    <row r="15" spans="1:5" x14ac:dyDescent="0.2">
      <c r="A15" s="344">
        <v>1.6</v>
      </c>
      <c r="B15" s="513" t="s">
        <v>1100</v>
      </c>
      <c r="C15" s="66"/>
      <c r="D15" s="258">
        <f>IF(C15&lt;=0.35*(i.04130!$E$46-i.04130!$E$39-i.04130!$E$40),i.04144a!C15,0.35*(i.04130!$E$46-i.04130!$E$39-i.04130!$E$40))</f>
        <v>0</v>
      </c>
      <c r="E15" s="369">
        <f t="shared" si="1"/>
        <v>0</v>
      </c>
    </row>
    <row r="16" spans="1:5" x14ac:dyDescent="0.2">
      <c r="A16" s="344">
        <v>1.7</v>
      </c>
      <c r="B16" s="341" t="str">
        <f>"Капитал банк"</f>
        <v>Капитал банк</v>
      </c>
      <c r="C16" s="66"/>
      <c r="D16" s="258">
        <f>IF(C16&lt;=0.35*(i.04130!$E$46-i.04130!$E$39-i.04130!$E$40),i.04144a!C16,0.35*(i.04130!$E$46-i.04130!$E$39-i.04130!$E$40))</f>
        <v>0</v>
      </c>
      <c r="E16" s="369">
        <f t="shared" si="1"/>
        <v>0</v>
      </c>
    </row>
    <row r="17" spans="1:5" x14ac:dyDescent="0.2">
      <c r="A17" s="344">
        <v>1.8</v>
      </c>
      <c r="B17" s="341" t="str">
        <f>"Үндэсний хөрөнгө оруулалтын банк"</f>
        <v>Үндэсний хөрөнгө оруулалтын банк</v>
      </c>
      <c r="C17" s="66"/>
      <c r="D17" s="258">
        <f>IF(C17&lt;=0.35*(i.04130!$E$46-i.04130!$E$39-i.04130!$E$40),i.04144a!C17,0.35*(i.04130!$E$46-i.04130!$E$39-i.04130!$E$40))</f>
        <v>0</v>
      </c>
      <c r="E17" s="369">
        <f t="shared" si="1"/>
        <v>0</v>
      </c>
    </row>
    <row r="18" spans="1:5" x14ac:dyDescent="0.2">
      <c r="A18" s="344">
        <v>1.9</v>
      </c>
      <c r="B18" s="341" t="str">
        <f>"Капитрон банк"</f>
        <v>Капитрон банк</v>
      </c>
      <c r="C18" s="66"/>
      <c r="D18" s="258">
        <f>IF(C18&lt;=0.35*(i.04130!$E$46-i.04130!$E$39-i.04130!$E$40),i.04144a!C18,0.35*(i.04130!$E$46-i.04130!$E$39-i.04130!$E$40))</f>
        <v>0</v>
      </c>
      <c r="E18" s="369">
        <f t="shared" si="1"/>
        <v>0</v>
      </c>
    </row>
    <row r="19" spans="1:5" x14ac:dyDescent="0.2">
      <c r="A19" s="340">
        <v>1.1000000000000001</v>
      </c>
      <c r="B19" s="341" t="str">
        <f>"Ариг банк"</f>
        <v>Ариг банк</v>
      </c>
      <c r="C19" s="66"/>
      <c r="D19" s="258">
        <f>IF(C19&lt;=0.35*(i.04130!$E$46-i.04130!$E$39-i.04130!$E$40),i.04144a!C19,0.35*(i.04130!$E$46-i.04130!$E$39-i.04130!$E$40))</f>
        <v>0</v>
      </c>
      <c r="E19" s="369">
        <f t="shared" si="1"/>
        <v>0</v>
      </c>
    </row>
    <row r="20" spans="1:5" x14ac:dyDescent="0.2">
      <c r="A20" s="344">
        <v>1.1100000000000001</v>
      </c>
      <c r="B20" s="341" t="str">
        <f>"Кредит банк"</f>
        <v>Кредит банк</v>
      </c>
      <c r="C20" s="66"/>
      <c r="D20" s="258">
        <f>IF(C20&lt;=0.35*(i.04130!$E$46-i.04130!$E$39-i.04130!$E$40),i.04144a!C20,0.35*(i.04130!$E$46-i.04130!$E$39-i.04130!$E$40))</f>
        <v>0</v>
      </c>
      <c r="E20" s="369">
        <f t="shared" si="1"/>
        <v>0</v>
      </c>
    </row>
    <row r="21" spans="1:5" x14ac:dyDescent="0.2">
      <c r="A21" s="340">
        <v>1.1200000000000001</v>
      </c>
      <c r="B21" s="341" t="str">
        <f>"Тээвэр Хөгжлийн банк"</f>
        <v>Тээвэр Хөгжлийн банк</v>
      </c>
      <c r="C21" s="66"/>
      <c r="D21" s="258">
        <f>IF(C21&lt;=0.35*(i.04130!$E$46-i.04130!$E$39-i.04130!$E$40),i.04144a!C21,0.35*(i.04130!$E$46-i.04130!$E$39-i.04130!$E$40))</f>
        <v>0</v>
      </c>
      <c r="E21" s="369">
        <f t="shared" si="1"/>
        <v>0</v>
      </c>
    </row>
    <row r="22" spans="1:5" x14ac:dyDescent="0.2">
      <c r="A22" s="344">
        <v>1.1299999999999999</v>
      </c>
      <c r="B22" s="341" t="str">
        <f>"Чингис хаан банк"</f>
        <v>Чингис хаан банк</v>
      </c>
      <c r="C22" s="66"/>
      <c r="D22" s="258">
        <f>IF(C22&lt;=0.35*(i.04130!$E$46-i.04130!$E$39-i.04130!$E$40),i.04144a!C22,0.35*(i.04130!$E$46-i.04130!$E$39-i.04130!$E$40))</f>
        <v>0</v>
      </c>
      <c r="E22" s="369">
        <f t="shared" si="1"/>
        <v>0</v>
      </c>
    </row>
    <row r="23" spans="1:5" x14ac:dyDescent="0.2">
      <c r="A23" s="340">
        <v>1.1399999999999999</v>
      </c>
      <c r="B23" s="341" t="str">
        <f>"Богд банк"</f>
        <v>Богд банк</v>
      </c>
      <c r="C23" s="66"/>
      <c r="D23" s="258">
        <f>IF(C23&lt;=0.35*(i.04130!$E$46-i.04130!$E$39-i.04130!$E$40),i.04144a!C23,0.35*(i.04130!$E$46-i.04130!$E$39-i.04130!$E$40))</f>
        <v>0</v>
      </c>
      <c r="E23" s="369">
        <f>C23-D23</f>
        <v>0</v>
      </c>
    </row>
    <row r="24" spans="1:5" x14ac:dyDescent="0.2">
      <c r="A24" s="344">
        <v>1.1499999999999999</v>
      </c>
      <c r="B24" s="67"/>
      <c r="C24" s="66"/>
      <c r="D24" s="258">
        <f>IF(C24&lt;=0.35*(i.04130!$E$46-i.04130!$E$39-i.04130!$E$40),i.04144a!C24,0.35*(i.04130!$E$46-i.04130!$E$39-i.04130!$E$40))</f>
        <v>0</v>
      </c>
      <c r="E24" s="369">
        <f>C24-D24</f>
        <v>0</v>
      </c>
    </row>
    <row r="25" spans="1:5" x14ac:dyDescent="0.2">
      <c r="A25" s="340">
        <v>1.1599999999999999</v>
      </c>
      <c r="B25" s="67"/>
      <c r="C25" s="66"/>
      <c r="D25" s="258">
        <f>IF(C25&lt;=0.35*(i.04130!$E$46-i.04130!$E$39-i.04130!$E$40),i.04144a!C25,0.35*(i.04130!$E$46-i.04130!$E$39-i.04130!$E$40))</f>
        <v>0</v>
      </c>
      <c r="E25" s="369">
        <f t="shared" si="1"/>
        <v>0</v>
      </c>
    </row>
    <row r="26" spans="1:5" x14ac:dyDescent="0.2">
      <c r="A26" s="344">
        <v>1.17</v>
      </c>
      <c r="B26" s="67"/>
      <c r="C26" s="66"/>
      <c r="D26" s="258">
        <f>IF(C26&lt;=0.35*(i.04130!$E$46-i.04130!$E$39-i.04130!$E$40),i.04144a!C26,0.35*(i.04130!$E$46-i.04130!$E$39-i.04130!$E$40))</f>
        <v>0</v>
      </c>
      <c r="E26" s="369">
        <f t="shared" si="1"/>
        <v>0</v>
      </c>
    </row>
    <row r="27" spans="1:5" x14ac:dyDescent="0.2">
      <c r="A27" s="340">
        <v>1.18</v>
      </c>
      <c r="B27" s="67"/>
      <c r="C27" s="66"/>
      <c r="D27" s="258">
        <f>IF(C27&lt;=0.35*(i.04130!$E$46-i.04130!$E$39-i.04130!$E$40),i.04144a!C27,0.35*(i.04130!$E$46-i.04130!$E$39-i.04130!$E$40))</f>
        <v>0</v>
      </c>
      <c r="E27" s="369">
        <f t="shared" si="1"/>
        <v>0</v>
      </c>
    </row>
    <row r="28" spans="1:5" x14ac:dyDescent="0.2">
      <c r="A28" s="344">
        <v>1.19</v>
      </c>
      <c r="B28" s="67"/>
      <c r="C28" s="66"/>
      <c r="D28" s="258">
        <f>IF(C28&lt;=0.35*(i.04130!$E$46-i.04130!$E$39-i.04130!$E$40),i.04144a!C28,0.35*(i.04130!$E$46-i.04130!$E$39-i.04130!$E$40))</f>
        <v>0</v>
      </c>
      <c r="E28" s="369">
        <f t="shared" si="1"/>
        <v>0</v>
      </c>
    </row>
    <row r="29" spans="1:5" x14ac:dyDescent="0.2">
      <c r="A29" s="340">
        <v>1.2</v>
      </c>
      <c r="B29" s="67"/>
      <c r="C29" s="66"/>
      <c r="D29" s="258">
        <f>IF(C29&lt;=0.35*(i.04130!$E$46-i.04130!$E$39-i.04130!$E$40),i.04144a!C29,0.35*(i.04130!$E$46-i.04130!$E$39-i.04130!$E$40))</f>
        <v>0</v>
      </c>
      <c r="E29" s="369">
        <f t="shared" si="1"/>
        <v>0</v>
      </c>
    </row>
    <row r="30" spans="1:5" s="363" customFormat="1" ht="38.25" x14ac:dyDescent="0.2">
      <c r="A30" s="331" t="s">
        <v>790</v>
      </c>
      <c r="B30" s="345" t="str">
        <f>"Гадаадын банкин дахь харилцах, хадгаламж, хадгаламжийн сертификат /Хамгийн өндөр дүнтэйгээс эхлэн бичих/ "</f>
        <v xml:space="preserve">Гадаадын банкин дахь харилцах, хадгаламж, хадгаламжийн сертификат /Хамгийн өндөр дүнтэйгээс эхлэн бичих/ </v>
      </c>
      <c r="C30" s="346">
        <f>C31+C32+C33+C34+C35+C36+C37+C38+C39+C40+C41</f>
        <v>0</v>
      </c>
      <c r="D30" s="347">
        <f>D31+D32+D33+D34+D35+D36+D37+D38+D39+D40+D41</f>
        <v>0</v>
      </c>
      <c r="E30" s="362">
        <f t="shared" si="1"/>
        <v>0</v>
      </c>
    </row>
    <row r="31" spans="1:5" x14ac:dyDescent="0.2">
      <c r="A31" s="344">
        <v>2.1</v>
      </c>
      <c r="B31" s="213"/>
      <c r="C31" s="68"/>
      <c r="D31" s="368">
        <f>IF(C31&lt;=0.01*(i.04130!$E$46-i.04130!$E$40-i.04130!$E$39),i.04144a!C31,0.01*(i.04130!$E$46-i.04130!$E$40-i.04130!$E$39))</f>
        <v>0</v>
      </c>
      <c r="E31" s="369">
        <f t="shared" si="1"/>
        <v>0</v>
      </c>
    </row>
    <row r="32" spans="1:5" x14ac:dyDescent="0.2">
      <c r="A32" s="344">
        <v>2.2000000000000002</v>
      </c>
      <c r="B32" s="213"/>
      <c r="C32" s="68"/>
      <c r="D32" s="368">
        <f>IF(C32&lt;=0.01*(i.04130!$E$46-i.04130!$E$40-i.04130!$E$39),i.04144a!C32,0.01*(i.04130!$E$46-i.04130!$E$40-i.04130!$E$39))</f>
        <v>0</v>
      </c>
      <c r="E32" s="369">
        <f t="shared" si="1"/>
        <v>0</v>
      </c>
    </row>
    <row r="33" spans="1:5" x14ac:dyDescent="0.2">
      <c r="A33" s="344">
        <v>2.2999999999999998</v>
      </c>
      <c r="B33" s="213"/>
      <c r="C33" s="68"/>
      <c r="D33" s="368">
        <f>IF(C33&lt;=0.01*(i.04130!$E$46-i.04130!$E$40-i.04130!$E$39),i.04144a!C33,0.01*(i.04130!$E$46-i.04130!$E$40-i.04130!$E$39))</f>
        <v>0</v>
      </c>
      <c r="E33" s="369">
        <f t="shared" si="1"/>
        <v>0</v>
      </c>
    </row>
    <row r="34" spans="1:5" x14ac:dyDescent="0.2">
      <c r="A34" s="344">
        <v>2.4</v>
      </c>
      <c r="B34" s="213"/>
      <c r="C34" s="68"/>
      <c r="D34" s="368">
        <f>IF(C34&lt;=0.01*(i.04130!$E$46-i.04130!$E$40-i.04130!$E$39),i.04144a!C34,0.01*(i.04130!$E$46-i.04130!$E$40-i.04130!$E$39))</f>
        <v>0</v>
      </c>
      <c r="E34" s="369">
        <f t="shared" si="1"/>
        <v>0</v>
      </c>
    </row>
    <row r="35" spans="1:5" x14ac:dyDescent="0.2">
      <c r="A35" s="344">
        <v>2.5</v>
      </c>
      <c r="B35" s="213"/>
      <c r="C35" s="68"/>
      <c r="D35" s="368">
        <f>IF(C35&lt;=0.01*(i.04130!$E$46-i.04130!$E$40-i.04130!$E$39),i.04144a!C35,0.01*(i.04130!$E$46-i.04130!$E$40-i.04130!$E$39))</f>
        <v>0</v>
      </c>
      <c r="E35" s="369">
        <f t="shared" si="1"/>
        <v>0</v>
      </c>
    </row>
    <row r="36" spans="1:5" x14ac:dyDescent="0.2">
      <c r="A36" s="344">
        <v>2.6</v>
      </c>
      <c r="B36" s="213"/>
      <c r="C36" s="68"/>
      <c r="D36" s="368">
        <f>IF(C36&lt;=0.01*(i.04130!$E$46-i.04130!$E$40-i.04130!$E$39),i.04144a!C36,0.01*(i.04130!$E$46-i.04130!$E$40-i.04130!$E$39))</f>
        <v>0</v>
      </c>
      <c r="E36" s="369">
        <f t="shared" si="1"/>
        <v>0</v>
      </c>
    </row>
    <row r="37" spans="1:5" x14ac:dyDescent="0.2">
      <c r="A37" s="344">
        <v>2.7</v>
      </c>
      <c r="B37" s="213"/>
      <c r="C37" s="68"/>
      <c r="D37" s="368">
        <f>IF(C37&lt;=0.01*(i.04130!$E$46-i.04130!$E$40-i.04130!$E$39),i.04144a!C37,0.01*(i.04130!$E$46-i.04130!$E$40-i.04130!$E$39))</f>
        <v>0</v>
      </c>
      <c r="E37" s="369">
        <f t="shared" si="1"/>
        <v>0</v>
      </c>
    </row>
    <row r="38" spans="1:5" x14ac:dyDescent="0.2">
      <c r="A38" s="344">
        <v>2.8</v>
      </c>
      <c r="B38" s="213"/>
      <c r="C38" s="68"/>
      <c r="D38" s="368">
        <f>IF(C38&lt;=0.01*(i.04130!$E$46-i.04130!$E$40-i.04130!$E$39),i.04144a!C38,0.01*(i.04130!$E$46-i.04130!$E$40-i.04130!$E$39))</f>
        <v>0</v>
      </c>
      <c r="E38" s="369">
        <f t="shared" si="1"/>
        <v>0</v>
      </c>
    </row>
    <row r="39" spans="1:5" x14ac:dyDescent="0.2">
      <c r="A39" s="344">
        <v>2.9</v>
      </c>
      <c r="B39" s="213"/>
      <c r="C39" s="68"/>
      <c r="D39" s="368">
        <f>IF(C39&lt;=0.01*(i.04130!$E$46-i.04130!$E$40-i.04130!$E$39),i.04144a!C39,0.01*(i.04130!$E$46-i.04130!$E$40-i.04130!$E$39))</f>
        <v>0</v>
      </c>
      <c r="E39" s="369">
        <f t="shared" si="1"/>
        <v>0</v>
      </c>
    </row>
    <row r="40" spans="1:5" x14ac:dyDescent="0.2">
      <c r="A40" s="340">
        <v>2.1</v>
      </c>
      <c r="B40" s="213"/>
      <c r="C40" s="68"/>
      <c r="D40" s="368">
        <f>IF(C40&lt;=0.01*(i.04130!$E$46-i.04130!$E$40-i.04130!$E$39),i.04144a!C40,0.01*(i.04130!$E$46-i.04130!$E$40-i.04130!$E$39))</f>
        <v>0</v>
      </c>
      <c r="E40" s="369">
        <f t="shared" si="1"/>
        <v>0</v>
      </c>
    </row>
    <row r="41" spans="1:5" x14ac:dyDescent="0.2">
      <c r="A41" s="344">
        <v>2.11</v>
      </c>
      <c r="B41" s="370" t="str">
        <f>"Бусад  "</f>
        <v xml:space="preserve">Бусад  </v>
      </c>
      <c r="C41" s="68"/>
      <c r="D41" s="368">
        <f>IF(C41&lt;=0.01*(i.04130!$E$46-i.04130!$E$40-i.04130!$E$39),i.04144a!C41,0.01*(i.04130!$E$46-i.04130!$E$40-i.04130!$E$39))</f>
        <v>0</v>
      </c>
      <c r="E41" s="369">
        <f t="shared" si="1"/>
        <v>0</v>
      </c>
    </row>
    <row r="42" spans="1:5" s="363" customFormat="1" ht="38.25" customHeight="1" x14ac:dyDescent="0.2">
      <c r="A42" s="331" t="s">
        <v>791</v>
      </c>
      <c r="B42" s="332" t="str">
        <f>"Дотоодын банк бус санхүүгийн байгууллагад итгэлцлээр байршуулсан мөнгөн хөрөнгө /Хамгийн өндөр дүнтэйгээс эхлэн бичих/  "</f>
        <v xml:space="preserve">Дотоодын банк бус санхүүгийн байгууллагад итгэлцлээр байршуулсан мөнгөн хөрөнгө /Хамгийн өндөр дүнтэйгээс эхлэн бичих/  </v>
      </c>
      <c r="C42" s="333">
        <f>C43+C44+C45+C46+C47+C48+C49+C50+C51+C52+C53</f>
        <v>0</v>
      </c>
      <c r="D42" s="347">
        <f>D43+D44+D45+D46+D47+D48+D49+D50+D51+D52+D53</f>
        <v>0</v>
      </c>
      <c r="E42" s="362">
        <f t="shared" si="1"/>
        <v>0</v>
      </c>
    </row>
    <row r="43" spans="1:5" x14ac:dyDescent="0.2">
      <c r="A43" s="344">
        <v>3.1</v>
      </c>
      <c r="B43" s="214"/>
      <c r="C43" s="215"/>
      <c r="D43" s="368">
        <f>IF(C43&lt;=0.05*(i.04130!$E$46-i.04130!$E$40-i.04130!$E$39),C43,0.05*(i.04130!$E$46-i.04130!$E$40-i.04130!$E$39))</f>
        <v>0</v>
      </c>
      <c r="E43" s="369">
        <f t="shared" si="1"/>
        <v>0</v>
      </c>
    </row>
    <row r="44" spans="1:5" x14ac:dyDescent="0.2">
      <c r="A44" s="344">
        <v>3.2</v>
      </c>
      <c r="B44" s="214"/>
      <c r="C44" s="215"/>
      <c r="D44" s="368">
        <f>IF(C44&lt;=0.05*(i.04130!$E$46-i.04130!$E$40-i.04130!$E$39),C44,0.05*(i.04130!$E$46-i.04130!$E$40-i.04130!$E$39))</f>
        <v>0</v>
      </c>
      <c r="E44" s="369">
        <f t="shared" si="1"/>
        <v>0</v>
      </c>
    </row>
    <row r="45" spans="1:5" x14ac:dyDescent="0.2">
      <c r="A45" s="344">
        <v>3.3</v>
      </c>
      <c r="B45" s="214"/>
      <c r="C45" s="215"/>
      <c r="D45" s="368">
        <f>IF(C45&lt;=0.05*(i.04130!$E$46-i.04130!$E$40-i.04130!$E$39),C45,0.05*(i.04130!$E$46-i.04130!$E$40-i.04130!$E$39))</f>
        <v>0</v>
      </c>
      <c r="E45" s="369">
        <f t="shared" si="1"/>
        <v>0</v>
      </c>
    </row>
    <row r="46" spans="1:5" x14ac:dyDescent="0.2">
      <c r="A46" s="344">
        <v>3.4</v>
      </c>
      <c r="B46" s="214"/>
      <c r="C46" s="215"/>
      <c r="D46" s="368">
        <f>IF(C46&lt;=0.05*(i.04130!$E$46-i.04130!$E$40-i.04130!$E$39),C46,0.05*(i.04130!$E$46-i.04130!$E$40-i.04130!$E$39))</f>
        <v>0</v>
      </c>
      <c r="E46" s="369">
        <f t="shared" si="1"/>
        <v>0</v>
      </c>
    </row>
    <row r="47" spans="1:5" x14ac:dyDescent="0.2">
      <c r="A47" s="344">
        <v>3.5</v>
      </c>
      <c r="B47" s="214"/>
      <c r="C47" s="215"/>
      <c r="D47" s="368">
        <f>IF(C47&lt;=0.05*(i.04130!$E$46-i.04130!$E$40-i.04130!$E$39),C47,0.05*(i.04130!$E$46-i.04130!$E$40-i.04130!$E$39))</f>
        <v>0</v>
      </c>
      <c r="E47" s="369">
        <f t="shared" si="1"/>
        <v>0</v>
      </c>
    </row>
    <row r="48" spans="1:5" x14ac:dyDescent="0.2">
      <c r="A48" s="344">
        <v>3.6</v>
      </c>
      <c r="B48" s="214"/>
      <c r="C48" s="215"/>
      <c r="D48" s="368">
        <f>IF(C48&lt;=0.05*(i.04130!$E$46-i.04130!$E$40-i.04130!$E$39),C48,0.05*(i.04130!$E$46-i.04130!$E$40-i.04130!$E$39))</f>
        <v>0</v>
      </c>
      <c r="E48" s="369">
        <f t="shared" si="1"/>
        <v>0</v>
      </c>
    </row>
    <row r="49" spans="1:5" x14ac:dyDescent="0.2">
      <c r="A49" s="344">
        <v>3.7</v>
      </c>
      <c r="B49" s="214"/>
      <c r="C49" s="215"/>
      <c r="D49" s="368">
        <f>IF(C49&lt;=0.05*(i.04130!$E$46-i.04130!$E$40-i.04130!$E$39),C49,0.05*(i.04130!$E$46-i.04130!$E$40-i.04130!$E$39))</f>
        <v>0</v>
      </c>
      <c r="E49" s="369">
        <f t="shared" si="1"/>
        <v>0</v>
      </c>
    </row>
    <row r="50" spans="1:5" x14ac:dyDescent="0.2">
      <c r="A50" s="344">
        <v>3.8</v>
      </c>
      <c r="B50" s="214"/>
      <c r="C50" s="215"/>
      <c r="D50" s="368">
        <f>IF(C50&lt;=0.05*(i.04130!$E$46-i.04130!$E$40-i.04130!$E$39),C50,0.05*(i.04130!$E$46-i.04130!$E$40-i.04130!$E$39))</f>
        <v>0</v>
      </c>
      <c r="E50" s="369">
        <f t="shared" si="1"/>
        <v>0</v>
      </c>
    </row>
    <row r="51" spans="1:5" x14ac:dyDescent="0.2">
      <c r="A51" s="344">
        <v>3.9</v>
      </c>
      <c r="B51" s="214"/>
      <c r="C51" s="215"/>
      <c r="D51" s="368">
        <f>IF(C51&lt;=0.05*(i.04130!$E$46-i.04130!$E$40-i.04130!$E$39),C51,0.05*(i.04130!$E$46-i.04130!$E$40-i.04130!$E$39))</f>
        <v>0</v>
      </c>
      <c r="E51" s="369">
        <f t="shared" si="1"/>
        <v>0</v>
      </c>
    </row>
    <row r="52" spans="1:5" x14ac:dyDescent="0.2">
      <c r="A52" s="340">
        <v>3.1</v>
      </c>
      <c r="B52" s="214"/>
      <c r="C52" s="215"/>
      <c r="D52" s="368">
        <f>IF(C52&lt;=0.05*(i.04130!$E$46-i.04130!$E$40-i.04130!$E$39),C52,0.05*(i.04130!$E$46-i.04130!$E$40-i.04130!$E$39))</f>
        <v>0</v>
      </c>
      <c r="E52" s="369">
        <f t="shared" si="1"/>
        <v>0</v>
      </c>
    </row>
    <row r="53" spans="1:5" x14ac:dyDescent="0.2">
      <c r="A53" s="344">
        <v>3.11</v>
      </c>
      <c r="B53" s="376" t="str">
        <f>"Бусад  "</f>
        <v xml:space="preserve">Бусад  </v>
      </c>
      <c r="C53" s="215"/>
      <c r="D53" s="368">
        <f>IF(C53&lt;=0.05*(i.04130!$E$46-i.04130!$E$40-i.04130!$E$39),C53,0.05*(i.04130!$E$46-i.04130!$E$40-i.04130!$E$39))</f>
        <v>0</v>
      </c>
      <c r="E53" s="369">
        <f t="shared" si="1"/>
        <v>0</v>
      </c>
    </row>
    <row r="54" spans="1:5" s="363" customFormat="1" ht="14.25" customHeight="1" x14ac:dyDescent="0.2">
      <c r="A54" s="367" t="s">
        <v>792</v>
      </c>
      <c r="B54" s="360" t="str">
        <f>"Бэлэн мөнгө  "</f>
        <v xml:space="preserve">Бэлэн мөнгө  </v>
      </c>
      <c r="C54" s="359"/>
      <c r="D54" s="347">
        <f>IF(C54&lt;=0.02*(i.04130!$E$46-i.04130!$E$40-i.04130!$E$39),C54,0.02*(i.04130!$E$46-i.04130!$E$40-i.04130!$E$39))</f>
        <v>0</v>
      </c>
      <c r="E54" s="362">
        <f t="shared" si="1"/>
        <v>0</v>
      </c>
    </row>
    <row r="55" spans="1:5" s="363" customFormat="1" ht="27.75" customHeight="1" x14ac:dyDescent="0.2">
      <c r="A55" s="360" t="s">
        <v>793</v>
      </c>
      <c r="B55" s="360" t="str">
        <f>"Хэвийн авлага /Хамгийн өндөр дүнтэйгээс эхлэн бичих/  "</f>
        <v xml:space="preserve">Хэвийн авлага /Хамгийн өндөр дүнтэйгээс эхлэн бичих/  </v>
      </c>
      <c r="C55" s="361">
        <f>C56+C57+C58+C59+C60+C61</f>
        <v>0</v>
      </c>
      <c r="D55" s="347">
        <f>D56+D57+D58+D59+D60+D61</f>
        <v>0</v>
      </c>
      <c r="E55" s="362">
        <f t="shared" si="1"/>
        <v>0</v>
      </c>
    </row>
    <row r="56" spans="1:5" x14ac:dyDescent="0.2">
      <c r="A56" s="372" t="s">
        <v>794</v>
      </c>
      <c r="B56" s="216"/>
      <c r="C56" s="217"/>
      <c r="D56" s="368">
        <f>IF(C56&lt;=0.2*(i.04130!$E$46-i.04130!$E$40-i.04130!$E$39),C56,0.2*(i.04130!$E$46-i.04130!$E$40-i.04130!$E$39))</f>
        <v>0</v>
      </c>
      <c r="E56" s="369">
        <f t="shared" si="1"/>
        <v>0</v>
      </c>
    </row>
    <row r="57" spans="1:5" x14ac:dyDescent="0.2">
      <c r="A57" s="372" t="s">
        <v>795</v>
      </c>
      <c r="B57" s="216"/>
      <c r="C57" s="217"/>
      <c r="D57" s="368">
        <f>IF(C57&lt;=0.2*(i.04130!$E$46-i.04130!$E$40-i.04130!$E$39),C57,0.2*(i.04130!$E$46-i.04130!$E$40-i.04130!$E$39))</f>
        <v>0</v>
      </c>
      <c r="E57" s="369">
        <f t="shared" si="1"/>
        <v>0</v>
      </c>
    </row>
    <row r="58" spans="1:5" x14ac:dyDescent="0.2">
      <c r="A58" s="372" t="s">
        <v>796</v>
      </c>
      <c r="B58" s="216"/>
      <c r="C58" s="217"/>
      <c r="D58" s="368">
        <f>IF(C58&lt;=0.2*(i.04130!$E$46-i.04130!$E$40-i.04130!$E$39),C58,0.2*(i.04130!$E$46-i.04130!$E$40-i.04130!$E$39))</f>
        <v>0</v>
      </c>
      <c r="E58" s="369">
        <f t="shared" si="1"/>
        <v>0</v>
      </c>
    </row>
    <row r="59" spans="1:5" x14ac:dyDescent="0.2">
      <c r="A59" s="372" t="s">
        <v>797</v>
      </c>
      <c r="B59" s="216"/>
      <c r="C59" s="217"/>
      <c r="D59" s="368">
        <f>IF(C59&lt;=0.2*(i.04130!$E$46-i.04130!$E$40-i.04130!$E$39),C59,0.2*(i.04130!$E$46-i.04130!$E$40-i.04130!$E$39))</f>
        <v>0</v>
      </c>
      <c r="E59" s="369">
        <f t="shared" si="1"/>
        <v>0</v>
      </c>
    </row>
    <row r="60" spans="1:5" x14ac:dyDescent="0.2">
      <c r="A60" s="372" t="s">
        <v>798</v>
      </c>
      <c r="B60" s="216"/>
      <c r="C60" s="217"/>
      <c r="D60" s="368">
        <f>IF(C60&lt;=0.2*(i.04130!$E$46-i.04130!$E$40-i.04130!$E$39),C60,0.2*(i.04130!$E$46-i.04130!$E$40-i.04130!$E$39))</f>
        <v>0</v>
      </c>
      <c r="E60" s="369">
        <f t="shared" si="1"/>
        <v>0</v>
      </c>
    </row>
    <row r="61" spans="1:5" x14ac:dyDescent="0.2">
      <c r="A61" s="372" t="s">
        <v>799</v>
      </c>
      <c r="B61" s="372" t="str">
        <f>"Бусад  "</f>
        <v xml:space="preserve">Бусад  </v>
      </c>
      <c r="C61" s="217"/>
      <c r="D61" s="368">
        <f>IF(C61&lt;=0.2*(i.04130!$E$46-i.04130!$E$40-i.04130!$E$39),C61,0.2*(i.04130!$E$46-i.04130!$E$40-i.04130!$E$39))</f>
        <v>0</v>
      </c>
      <c r="E61" s="369">
        <f t="shared" si="1"/>
        <v>0</v>
      </c>
    </row>
    <row r="62" spans="1:5" s="363" customFormat="1" ht="25.5" x14ac:dyDescent="0.2">
      <c r="A62" s="360">
        <v>5.2</v>
      </c>
      <c r="B62" s="360" t="str">
        <f>"Хугацаа хэтэрсэн авлага /Хамгийн өндөр дүнтэйгээс эхлэн бичих/  "</f>
        <v xml:space="preserve">Хугацаа хэтэрсэн авлага /Хамгийн өндөр дүнтэйгээс эхлэн бичих/  </v>
      </c>
      <c r="C62" s="361">
        <f>C63+C64+C65+C66+C67+C68</f>
        <v>0</v>
      </c>
      <c r="D62" s="347">
        <f>D63+D64+D65+D66+D67+D68</f>
        <v>0</v>
      </c>
      <c r="E62" s="362">
        <f t="shared" si="1"/>
        <v>0</v>
      </c>
    </row>
    <row r="63" spans="1:5" x14ac:dyDescent="0.2">
      <c r="A63" s="372" t="s">
        <v>800</v>
      </c>
      <c r="B63" s="216"/>
      <c r="C63" s="217"/>
      <c r="D63" s="368">
        <f>IF(C63&lt;=0.15*(i.04130!$E$46-i.04130!$E$40-i.04130!$E$39),C63,0.15*(i.04130!$E$46-i.04130!$E$40-i.04130!$E$39))</f>
        <v>0</v>
      </c>
      <c r="E63" s="369">
        <f t="shared" si="1"/>
        <v>0</v>
      </c>
    </row>
    <row r="64" spans="1:5" x14ac:dyDescent="0.2">
      <c r="A64" s="372" t="s">
        <v>801</v>
      </c>
      <c r="B64" s="216"/>
      <c r="C64" s="217"/>
      <c r="D64" s="368">
        <f>IF(C64&lt;=0.15*(i.04130!$E$46-i.04130!$E$40-i.04130!$E$39),C64,0.15*(i.04130!$E$46-i.04130!$E$40-i.04130!$E$39))</f>
        <v>0</v>
      </c>
      <c r="E64" s="369">
        <f t="shared" si="1"/>
        <v>0</v>
      </c>
    </row>
    <row r="65" spans="1:5" x14ac:dyDescent="0.2">
      <c r="A65" s="372" t="s">
        <v>802</v>
      </c>
      <c r="B65" s="216"/>
      <c r="C65" s="217"/>
      <c r="D65" s="368">
        <f>IF(C65&lt;=0.15*(i.04130!$E$46-i.04130!$E$40-i.04130!$E$39),C65,0.15*(i.04130!$E$46-i.04130!$E$40-i.04130!$E$39))</f>
        <v>0</v>
      </c>
      <c r="E65" s="369">
        <f t="shared" si="1"/>
        <v>0</v>
      </c>
    </row>
    <row r="66" spans="1:5" x14ac:dyDescent="0.2">
      <c r="A66" s="372" t="s">
        <v>803</v>
      </c>
      <c r="B66" s="216"/>
      <c r="C66" s="217"/>
      <c r="D66" s="368">
        <f>IF(C66&lt;=0.15*(i.04130!$E$46-i.04130!$E$40-i.04130!$E$39),C66,0.15*(i.04130!$E$46-i.04130!$E$40-i.04130!$E$39))</f>
        <v>0</v>
      </c>
      <c r="E66" s="369">
        <f t="shared" si="1"/>
        <v>0</v>
      </c>
    </row>
    <row r="67" spans="1:5" x14ac:dyDescent="0.2">
      <c r="A67" s="372" t="s">
        <v>804</v>
      </c>
      <c r="B67" s="216"/>
      <c r="C67" s="217"/>
      <c r="D67" s="368">
        <f>IF(C67&lt;=0.15*(i.04130!$E$46-i.04130!$E$40-i.04130!$E$39),C67,0.15*(i.04130!$E$46-i.04130!$E$40-i.04130!$E$39))</f>
        <v>0</v>
      </c>
      <c r="E67" s="369">
        <f t="shared" si="1"/>
        <v>0</v>
      </c>
    </row>
    <row r="68" spans="1:5" x14ac:dyDescent="0.2">
      <c r="A68" s="372" t="s">
        <v>805</v>
      </c>
      <c r="B68" s="372" t="str">
        <f>"Бусад  "</f>
        <v xml:space="preserve">Бусад  </v>
      </c>
      <c r="C68" s="217"/>
      <c r="D68" s="368">
        <f>IF(C68&lt;=0.15*(i.04130!$E$46-i.04130!$E$40-i.04130!$E$39),C68,0.15*(i.04130!$E$46-i.04130!$E$40-i.04130!$E$39))</f>
        <v>0</v>
      </c>
      <c r="E68" s="369">
        <f t="shared" si="1"/>
        <v>0</v>
      </c>
    </row>
    <row r="69" spans="1:5" s="363" customFormat="1" ht="25.5" x14ac:dyDescent="0.2">
      <c r="A69" s="360">
        <v>5.3</v>
      </c>
      <c r="B69" s="360" t="str">
        <f>"Хэвийн бус авлага /Хамгийн өндөр дүнтэйгээс эхлэн бичих/  "</f>
        <v xml:space="preserve">Хэвийн бус авлага /Хамгийн өндөр дүнтэйгээс эхлэн бичих/  </v>
      </c>
      <c r="C69" s="361">
        <f>C70+C71+C72+C73+C74+C75</f>
        <v>0</v>
      </c>
      <c r="D69" s="347">
        <f>D70+D71+D72+D73+D74+D75</f>
        <v>0</v>
      </c>
      <c r="E69" s="362">
        <f t="shared" si="1"/>
        <v>0</v>
      </c>
    </row>
    <row r="70" spans="1:5" x14ac:dyDescent="0.2">
      <c r="A70" s="372" t="s">
        <v>806</v>
      </c>
      <c r="B70" s="216"/>
      <c r="C70" s="217"/>
      <c r="D70" s="368">
        <f>IF(C70&lt;=0.1*(i.04130!$E$46-i.04130!$E$40-i.04130!$E$39),C70,0.1*(i.04130!$E$46-i.04130!$E$40-i.04130!$E$39))</f>
        <v>0</v>
      </c>
      <c r="E70" s="369">
        <f t="shared" si="1"/>
        <v>0</v>
      </c>
    </row>
    <row r="71" spans="1:5" x14ac:dyDescent="0.2">
      <c r="A71" s="372" t="s">
        <v>807</v>
      </c>
      <c r="B71" s="216"/>
      <c r="C71" s="217"/>
      <c r="D71" s="368">
        <f>IF(C71&lt;=0.1*(i.04130!$E$46-i.04130!$E$40-i.04130!$E$39),C71,0.1*(i.04130!$E$46-i.04130!$E$40-i.04130!$E$39))</f>
        <v>0</v>
      </c>
      <c r="E71" s="369">
        <f t="shared" si="1"/>
        <v>0</v>
      </c>
    </row>
    <row r="72" spans="1:5" x14ac:dyDescent="0.2">
      <c r="A72" s="372" t="s">
        <v>808</v>
      </c>
      <c r="B72" s="216"/>
      <c r="C72" s="217"/>
      <c r="D72" s="368">
        <f>IF(C72&lt;=0.1*(i.04130!$E$46-i.04130!$E$40-i.04130!$E$39),C72,0.1*(i.04130!$E$46-i.04130!$E$40-i.04130!$E$39))</f>
        <v>0</v>
      </c>
      <c r="E72" s="369">
        <f t="shared" si="1"/>
        <v>0</v>
      </c>
    </row>
    <row r="73" spans="1:5" x14ac:dyDescent="0.2">
      <c r="A73" s="372" t="s">
        <v>809</v>
      </c>
      <c r="B73" s="216"/>
      <c r="C73" s="217"/>
      <c r="D73" s="368">
        <f>IF(C73&lt;=0.1*(i.04130!$E$46-i.04130!$E$40-i.04130!$E$39),C73,0.1*(i.04130!$E$46-i.04130!$E$40-i.04130!$E$39))</f>
        <v>0</v>
      </c>
      <c r="E73" s="369">
        <f t="shared" si="1"/>
        <v>0</v>
      </c>
    </row>
    <row r="74" spans="1:5" x14ac:dyDescent="0.2">
      <c r="A74" s="372" t="s">
        <v>810</v>
      </c>
      <c r="B74" s="216"/>
      <c r="C74" s="217"/>
      <c r="D74" s="368">
        <f>IF(C74&lt;=0.1*(i.04130!$E$46-i.04130!$E$40-i.04130!$E$39),C74,0.1*(i.04130!$E$46-i.04130!$E$40-i.04130!$E$39))</f>
        <v>0</v>
      </c>
      <c r="E74" s="369">
        <f t="shared" ref="E74:E137" si="2">C74-D74</f>
        <v>0</v>
      </c>
    </row>
    <row r="75" spans="1:5" x14ac:dyDescent="0.2">
      <c r="A75" s="372" t="s">
        <v>811</v>
      </c>
      <c r="B75" s="372" t="str">
        <f>"Бусад  "</f>
        <v xml:space="preserve">Бусад  </v>
      </c>
      <c r="C75" s="217"/>
      <c r="D75" s="368">
        <f>IF(C75&lt;=0.1*(i.04130!$E$46-i.04130!$E$40-i.04130!$E$39),C75,0.1*(i.04130!$E$46-i.04130!$E$40-i.04130!$E$39))</f>
        <v>0</v>
      </c>
      <c r="E75" s="369">
        <f t="shared" si="2"/>
        <v>0</v>
      </c>
    </row>
    <row r="76" spans="1:5" s="363" customFormat="1" ht="25.5" x14ac:dyDescent="0.2">
      <c r="A76" s="360">
        <v>5.4</v>
      </c>
      <c r="B76" s="360" t="str">
        <f>"Эргэлзээтэй авлага /Хамгийн өндөр дүнтэйгээс эхлэн бичих/  "</f>
        <v xml:space="preserve">Эргэлзээтэй авлага /Хамгийн өндөр дүнтэйгээс эхлэн бичих/  </v>
      </c>
      <c r="C76" s="361">
        <f>C77+C78+C79+C80+C81+C82</f>
        <v>0</v>
      </c>
      <c r="D76" s="347">
        <f>D77+D78+D79+D80+D81+D82</f>
        <v>0</v>
      </c>
      <c r="E76" s="362">
        <f t="shared" si="2"/>
        <v>0</v>
      </c>
    </row>
    <row r="77" spans="1:5" x14ac:dyDescent="0.2">
      <c r="A77" s="372" t="s">
        <v>812</v>
      </c>
      <c r="B77" s="216"/>
      <c r="C77" s="217"/>
      <c r="D77" s="368">
        <f>IF(C77&lt;=0*(i.04130!$E$46-i.04130!$E$40-i.04130!$E$39),C77,0*(i.04130!$E$46-i.04130!$E$40-i.04130!$E$39))</f>
        <v>0</v>
      </c>
      <c r="E77" s="369">
        <f t="shared" si="2"/>
        <v>0</v>
      </c>
    </row>
    <row r="78" spans="1:5" x14ac:dyDescent="0.2">
      <c r="A78" s="372" t="s">
        <v>813</v>
      </c>
      <c r="B78" s="216"/>
      <c r="C78" s="217"/>
      <c r="D78" s="368">
        <f>IF(C78&lt;=0*(i.04130!$E$46-i.04130!$E$40-i.04130!$E$39),C78,0*(i.04130!$E$46-i.04130!$E$40-i.04130!$E$39))</f>
        <v>0</v>
      </c>
      <c r="E78" s="369">
        <f t="shared" si="2"/>
        <v>0</v>
      </c>
    </row>
    <row r="79" spans="1:5" x14ac:dyDescent="0.2">
      <c r="A79" s="372" t="s">
        <v>814</v>
      </c>
      <c r="B79" s="216"/>
      <c r="C79" s="217"/>
      <c r="D79" s="368">
        <f>IF(C79&lt;=0*(i.04130!$E$46-i.04130!$E$40-i.04130!$E$39),C79,0*(i.04130!$E$46-i.04130!$E$40-i.04130!$E$39))</f>
        <v>0</v>
      </c>
      <c r="E79" s="369">
        <f t="shared" si="2"/>
        <v>0</v>
      </c>
    </row>
    <row r="80" spans="1:5" x14ac:dyDescent="0.2">
      <c r="A80" s="372" t="s">
        <v>815</v>
      </c>
      <c r="B80" s="216"/>
      <c r="C80" s="217"/>
      <c r="D80" s="368">
        <f>IF(C80&lt;=0*(i.04130!$E$46-i.04130!$E$40-i.04130!$E$39),C80,0*(i.04130!$E$46-i.04130!$E$40-i.04130!$E$39))</f>
        <v>0</v>
      </c>
      <c r="E80" s="369">
        <f t="shared" si="2"/>
        <v>0</v>
      </c>
    </row>
    <row r="81" spans="1:5" x14ac:dyDescent="0.2">
      <c r="A81" s="372" t="s">
        <v>816</v>
      </c>
      <c r="B81" s="216"/>
      <c r="C81" s="217"/>
      <c r="D81" s="368">
        <f>IF(C81&lt;=0*(i.04130!$E$46-i.04130!$E$40-i.04130!$E$39),C81,0*(i.04130!$E$46-i.04130!$E$40-i.04130!$E$39))</f>
        <v>0</v>
      </c>
      <c r="E81" s="369">
        <f t="shared" si="2"/>
        <v>0</v>
      </c>
    </row>
    <row r="82" spans="1:5" x14ac:dyDescent="0.2">
      <c r="A82" s="372" t="s">
        <v>817</v>
      </c>
      <c r="B82" s="372" t="str">
        <f>"Бусад  "</f>
        <v xml:space="preserve">Бусад  </v>
      </c>
      <c r="C82" s="217"/>
      <c r="D82" s="368">
        <f>IF(C82&lt;=0*(i.04130!$E$46-i.04130!$E$40-i.04130!$E$39),C82,0*(i.04130!$E$46-i.04130!$E$40-i.04130!$E$39))</f>
        <v>0</v>
      </c>
      <c r="E82" s="369">
        <f t="shared" si="2"/>
        <v>0</v>
      </c>
    </row>
    <row r="83" spans="1:5" s="363" customFormat="1" ht="25.5" x14ac:dyDescent="0.2">
      <c r="A83" s="360">
        <v>5.5</v>
      </c>
      <c r="B83" s="360" t="str">
        <f>"Муу авлага /Хамгийн өндөр дүнтэйгээс эхлэн бичих/  "</f>
        <v xml:space="preserve">Муу авлага /Хамгийн өндөр дүнтэйгээс эхлэн бичих/  </v>
      </c>
      <c r="C83" s="361">
        <f>C84+C85+C86+C87+C88+C89</f>
        <v>0</v>
      </c>
      <c r="D83" s="347">
        <f>D84+D85+D86+D87+D88+D89</f>
        <v>0</v>
      </c>
      <c r="E83" s="362">
        <f t="shared" si="2"/>
        <v>0</v>
      </c>
    </row>
    <row r="84" spans="1:5" x14ac:dyDescent="0.2">
      <c r="A84" s="372" t="s">
        <v>818</v>
      </c>
      <c r="B84" s="216"/>
      <c r="C84" s="217"/>
      <c r="D84" s="368">
        <f>IF(C84&lt;=0*(i.04130!$E$46-i.04130!$E$40-i.04130!$E$39),C84,0*(i.04130!$E$46-i.04130!$E$40-i.04130!$E$39))</f>
        <v>0</v>
      </c>
      <c r="E84" s="369">
        <f t="shared" si="2"/>
        <v>0</v>
      </c>
    </row>
    <row r="85" spans="1:5" x14ac:dyDescent="0.2">
      <c r="A85" s="372" t="s">
        <v>819</v>
      </c>
      <c r="B85" s="216"/>
      <c r="C85" s="217"/>
      <c r="D85" s="368">
        <f>IF(C85&lt;=0*(i.04130!$E$46-i.04130!$E$40-i.04130!$E$39),C85,0*(i.04130!$E$46-i.04130!$E$40-i.04130!$E$39))</f>
        <v>0</v>
      </c>
      <c r="E85" s="369">
        <f t="shared" si="2"/>
        <v>0</v>
      </c>
    </row>
    <row r="86" spans="1:5" x14ac:dyDescent="0.2">
      <c r="A86" s="372" t="s">
        <v>820</v>
      </c>
      <c r="B86" s="216"/>
      <c r="C86" s="217"/>
      <c r="D86" s="368">
        <f>IF(C86&lt;=0*(i.04130!$E$46-i.04130!$E$40-i.04130!$E$39),C86,0*(i.04130!$E$46-i.04130!$E$40-i.04130!$E$39))</f>
        <v>0</v>
      </c>
      <c r="E86" s="369">
        <f t="shared" si="2"/>
        <v>0</v>
      </c>
    </row>
    <row r="87" spans="1:5" x14ac:dyDescent="0.2">
      <c r="A87" s="372" t="s">
        <v>821</v>
      </c>
      <c r="B87" s="216"/>
      <c r="C87" s="217"/>
      <c r="D87" s="368">
        <f>IF(C87&lt;=0*(i.04130!$E$46-i.04130!$E$40-i.04130!$E$39),C87,0*(i.04130!$E$46-i.04130!$E$40-i.04130!$E$39))</f>
        <v>0</v>
      </c>
      <c r="E87" s="369">
        <f t="shared" si="2"/>
        <v>0</v>
      </c>
    </row>
    <row r="88" spans="1:5" x14ac:dyDescent="0.2">
      <c r="A88" s="372" t="s">
        <v>822</v>
      </c>
      <c r="B88" s="216"/>
      <c r="C88" s="217"/>
      <c r="D88" s="368">
        <f>IF(C88&lt;=0*(i.04130!$E$46-i.04130!$E$40-i.04130!$E$39),C88,0*(i.04130!$E$46-i.04130!$E$40-i.04130!$E$39))</f>
        <v>0</v>
      </c>
      <c r="E88" s="369">
        <f t="shared" si="2"/>
        <v>0</v>
      </c>
    </row>
    <row r="89" spans="1:5" x14ac:dyDescent="0.2">
      <c r="A89" s="372" t="s">
        <v>823</v>
      </c>
      <c r="B89" s="372" t="str">
        <f>"Бусад  "</f>
        <v xml:space="preserve">Бусад  </v>
      </c>
      <c r="C89" s="217"/>
      <c r="D89" s="368">
        <f>IF(C89&lt;=0*(i.04130!$E$46-i.04130!$E$40-i.04130!$E$39),C89,0*(i.04130!$E$46-i.04130!$E$40-i.04130!$E$39))</f>
        <v>0</v>
      </c>
      <c r="E89" s="369">
        <f t="shared" si="2"/>
        <v>0</v>
      </c>
    </row>
    <row r="90" spans="1:5" s="363" customFormat="1" ht="29.25" customHeight="1" x14ac:dyDescent="0.2">
      <c r="A90" s="331" t="s">
        <v>824</v>
      </c>
      <c r="B90" s="345" t="str">
        <f>"Банкны хадгаламжийн сертификат  /Хамгийн өндөр дүнтэйгээс эхлэн бичих/  "</f>
        <v xml:space="preserve">Банкны хадгаламжийн сертификат  /Хамгийн өндөр дүнтэйгээс эхлэн бичих/  </v>
      </c>
      <c r="C90" s="346">
        <f>C91+C92+C93+C94+C95+C96+C97+C98+C99+C100+C101</f>
        <v>0</v>
      </c>
      <c r="D90" s="347">
        <f>D91+D92+D93+D94+D95+D96+D97+D98+D99+D100+D101</f>
        <v>0</v>
      </c>
      <c r="E90" s="362">
        <f t="shared" si="2"/>
        <v>0</v>
      </c>
    </row>
    <row r="91" spans="1:5" x14ac:dyDescent="0.2">
      <c r="A91" s="344">
        <v>6.1</v>
      </c>
      <c r="B91" s="213"/>
      <c r="C91" s="68"/>
      <c r="D91" s="368">
        <f>IF(C91&lt;=0.2*(i.04130!$E$46-i.04130!$E$40-i.04130!$E$39),C91,0.2*(i.04130!$E$46-i.04130!$E$40-i.04130!$E$39))</f>
        <v>0</v>
      </c>
      <c r="E91" s="369">
        <f t="shared" si="2"/>
        <v>0</v>
      </c>
    </row>
    <row r="92" spans="1:5" x14ac:dyDescent="0.2">
      <c r="A92" s="344">
        <v>6.2</v>
      </c>
      <c r="B92" s="213"/>
      <c r="C92" s="68"/>
      <c r="D92" s="368">
        <f>IF(C92&lt;=0.2*(i.04130!$E$46-i.04130!$E$40-i.04130!$E$39),C92,0.2*(i.04130!$E$46-i.04130!$E$40-i.04130!$E$39))</f>
        <v>0</v>
      </c>
      <c r="E92" s="369">
        <f t="shared" si="2"/>
        <v>0</v>
      </c>
    </row>
    <row r="93" spans="1:5" x14ac:dyDescent="0.2">
      <c r="A93" s="344">
        <v>6.3</v>
      </c>
      <c r="B93" s="213"/>
      <c r="C93" s="68"/>
      <c r="D93" s="368">
        <f>IF(C93&lt;=0.2*(i.04130!$E$46-i.04130!$E$40-i.04130!$E$39),C93,0.2*(i.04130!$E$46-i.04130!$E$40-i.04130!$E$39))</f>
        <v>0</v>
      </c>
      <c r="E93" s="369">
        <f t="shared" si="2"/>
        <v>0</v>
      </c>
    </row>
    <row r="94" spans="1:5" x14ac:dyDescent="0.2">
      <c r="A94" s="344">
        <v>6.4</v>
      </c>
      <c r="B94" s="213"/>
      <c r="C94" s="68"/>
      <c r="D94" s="368">
        <f>IF(C94&lt;=0.2*(i.04130!$E$46-i.04130!$E$40-i.04130!$E$39),C94,0.2*(i.04130!$E$46-i.04130!$E$40-i.04130!$E$39))</f>
        <v>0</v>
      </c>
      <c r="E94" s="369">
        <f t="shared" si="2"/>
        <v>0</v>
      </c>
    </row>
    <row r="95" spans="1:5" x14ac:dyDescent="0.2">
      <c r="A95" s="344">
        <v>6.5</v>
      </c>
      <c r="B95" s="213"/>
      <c r="C95" s="68"/>
      <c r="D95" s="368">
        <f>IF(C95&lt;=0.2*(i.04130!$E$46-i.04130!$E$40-i.04130!$E$39),C95,0.2*(i.04130!$E$46-i.04130!$E$40-i.04130!$E$39))</f>
        <v>0</v>
      </c>
      <c r="E95" s="369">
        <f t="shared" si="2"/>
        <v>0</v>
      </c>
    </row>
    <row r="96" spans="1:5" x14ac:dyDescent="0.2">
      <c r="A96" s="344">
        <v>6.6</v>
      </c>
      <c r="B96" s="213"/>
      <c r="C96" s="68"/>
      <c r="D96" s="368">
        <f>IF(C96&lt;=0.2*(i.04130!$E$46-i.04130!$E$40-i.04130!$E$39),C96,0.2*(i.04130!$E$46-i.04130!$E$40-i.04130!$E$39))</f>
        <v>0</v>
      </c>
      <c r="E96" s="369">
        <f t="shared" si="2"/>
        <v>0</v>
      </c>
    </row>
    <row r="97" spans="1:5" x14ac:dyDescent="0.2">
      <c r="A97" s="344">
        <v>6.7</v>
      </c>
      <c r="B97" s="213"/>
      <c r="C97" s="68"/>
      <c r="D97" s="368">
        <f>IF(C97&lt;=0.2*(i.04130!$E$46-i.04130!$E$40-i.04130!$E$39),C97,0.2*(i.04130!$E$46-i.04130!$E$40-i.04130!$E$39))</f>
        <v>0</v>
      </c>
      <c r="E97" s="369">
        <f t="shared" si="2"/>
        <v>0</v>
      </c>
    </row>
    <row r="98" spans="1:5" x14ac:dyDescent="0.2">
      <c r="A98" s="344">
        <v>6.8</v>
      </c>
      <c r="B98" s="213"/>
      <c r="C98" s="68"/>
      <c r="D98" s="368">
        <f>IF(C98&lt;=0.2*(i.04130!$E$46-i.04130!$E$40-i.04130!$E$39),C98,0.2*(i.04130!$E$46-i.04130!$E$40-i.04130!$E$39))</f>
        <v>0</v>
      </c>
      <c r="E98" s="369">
        <f t="shared" si="2"/>
        <v>0</v>
      </c>
    </row>
    <row r="99" spans="1:5" x14ac:dyDescent="0.2">
      <c r="A99" s="344">
        <v>6.9</v>
      </c>
      <c r="B99" s="213"/>
      <c r="C99" s="68"/>
      <c r="D99" s="368">
        <f>IF(C99&lt;=0.2*(i.04130!$E$46-i.04130!$E$40-i.04130!$E$39),C99,0.2*(i.04130!$E$46-i.04130!$E$40-i.04130!$E$39))</f>
        <v>0</v>
      </c>
      <c r="E99" s="369">
        <f t="shared" si="2"/>
        <v>0</v>
      </c>
    </row>
    <row r="100" spans="1:5" x14ac:dyDescent="0.2">
      <c r="A100" s="340">
        <v>6.1</v>
      </c>
      <c r="B100" s="213"/>
      <c r="C100" s="68"/>
      <c r="D100" s="368">
        <f>IF(C100&lt;=0.2*(i.04130!$E$46-i.04130!$E$40-i.04130!$E$39),C100,0.2*(i.04130!$E$46-i.04130!$E$40-i.04130!$E$39))</f>
        <v>0</v>
      </c>
      <c r="E100" s="369">
        <f t="shared" si="2"/>
        <v>0</v>
      </c>
    </row>
    <row r="101" spans="1:5" x14ac:dyDescent="0.2">
      <c r="A101" s="344">
        <v>6.11</v>
      </c>
      <c r="B101" s="370" t="str">
        <f>"Бусад  "</f>
        <v xml:space="preserve">Бусад  </v>
      </c>
      <c r="C101" s="68"/>
      <c r="D101" s="368">
        <f>IF(C101&lt;=0.2*(i.04130!$E$46-i.04130!$E$40-i.04130!$E$39),C101,0.2*(i.04130!$E$46-i.04130!$E$40-i.04130!$E$39))</f>
        <v>0</v>
      </c>
      <c r="E101" s="369">
        <f t="shared" si="2"/>
        <v>0</v>
      </c>
    </row>
    <row r="102" spans="1:5" s="363" customFormat="1" ht="15.75" customHeight="1" x14ac:dyDescent="0.2">
      <c r="A102" s="367" t="s">
        <v>825</v>
      </c>
      <c r="B102" s="367" t="str">
        <f>"Засгийн газраас гаргасан өрийн хэрэгсэл  "</f>
        <v xml:space="preserve">Засгийн газраас гаргасан өрийн хэрэгсэл  </v>
      </c>
      <c r="C102" s="218"/>
      <c r="D102" s="347">
        <f>C102</f>
        <v>0</v>
      </c>
      <c r="E102" s="362">
        <f t="shared" si="2"/>
        <v>0</v>
      </c>
    </row>
    <row r="103" spans="1:5" s="363" customFormat="1" ht="15.75" customHeight="1" x14ac:dyDescent="0.2">
      <c r="A103" s="367" t="s">
        <v>826</v>
      </c>
      <c r="B103" s="367" t="str">
        <f>"Төв банкны үнэт цаас  "</f>
        <v xml:space="preserve">Төв банкны үнэт цаас  </v>
      </c>
      <c r="C103" s="218"/>
      <c r="D103" s="347">
        <f>IF(C103&lt;=0.6*(i.04130!$E$46-i.04130!$E$40-i.04130!$E$39),C103,0.6*(i.04130!$E$46-i.04130!$E$40-i.04130!$E$39))</f>
        <v>0</v>
      </c>
      <c r="E103" s="362">
        <f t="shared" si="2"/>
        <v>0</v>
      </c>
    </row>
    <row r="104" spans="1:5" s="363" customFormat="1" ht="23.25" customHeight="1" x14ac:dyDescent="0.2">
      <c r="A104" s="367" t="s">
        <v>827</v>
      </c>
      <c r="B104" s="367" t="str">
        <f>"Хөрөнгөөр баталгаажсан үнэт цаас /Хамгийн өндөр дүнтэйгээс эхлэн бичих/  "</f>
        <v xml:space="preserve">Хөрөнгөөр баталгаажсан үнэт цаас /Хамгийн өндөр дүнтэйгээс эхлэн бичих/  </v>
      </c>
      <c r="C104" s="371">
        <f>SUM(C105:C110)</f>
        <v>0</v>
      </c>
      <c r="D104" s="347">
        <f>D105+D106+D107+D108+D109+D110</f>
        <v>0</v>
      </c>
      <c r="E104" s="362">
        <f t="shared" si="2"/>
        <v>0</v>
      </c>
    </row>
    <row r="105" spans="1:5" x14ac:dyDescent="0.2">
      <c r="A105" s="375">
        <v>9.1</v>
      </c>
      <c r="B105" s="219"/>
      <c r="C105" s="66"/>
      <c r="D105" s="368">
        <f>IF(C105&lt;=0.2*(i.04130!$E$46-i.04130!$E$40-i.04130!$E$39),C105,0.2*(i.04130!$E$46-i.04130!$E$40-i.04130!$E$39))</f>
        <v>0</v>
      </c>
      <c r="E105" s="369">
        <f t="shared" si="2"/>
        <v>0</v>
      </c>
    </row>
    <row r="106" spans="1:5" x14ac:dyDescent="0.2">
      <c r="A106" s="375">
        <v>9.1999999999999993</v>
      </c>
      <c r="B106" s="219"/>
      <c r="C106" s="66"/>
      <c r="D106" s="368">
        <f>IF(C106&lt;=0.2*(i.04130!$E$46-i.04130!$E$40-i.04130!$E$39),C106,0.2*(i.04130!$E$46-i.04130!$E$40-i.04130!$E$39))</f>
        <v>0</v>
      </c>
      <c r="E106" s="369">
        <f t="shared" si="2"/>
        <v>0</v>
      </c>
    </row>
    <row r="107" spans="1:5" x14ac:dyDescent="0.2">
      <c r="A107" s="375">
        <v>9.3000000000000007</v>
      </c>
      <c r="B107" s="219"/>
      <c r="C107" s="66"/>
      <c r="D107" s="368">
        <f>IF(C107&lt;=0.2*(i.04130!$E$46-i.04130!$E$40-i.04130!$E$39),C107,0.2*(i.04130!$E$46-i.04130!$E$40-i.04130!$E$39))</f>
        <v>0</v>
      </c>
      <c r="E107" s="369">
        <f t="shared" si="2"/>
        <v>0</v>
      </c>
    </row>
    <row r="108" spans="1:5" x14ac:dyDescent="0.2">
      <c r="A108" s="375">
        <v>9.4</v>
      </c>
      <c r="B108" s="219"/>
      <c r="C108" s="66"/>
      <c r="D108" s="368">
        <f>IF(C108&lt;=0.2*(i.04130!$E$46-i.04130!$E$40-i.04130!$E$39),C108,0.2*(i.04130!$E$46-i.04130!$E$40-i.04130!$E$39))</f>
        <v>0</v>
      </c>
      <c r="E108" s="369">
        <f t="shared" si="2"/>
        <v>0</v>
      </c>
    </row>
    <row r="109" spans="1:5" x14ac:dyDescent="0.2">
      <c r="A109" s="375">
        <v>9.5</v>
      </c>
      <c r="B109" s="219"/>
      <c r="C109" s="66"/>
      <c r="D109" s="368">
        <f>IF(C109&lt;=0.2*(i.04130!$E$46-i.04130!$E$40-i.04130!$E$39),C109,0.2*(i.04130!$E$46-i.04130!$E$40-i.04130!$E$39))</f>
        <v>0</v>
      </c>
      <c r="E109" s="369">
        <f t="shared" si="2"/>
        <v>0</v>
      </c>
    </row>
    <row r="110" spans="1:5" x14ac:dyDescent="0.2">
      <c r="A110" s="375">
        <v>9.6</v>
      </c>
      <c r="B110" s="375" t="str">
        <f>"Бусад  "</f>
        <v xml:space="preserve">Бусад  </v>
      </c>
      <c r="C110" s="66"/>
      <c r="D110" s="368">
        <f>IF(C110&lt;=0.2*(i.04130!$E$46-i.04130!$E$40-i.04130!$E$39),C110,0.2*(i.04130!$E$46-i.04130!$E$40-i.04130!$E$39))</f>
        <v>0</v>
      </c>
      <c r="E110" s="369">
        <f t="shared" si="2"/>
        <v>0</v>
      </c>
    </row>
    <row r="111" spans="1:5" s="363" customFormat="1" ht="38.25" x14ac:dyDescent="0.2">
      <c r="A111" s="360" t="s">
        <v>828</v>
      </c>
      <c r="B111" s="360" t="str">
        <f>"Аймаг нийслэлийн гаргасан өрийн хэрэгсэл/Хамгийн өндөр дүнтэйгээс эхлэн бичих/   "</f>
        <v xml:space="preserve">Аймаг нийслэлийн гаргасан өрийн хэрэгсэл/Хамгийн өндөр дүнтэйгээс эхлэн бичих/   </v>
      </c>
      <c r="C111" s="371">
        <f>C112+C113+C114+C115+C116+C117+C118+C119+C120+C121+C122</f>
        <v>0</v>
      </c>
      <c r="D111" s="347">
        <f>D112+D113+D114+D115+D116+D117+D118+D119+D120+D121+D122</f>
        <v>0</v>
      </c>
      <c r="E111" s="362">
        <f t="shared" si="2"/>
        <v>0</v>
      </c>
    </row>
    <row r="112" spans="1:5" x14ac:dyDescent="0.2">
      <c r="A112" s="372">
        <v>10.1</v>
      </c>
      <c r="B112" s="216"/>
      <c r="C112" s="220"/>
      <c r="D112" s="368">
        <f>IF(C112&lt;=0.2*(i.04130!$E$46-i.04130!$E$40-i.04130!$E$39),C112,0.2*(i.04130!$E$46-i.04130!$E$40-i.04130!$E$39))</f>
        <v>0</v>
      </c>
      <c r="E112" s="369">
        <f t="shared" si="2"/>
        <v>0</v>
      </c>
    </row>
    <row r="113" spans="1:5" x14ac:dyDescent="0.2">
      <c r="A113" s="372">
        <v>10.199999999999999</v>
      </c>
      <c r="B113" s="216"/>
      <c r="C113" s="220"/>
      <c r="D113" s="368">
        <f>IF(C113&lt;=0.2*(i.04130!$E$46-i.04130!$E$40-i.04130!$E$39),C113,0.2*(i.04130!$E$46-i.04130!$E$40-i.04130!$E$39))</f>
        <v>0</v>
      </c>
      <c r="E113" s="369">
        <f t="shared" si="2"/>
        <v>0</v>
      </c>
    </row>
    <row r="114" spans="1:5" x14ac:dyDescent="0.2">
      <c r="A114" s="372">
        <v>10.3</v>
      </c>
      <c r="B114" s="216"/>
      <c r="C114" s="220"/>
      <c r="D114" s="368">
        <f>IF(C114&lt;=0.2*(i.04130!$E$46-i.04130!$E$40-i.04130!$E$39),C114,0.2*(i.04130!$E$46-i.04130!$E$40-i.04130!$E$39))</f>
        <v>0</v>
      </c>
      <c r="E114" s="369">
        <f t="shared" si="2"/>
        <v>0</v>
      </c>
    </row>
    <row r="115" spans="1:5" x14ac:dyDescent="0.2">
      <c r="A115" s="372">
        <v>10.4</v>
      </c>
      <c r="B115" s="216"/>
      <c r="C115" s="220"/>
      <c r="D115" s="368">
        <f>IF(C115&lt;=0.2*(i.04130!$E$46-i.04130!$E$40-i.04130!$E$39),C115,0.2*(i.04130!$E$46-i.04130!$E$40-i.04130!$E$39))</f>
        <v>0</v>
      </c>
      <c r="E115" s="369">
        <f t="shared" si="2"/>
        <v>0</v>
      </c>
    </row>
    <row r="116" spans="1:5" x14ac:dyDescent="0.2">
      <c r="A116" s="372">
        <v>10.5</v>
      </c>
      <c r="B116" s="216"/>
      <c r="C116" s="220"/>
      <c r="D116" s="368">
        <f>IF(C116&lt;=0.2*(i.04130!$E$46-i.04130!$E$40-i.04130!$E$39),C116,0.2*(i.04130!$E$46-i.04130!$E$40-i.04130!$E$39))</f>
        <v>0</v>
      </c>
      <c r="E116" s="369">
        <f t="shared" si="2"/>
        <v>0</v>
      </c>
    </row>
    <row r="117" spans="1:5" x14ac:dyDescent="0.2">
      <c r="A117" s="372">
        <v>10.6</v>
      </c>
      <c r="B117" s="216"/>
      <c r="C117" s="220"/>
      <c r="D117" s="368">
        <f>IF(C117&lt;=0.2*(i.04130!$E$46-i.04130!$E$40-i.04130!$E$39),C117,0.2*(i.04130!$E$46-i.04130!$E$40-i.04130!$E$39))</f>
        <v>0</v>
      </c>
      <c r="E117" s="369">
        <f t="shared" si="2"/>
        <v>0</v>
      </c>
    </row>
    <row r="118" spans="1:5" x14ac:dyDescent="0.2">
      <c r="A118" s="372">
        <v>10.7</v>
      </c>
      <c r="B118" s="216"/>
      <c r="C118" s="220"/>
      <c r="D118" s="368">
        <f>IF(C118&lt;=0.2*(i.04130!$E$46-i.04130!$E$40-i.04130!$E$39),C118,0.2*(i.04130!$E$46-i.04130!$E$40-i.04130!$E$39))</f>
        <v>0</v>
      </c>
      <c r="E118" s="369">
        <f t="shared" si="2"/>
        <v>0</v>
      </c>
    </row>
    <row r="119" spans="1:5" x14ac:dyDescent="0.2">
      <c r="A119" s="372">
        <v>10.8</v>
      </c>
      <c r="B119" s="216"/>
      <c r="C119" s="220"/>
      <c r="D119" s="368">
        <f>IF(C119&lt;=0.2*(i.04130!$E$46-i.04130!$E$40-i.04130!$E$39),C119,0.2*(i.04130!$E$46-i.04130!$E$40-i.04130!$E$39))</f>
        <v>0</v>
      </c>
      <c r="E119" s="369">
        <f t="shared" si="2"/>
        <v>0</v>
      </c>
    </row>
    <row r="120" spans="1:5" x14ac:dyDescent="0.2">
      <c r="A120" s="372">
        <v>10.9</v>
      </c>
      <c r="B120" s="216"/>
      <c r="C120" s="220"/>
      <c r="D120" s="368">
        <f>IF(C120&lt;=0.2*(i.04130!$E$46-i.04130!$E$40-i.04130!$E$39),C120,0.2*(i.04130!$E$46-i.04130!$E$40-i.04130!$E$39))</f>
        <v>0</v>
      </c>
      <c r="E120" s="369">
        <f t="shared" si="2"/>
        <v>0</v>
      </c>
    </row>
    <row r="121" spans="1:5" x14ac:dyDescent="0.2">
      <c r="A121" s="374">
        <v>10.1</v>
      </c>
      <c r="B121" s="216"/>
      <c r="C121" s="220"/>
      <c r="D121" s="368">
        <f>IF(C121&lt;=0.2*(i.04130!$E$46-i.04130!$E$40-i.04130!$E$39),C121,0.2*(i.04130!$E$46-i.04130!$E$40-i.04130!$E$39))</f>
        <v>0</v>
      </c>
      <c r="E121" s="369">
        <f t="shared" si="2"/>
        <v>0</v>
      </c>
    </row>
    <row r="122" spans="1:5" x14ac:dyDescent="0.2">
      <c r="A122" s="372">
        <v>10.11</v>
      </c>
      <c r="B122" s="372" t="str">
        <f>"Бусад  "</f>
        <v xml:space="preserve">Бусад  </v>
      </c>
      <c r="C122" s="220"/>
      <c r="D122" s="368">
        <f>IF(C122&lt;=0.2*(i.04130!$E$46-i.04130!$E$40-i.04130!$E$39),C122,0.2*(i.04130!$E$46-i.04130!$E$40-i.04130!$E$39))</f>
        <v>0</v>
      </c>
      <c r="E122" s="369">
        <f t="shared" si="2"/>
        <v>0</v>
      </c>
    </row>
    <row r="123" spans="1:5" s="363" customFormat="1" ht="28.5" customHeight="1" x14ac:dyDescent="0.2">
      <c r="A123" s="360" t="s">
        <v>829</v>
      </c>
      <c r="B123" s="360" t="str">
        <f>"Компанийн өрийн хэрэгсэл /Хамгийн өндөр дүнтэйгээс эхлэн бичих/   "</f>
        <v xml:space="preserve">Компанийн өрийн хэрэгсэл /Хамгийн өндөр дүнтэйгээс эхлэн бичих/   </v>
      </c>
      <c r="C123" s="371">
        <f>C124+C125+C126+C127+C128+C129+C130+C131+C132+C133+C134</f>
        <v>0</v>
      </c>
      <c r="D123" s="347">
        <f>D124+D125+D126+D127+D128+D129+D130+D131+D132+D133+D134</f>
        <v>0</v>
      </c>
      <c r="E123" s="362">
        <f t="shared" si="2"/>
        <v>0</v>
      </c>
    </row>
    <row r="124" spans="1:5" x14ac:dyDescent="0.2">
      <c r="A124" s="372">
        <v>11.1</v>
      </c>
      <c r="B124" s="216"/>
      <c r="C124" s="220"/>
      <c r="D124" s="368">
        <f>IF(C124&lt;=0.1*(i.04130!$E$46-i.04130!$E$40-i.04130!$E$39),C124,0.1*(i.04130!$E$46-i.04130!$E$40-i.04130!$E$39))</f>
        <v>0</v>
      </c>
      <c r="E124" s="369">
        <f t="shared" si="2"/>
        <v>0</v>
      </c>
    </row>
    <row r="125" spans="1:5" x14ac:dyDescent="0.2">
      <c r="A125" s="372">
        <v>11.2</v>
      </c>
      <c r="B125" s="216"/>
      <c r="C125" s="220"/>
      <c r="D125" s="368">
        <f>IF(C125&lt;=0.1*(i.04130!$E$46-i.04130!$E$40-i.04130!$E$39),C125,0.1*(i.04130!$E$46-i.04130!$E$40-i.04130!$E$39))</f>
        <v>0</v>
      </c>
      <c r="E125" s="369">
        <f t="shared" si="2"/>
        <v>0</v>
      </c>
    </row>
    <row r="126" spans="1:5" x14ac:dyDescent="0.2">
      <c r="A126" s="372">
        <v>11.3</v>
      </c>
      <c r="B126" s="216"/>
      <c r="C126" s="220"/>
      <c r="D126" s="368">
        <f>IF(C126&lt;=0.1*(i.04130!$E$46-i.04130!$E$40-i.04130!$E$39),C126,0.1*(i.04130!$E$46-i.04130!$E$40-i.04130!$E$39))</f>
        <v>0</v>
      </c>
      <c r="E126" s="369">
        <f t="shared" si="2"/>
        <v>0</v>
      </c>
    </row>
    <row r="127" spans="1:5" x14ac:dyDescent="0.2">
      <c r="A127" s="372">
        <v>11.4</v>
      </c>
      <c r="B127" s="216"/>
      <c r="C127" s="220"/>
      <c r="D127" s="368">
        <f>IF(C127&lt;=0.1*(i.04130!$E$46-i.04130!$E$40-i.04130!$E$39),C127,0.1*(i.04130!$E$46-i.04130!$E$40-i.04130!$E$39))</f>
        <v>0</v>
      </c>
      <c r="E127" s="369">
        <f t="shared" si="2"/>
        <v>0</v>
      </c>
    </row>
    <row r="128" spans="1:5" x14ac:dyDescent="0.2">
      <c r="A128" s="372">
        <v>11.5</v>
      </c>
      <c r="B128" s="216"/>
      <c r="C128" s="220"/>
      <c r="D128" s="368">
        <f>IF(C128&lt;=0.1*(i.04130!$E$46-i.04130!$E$40-i.04130!$E$39),C128,0.1*(i.04130!$E$46-i.04130!$E$40-i.04130!$E$39))</f>
        <v>0</v>
      </c>
      <c r="E128" s="369">
        <f t="shared" si="2"/>
        <v>0</v>
      </c>
    </row>
    <row r="129" spans="1:5" x14ac:dyDescent="0.2">
      <c r="A129" s="372">
        <v>11.6</v>
      </c>
      <c r="B129" s="216"/>
      <c r="C129" s="220"/>
      <c r="D129" s="368">
        <f>IF(C129&lt;=0.1*(i.04130!$E$46-i.04130!$E$40-i.04130!$E$39),C129,0.1*(i.04130!$E$46-i.04130!$E$40-i.04130!$E$39))</f>
        <v>0</v>
      </c>
      <c r="E129" s="369">
        <f t="shared" si="2"/>
        <v>0</v>
      </c>
    </row>
    <row r="130" spans="1:5" x14ac:dyDescent="0.2">
      <c r="A130" s="372">
        <v>11.7</v>
      </c>
      <c r="B130" s="216"/>
      <c r="C130" s="220"/>
      <c r="D130" s="368">
        <f>IF(C130&lt;=0.1*(i.04130!$E$46-i.04130!$E$40-i.04130!$E$39),C130,0.1*(i.04130!$E$46-i.04130!$E$40-i.04130!$E$39))</f>
        <v>0</v>
      </c>
      <c r="E130" s="369">
        <f t="shared" si="2"/>
        <v>0</v>
      </c>
    </row>
    <row r="131" spans="1:5" x14ac:dyDescent="0.2">
      <c r="A131" s="372">
        <v>11.8</v>
      </c>
      <c r="B131" s="216"/>
      <c r="C131" s="220"/>
      <c r="D131" s="368">
        <f>IF(C131&lt;=0.1*(i.04130!$E$46-i.04130!$E$40-i.04130!$E$39),C131,0.1*(i.04130!$E$46-i.04130!$E$40-i.04130!$E$39))</f>
        <v>0</v>
      </c>
      <c r="E131" s="369">
        <f t="shared" si="2"/>
        <v>0</v>
      </c>
    </row>
    <row r="132" spans="1:5" x14ac:dyDescent="0.2">
      <c r="A132" s="372">
        <v>11.9</v>
      </c>
      <c r="B132" s="216"/>
      <c r="C132" s="220"/>
      <c r="D132" s="368">
        <f>IF(C132&lt;=0.1*(i.04130!$E$46-i.04130!$E$40-i.04130!$E$39),C132,0.1*(i.04130!$E$46-i.04130!$E$40-i.04130!$E$39))</f>
        <v>0</v>
      </c>
      <c r="E132" s="369">
        <f t="shared" si="2"/>
        <v>0</v>
      </c>
    </row>
    <row r="133" spans="1:5" x14ac:dyDescent="0.2">
      <c r="A133" s="374">
        <v>11.1</v>
      </c>
      <c r="B133" s="216"/>
      <c r="C133" s="220"/>
      <c r="D133" s="368">
        <f>IF(C133&lt;=0.1*(i.04130!$E$46-i.04130!$E$40-i.04130!$E$39),C133,0.1*(i.04130!$E$46-i.04130!$E$40-i.04130!$E$39))</f>
        <v>0</v>
      </c>
      <c r="E133" s="369">
        <f t="shared" si="2"/>
        <v>0</v>
      </c>
    </row>
    <row r="134" spans="1:5" x14ac:dyDescent="0.2">
      <c r="A134" s="372">
        <v>11.11</v>
      </c>
      <c r="B134" s="372" t="str">
        <f>"Бусад  "</f>
        <v xml:space="preserve">Бусад  </v>
      </c>
      <c r="C134" s="220"/>
      <c r="D134" s="368">
        <f>IF(C134&lt;=0.1*(i.04130!$E$46-i.04130!$E$40-i.04130!$E$39),C134,0.1*(i.04130!$E$46-i.04130!$E$40-i.04130!$E$39))</f>
        <v>0</v>
      </c>
      <c r="E134" s="369">
        <f t="shared" si="2"/>
        <v>0</v>
      </c>
    </row>
    <row r="135" spans="1:5" s="363" customFormat="1" ht="38.25" x14ac:dyDescent="0.2">
      <c r="A135" s="331" t="s">
        <v>830</v>
      </c>
      <c r="B135" s="345" t="str">
        <f>"Монголын хөрөнгийн биржийн хувьцаат компанийн хувьцаа – 1 ангилал /Хамгийн өндөр дүнтэйгээс эхлэн бичих/  "</f>
        <v xml:space="preserve">Монголын хөрөнгийн биржийн хувьцаат компанийн хувьцаа – 1 ангилал /Хамгийн өндөр дүнтэйгээс эхлэн бичих/  </v>
      </c>
      <c r="C135" s="346">
        <f>C136+C137+C138+C139+C140+C141+C142+C143+C144+C145+C146</f>
        <v>0</v>
      </c>
      <c r="D135" s="347">
        <f>D136+D137+D138+D139+D140+D141+D142+D143+D144+D145+D146</f>
        <v>0</v>
      </c>
      <c r="E135" s="362">
        <f t="shared" si="2"/>
        <v>0</v>
      </c>
    </row>
    <row r="136" spans="1:5" x14ac:dyDescent="0.2">
      <c r="A136" s="344">
        <v>12.1</v>
      </c>
      <c r="B136" s="213"/>
      <c r="C136" s="68"/>
      <c r="D136" s="368">
        <f>IF(C136&lt;=0.05*(i.04130!$E$46-i.04130!$E$40-i.04130!$E$39),C136,0.05*(i.04130!$E$46-i.04130!$E$40-i.04130!$E$39))</f>
        <v>0</v>
      </c>
      <c r="E136" s="369">
        <f t="shared" si="2"/>
        <v>0</v>
      </c>
    </row>
    <row r="137" spans="1:5" x14ac:dyDescent="0.2">
      <c r="A137" s="344">
        <v>12.2</v>
      </c>
      <c r="B137" s="213"/>
      <c r="C137" s="68"/>
      <c r="D137" s="368">
        <f>IF(C137&lt;=0.05*(i.04130!$E$46-i.04130!$E$40-i.04130!$E$39),C137,0.05*(i.04130!$E$46-i.04130!$E$40-i.04130!$E$39))</f>
        <v>0</v>
      </c>
      <c r="E137" s="369">
        <f t="shared" si="2"/>
        <v>0</v>
      </c>
    </row>
    <row r="138" spans="1:5" x14ac:dyDescent="0.2">
      <c r="A138" s="344">
        <v>12.3</v>
      </c>
      <c r="B138" s="213"/>
      <c r="C138" s="68"/>
      <c r="D138" s="368">
        <f>IF(C138&lt;=0.05*(i.04130!$E$46-i.04130!$E$40-i.04130!$E$39),C138,0.05*(i.04130!$E$46-i.04130!$E$40-i.04130!$E$39))</f>
        <v>0</v>
      </c>
      <c r="E138" s="369">
        <f t="shared" ref="E138:E201" si="3">C138-D138</f>
        <v>0</v>
      </c>
    </row>
    <row r="139" spans="1:5" x14ac:dyDescent="0.2">
      <c r="A139" s="344">
        <v>12.4</v>
      </c>
      <c r="B139" s="213"/>
      <c r="C139" s="68"/>
      <c r="D139" s="368">
        <f>IF(C139&lt;=0.05*(i.04130!$E$46-i.04130!$E$40-i.04130!$E$39),C139,0.05*(i.04130!$E$46-i.04130!$E$40-i.04130!$E$39))</f>
        <v>0</v>
      </c>
      <c r="E139" s="369">
        <f t="shared" si="3"/>
        <v>0</v>
      </c>
    </row>
    <row r="140" spans="1:5" x14ac:dyDescent="0.2">
      <c r="A140" s="344">
        <v>12.5</v>
      </c>
      <c r="B140" s="213"/>
      <c r="C140" s="68"/>
      <c r="D140" s="368">
        <f>IF(C140&lt;=0.05*(i.04130!$E$46-i.04130!$E$40-i.04130!$E$39),C140,0.05*(i.04130!$E$46-i.04130!$E$40-i.04130!$E$39))</f>
        <v>0</v>
      </c>
      <c r="E140" s="369">
        <f t="shared" si="3"/>
        <v>0</v>
      </c>
    </row>
    <row r="141" spans="1:5" x14ac:dyDescent="0.2">
      <c r="A141" s="344">
        <v>12.6</v>
      </c>
      <c r="B141" s="213"/>
      <c r="C141" s="68"/>
      <c r="D141" s="368">
        <f>IF(C141&lt;=0.05*(i.04130!$E$46-i.04130!$E$40-i.04130!$E$39),C141,0.05*(i.04130!$E$46-i.04130!$E$40-i.04130!$E$39))</f>
        <v>0</v>
      </c>
      <c r="E141" s="369">
        <f t="shared" si="3"/>
        <v>0</v>
      </c>
    </row>
    <row r="142" spans="1:5" x14ac:dyDescent="0.2">
      <c r="A142" s="344">
        <v>12.7</v>
      </c>
      <c r="B142" s="213"/>
      <c r="C142" s="68"/>
      <c r="D142" s="368">
        <f>IF(C142&lt;=0.05*(i.04130!$E$46-i.04130!$E$40-i.04130!$E$39),C142,0.05*(i.04130!$E$46-i.04130!$E$40-i.04130!$E$39))</f>
        <v>0</v>
      </c>
      <c r="E142" s="369">
        <f t="shared" si="3"/>
        <v>0</v>
      </c>
    </row>
    <row r="143" spans="1:5" x14ac:dyDescent="0.2">
      <c r="A143" s="344">
        <v>12.8</v>
      </c>
      <c r="B143" s="213"/>
      <c r="C143" s="68"/>
      <c r="D143" s="368">
        <f>IF(C143&lt;=0.05*(i.04130!$E$46-i.04130!$E$40-i.04130!$E$39),C143,0.05*(i.04130!$E$46-i.04130!$E$40-i.04130!$E$39))</f>
        <v>0</v>
      </c>
      <c r="E143" s="369">
        <f t="shared" si="3"/>
        <v>0</v>
      </c>
    </row>
    <row r="144" spans="1:5" x14ac:dyDescent="0.2">
      <c r="A144" s="344">
        <v>12.9</v>
      </c>
      <c r="B144" s="213"/>
      <c r="C144" s="68"/>
      <c r="D144" s="368">
        <f>IF(C144&lt;=0.05*(i.04130!$E$46-i.04130!$E$40-i.04130!$E$39),C144,0.05*(i.04130!$E$46-i.04130!$E$40-i.04130!$E$39))</f>
        <v>0</v>
      </c>
      <c r="E144" s="369">
        <f t="shared" si="3"/>
        <v>0</v>
      </c>
    </row>
    <row r="145" spans="1:5" x14ac:dyDescent="0.2">
      <c r="A145" s="340">
        <v>12.1</v>
      </c>
      <c r="B145" s="213"/>
      <c r="C145" s="68"/>
      <c r="D145" s="368">
        <f>IF(C145&lt;=0.05*(i.04130!$E$46-i.04130!$E$40-i.04130!$E$39),C145,0.05*(i.04130!$E$46-i.04130!$E$40-i.04130!$E$39))</f>
        <v>0</v>
      </c>
      <c r="E145" s="369">
        <f t="shared" si="3"/>
        <v>0</v>
      </c>
    </row>
    <row r="146" spans="1:5" x14ac:dyDescent="0.2">
      <c r="A146" s="344">
        <v>12.11</v>
      </c>
      <c r="B146" s="370" t="str">
        <f>"Бусад  "</f>
        <v xml:space="preserve">Бусад  </v>
      </c>
      <c r="C146" s="68"/>
      <c r="D146" s="368">
        <f>IF(C146&lt;=0.05*(i.04130!$E$46-i.04130!$E$40-i.04130!$E$39),C146,0.05*(i.04130!$E$46-i.04130!$E$40-i.04130!$E$39))</f>
        <v>0</v>
      </c>
      <c r="E146" s="369">
        <f t="shared" si="3"/>
        <v>0</v>
      </c>
    </row>
    <row r="147" spans="1:5" s="363" customFormat="1" ht="38.25" x14ac:dyDescent="0.2">
      <c r="A147" s="331" t="s">
        <v>831</v>
      </c>
      <c r="B147" s="345" t="str">
        <f>"Монголын хөрөнгийн биржийн хувьцаат компанийн хувьцаа – 2 ангилал /Хамгийн өндөр дүнтэйгээс эхлэн бичих/   "</f>
        <v xml:space="preserve">Монголын хөрөнгийн биржийн хувьцаат компанийн хувьцаа – 2 ангилал /Хамгийн өндөр дүнтэйгээс эхлэн бичих/   </v>
      </c>
      <c r="C147" s="346">
        <f>C148+C149+C150+C151+C152+C153+C154+C155+C156+C157+C158</f>
        <v>0</v>
      </c>
      <c r="D147" s="347">
        <f>D148+D149+D150+D151+D152+D153+D154+D155+D156+D157+D158</f>
        <v>0</v>
      </c>
      <c r="E147" s="362">
        <f t="shared" si="3"/>
        <v>0</v>
      </c>
    </row>
    <row r="148" spans="1:5" x14ac:dyDescent="0.2">
      <c r="A148" s="344">
        <v>13.1</v>
      </c>
      <c r="B148" s="213"/>
      <c r="C148" s="68"/>
      <c r="D148" s="368">
        <f>IF(C148&lt;=0.05*(i.04130!$E$46-i.04130!$E$40-i.04130!$E$39),C148,0.05*(i.04130!$E$46-i.04130!$E$40-i.04130!$E$39))</f>
        <v>0</v>
      </c>
      <c r="E148" s="369">
        <f t="shared" si="3"/>
        <v>0</v>
      </c>
    </row>
    <row r="149" spans="1:5" x14ac:dyDescent="0.2">
      <c r="A149" s="344">
        <v>13.2</v>
      </c>
      <c r="B149" s="213"/>
      <c r="C149" s="68"/>
      <c r="D149" s="368">
        <f>IF(C149&lt;=0.05*(i.04130!$E$46-i.04130!$E$40-i.04130!$E$39),C149,0.05*(i.04130!$E$46-i.04130!$E$40-i.04130!$E$39))</f>
        <v>0</v>
      </c>
      <c r="E149" s="369">
        <f t="shared" si="3"/>
        <v>0</v>
      </c>
    </row>
    <row r="150" spans="1:5" x14ac:dyDescent="0.2">
      <c r="A150" s="344">
        <v>13.3</v>
      </c>
      <c r="B150" s="213"/>
      <c r="C150" s="68"/>
      <c r="D150" s="368">
        <f>IF(C150&lt;=0.05*(i.04130!$E$46-i.04130!$E$40-i.04130!$E$39),C150,0.05*(i.04130!$E$46-i.04130!$E$40-i.04130!$E$39))</f>
        <v>0</v>
      </c>
      <c r="E150" s="369">
        <f t="shared" si="3"/>
        <v>0</v>
      </c>
    </row>
    <row r="151" spans="1:5" x14ac:dyDescent="0.2">
      <c r="A151" s="344">
        <v>13.4</v>
      </c>
      <c r="B151" s="213"/>
      <c r="C151" s="68"/>
      <c r="D151" s="368">
        <f>IF(C151&lt;=0.05*(i.04130!$E$46-i.04130!$E$40-i.04130!$E$39),C151,0.05*(i.04130!$E$46-i.04130!$E$40-i.04130!$E$39))</f>
        <v>0</v>
      </c>
      <c r="E151" s="369">
        <f t="shared" si="3"/>
        <v>0</v>
      </c>
    </row>
    <row r="152" spans="1:5" x14ac:dyDescent="0.2">
      <c r="A152" s="344">
        <v>13.5</v>
      </c>
      <c r="B152" s="213"/>
      <c r="C152" s="68"/>
      <c r="D152" s="368">
        <f>IF(C152&lt;=0.05*(i.04130!$E$46-i.04130!$E$40-i.04130!$E$39),C152,0.05*(i.04130!$E$46-i.04130!$E$40-i.04130!$E$39))</f>
        <v>0</v>
      </c>
      <c r="E152" s="369">
        <f t="shared" si="3"/>
        <v>0</v>
      </c>
    </row>
    <row r="153" spans="1:5" x14ac:dyDescent="0.2">
      <c r="A153" s="344">
        <v>13.6</v>
      </c>
      <c r="B153" s="213"/>
      <c r="C153" s="68"/>
      <c r="D153" s="368">
        <f>IF(C153&lt;=0.05*(i.04130!$E$46-i.04130!$E$40-i.04130!$E$39),C153,0.05*(i.04130!$E$46-i.04130!$E$40-i.04130!$E$39))</f>
        <v>0</v>
      </c>
      <c r="E153" s="369">
        <f t="shared" si="3"/>
        <v>0</v>
      </c>
    </row>
    <row r="154" spans="1:5" x14ac:dyDescent="0.2">
      <c r="A154" s="344">
        <v>13.7</v>
      </c>
      <c r="B154" s="213"/>
      <c r="C154" s="68"/>
      <c r="D154" s="368">
        <f>IF(C154&lt;=0.05*(i.04130!$E$46-i.04130!$E$40-i.04130!$E$39),C154,0.05*(i.04130!$E$46-i.04130!$E$40-i.04130!$E$39))</f>
        <v>0</v>
      </c>
      <c r="E154" s="369">
        <f t="shared" si="3"/>
        <v>0</v>
      </c>
    </row>
    <row r="155" spans="1:5" x14ac:dyDescent="0.2">
      <c r="A155" s="344">
        <v>13.8</v>
      </c>
      <c r="B155" s="213"/>
      <c r="C155" s="68"/>
      <c r="D155" s="368">
        <f>IF(C155&lt;=0.05*(i.04130!$E$46-i.04130!$E$40-i.04130!$E$39),C155,0.05*(i.04130!$E$46-i.04130!$E$40-i.04130!$E$39))</f>
        <v>0</v>
      </c>
      <c r="E155" s="369">
        <f t="shared" si="3"/>
        <v>0</v>
      </c>
    </row>
    <row r="156" spans="1:5" x14ac:dyDescent="0.2">
      <c r="A156" s="344">
        <v>13.9</v>
      </c>
      <c r="B156" s="213"/>
      <c r="C156" s="68"/>
      <c r="D156" s="368">
        <f>IF(C156&lt;=0.05*(i.04130!$E$46-i.04130!$E$40-i.04130!$E$39),C156,0.05*(i.04130!$E$46-i.04130!$E$40-i.04130!$E$39))</f>
        <v>0</v>
      </c>
      <c r="E156" s="369">
        <f t="shared" si="3"/>
        <v>0</v>
      </c>
    </row>
    <row r="157" spans="1:5" x14ac:dyDescent="0.2">
      <c r="A157" s="340">
        <v>13.1</v>
      </c>
      <c r="B157" s="213"/>
      <c r="C157" s="68"/>
      <c r="D157" s="368">
        <f>IF(C157&lt;=0.05*(i.04130!$E$46-i.04130!$E$40-i.04130!$E$39),C157,0.05*(i.04130!$E$46-i.04130!$E$40-i.04130!$E$39))</f>
        <v>0</v>
      </c>
      <c r="E157" s="369">
        <f t="shared" si="3"/>
        <v>0</v>
      </c>
    </row>
    <row r="158" spans="1:5" x14ac:dyDescent="0.2">
      <c r="A158" s="344">
        <v>13.11</v>
      </c>
      <c r="B158" s="370" t="str">
        <f>"Бусад  "</f>
        <v xml:space="preserve">Бусад  </v>
      </c>
      <c r="C158" s="68"/>
      <c r="D158" s="368">
        <f>IF(C158&lt;=0.05*(i.04130!$E$46-i.04130!$E$40-i.04130!$E$39),C158,0.05*(i.04130!$E$46-i.04130!$E$40-i.04130!$E$39))</f>
        <v>0</v>
      </c>
      <c r="E158" s="369">
        <f t="shared" si="3"/>
        <v>0</v>
      </c>
    </row>
    <row r="159" spans="1:5" s="363" customFormat="1" ht="25.5" customHeight="1" x14ac:dyDescent="0.2">
      <c r="A159" s="331" t="s">
        <v>832</v>
      </c>
      <c r="B159" s="345" t="str">
        <f>"Хөрөнгө оруулалтын нээлттэй сан /Хамгийн өндөр дүнтэйгээс эхлэн бичих/   "</f>
        <v xml:space="preserve">Хөрөнгө оруулалтын нээлттэй сан /Хамгийн өндөр дүнтэйгээс эхлэн бичих/   </v>
      </c>
      <c r="C159" s="346">
        <f>C160+C161+C162+C163+C164+C165+C166+C167+C168+C169+C170</f>
        <v>0</v>
      </c>
      <c r="D159" s="347">
        <f>D160+D161+D162+D163+D164+D165+D166+D167+D168+D169+D170</f>
        <v>0</v>
      </c>
      <c r="E159" s="362">
        <f t="shared" si="3"/>
        <v>0</v>
      </c>
    </row>
    <row r="160" spans="1:5" x14ac:dyDescent="0.2">
      <c r="A160" s="344">
        <v>14.1</v>
      </c>
      <c r="B160" s="213"/>
      <c r="C160" s="68"/>
      <c r="D160" s="368">
        <f>IF(C160&lt;=0.1*(i.04130!$E$46-i.04130!$E$40-i.04130!$E$39),C160,0.1*(i.04130!$E$46-i.04130!$E$40-i.04130!$E$39))</f>
        <v>0</v>
      </c>
      <c r="E160" s="369">
        <f t="shared" si="3"/>
        <v>0</v>
      </c>
    </row>
    <row r="161" spans="1:5" x14ac:dyDescent="0.2">
      <c r="A161" s="344">
        <v>14.2</v>
      </c>
      <c r="B161" s="213"/>
      <c r="C161" s="68"/>
      <c r="D161" s="368">
        <f>IF(C161&lt;=0.1*(i.04130!$E$46-i.04130!$E$40-i.04130!$E$39),C161,0.1*(i.04130!$E$46-i.04130!$E$40-i.04130!$E$39))</f>
        <v>0</v>
      </c>
      <c r="E161" s="369">
        <f t="shared" si="3"/>
        <v>0</v>
      </c>
    </row>
    <row r="162" spans="1:5" x14ac:dyDescent="0.2">
      <c r="A162" s="344">
        <v>14.3</v>
      </c>
      <c r="B162" s="213"/>
      <c r="C162" s="68"/>
      <c r="D162" s="368">
        <f>IF(C162&lt;=0.1*(i.04130!$E$46-i.04130!$E$40-i.04130!$E$39),C162,0.1*(i.04130!$E$46-i.04130!$E$40-i.04130!$E$39))</f>
        <v>0</v>
      </c>
      <c r="E162" s="369">
        <f t="shared" si="3"/>
        <v>0</v>
      </c>
    </row>
    <row r="163" spans="1:5" x14ac:dyDescent="0.2">
      <c r="A163" s="344">
        <v>14.4</v>
      </c>
      <c r="B163" s="213"/>
      <c r="C163" s="68"/>
      <c r="D163" s="368">
        <f>IF(C163&lt;=0.1*(i.04130!$E$46-i.04130!$E$40-i.04130!$E$39),C163,0.1*(i.04130!$E$46-i.04130!$E$40-i.04130!$E$39))</f>
        <v>0</v>
      </c>
      <c r="E163" s="369">
        <f t="shared" si="3"/>
        <v>0</v>
      </c>
    </row>
    <row r="164" spans="1:5" x14ac:dyDescent="0.2">
      <c r="A164" s="344">
        <v>14.5</v>
      </c>
      <c r="B164" s="213"/>
      <c r="C164" s="68"/>
      <c r="D164" s="368">
        <f>IF(C164&lt;=0.1*(i.04130!$E$46-i.04130!$E$40-i.04130!$E$39),C164,0.1*(i.04130!$E$46-i.04130!$E$40-i.04130!$E$39))</f>
        <v>0</v>
      </c>
      <c r="E164" s="369">
        <f t="shared" si="3"/>
        <v>0</v>
      </c>
    </row>
    <row r="165" spans="1:5" x14ac:dyDescent="0.2">
      <c r="A165" s="344">
        <v>14.6</v>
      </c>
      <c r="B165" s="213"/>
      <c r="C165" s="68"/>
      <c r="D165" s="368">
        <f>IF(C165&lt;=0.1*(i.04130!$E$46-i.04130!$E$40-i.04130!$E$39),C165,0.1*(i.04130!$E$46-i.04130!$E$40-i.04130!$E$39))</f>
        <v>0</v>
      </c>
      <c r="E165" s="369">
        <f t="shared" si="3"/>
        <v>0</v>
      </c>
    </row>
    <row r="166" spans="1:5" x14ac:dyDescent="0.2">
      <c r="A166" s="344">
        <v>14.7</v>
      </c>
      <c r="B166" s="213"/>
      <c r="C166" s="68"/>
      <c r="D166" s="368">
        <f>IF(C166&lt;=0.1*(i.04130!$E$46-i.04130!$E$40-i.04130!$E$39),C166,0.1*(i.04130!$E$46-i.04130!$E$40-i.04130!$E$39))</f>
        <v>0</v>
      </c>
      <c r="E166" s="369">
        <f t="shared" si="3"/>
        <v>0</v>
      </c>
    </row>
    <row r="167" spans="1:5" x14ac:dyDescent="0.2">
      <c r="A167" s="344">
        <v>14.8</v>
      </c>
      <c r="B167" s="213"/>
      <c r="C167" s="68"/>
      <c r="D167" s="368">
        <f>IF(C167&lt;=0.1*(i.04130!$E$46-i.04130!$E$40-i.04130!$E$39),C167,0.1*(i.04130!$E$46-i.04130!$E$40-i.04130!$E$39))</f>
        <v>0</v>
      </c>
      <c r="E167" s="369">
        <f t="shared" si="3"/>
        <v>0</v>
      </c>
    </row>
    <row r="168" spans="1:5" x14ac:dyDescent="0.2">
      <c r="A168" s="344">
        <v>14.9</v>
      </c>
      <c r="B168" s="213"/>
      <c r="C168" s="68"/>
      <c r="D168" s="368">
        <f>IF(C168&lt;=0.1*(i.04130!$E$46-i.04130!$E$40-i.04130!$E$39),C168,0.1*(i.04130!$E$46-i.04130!$E$40-i.04130!$E$39))</f>
        <v>0</v>
      </c>
      <c r="E168" s="369">
        <f t="shared" si="3"/>
        <v>0</v>
      </c>
    </row>
    <row r="169" spans="1:5" x14ac:dyDescent="0.2">
      <c r="A169" s="340">
        <v>14.1</v>
      </c>
      <c r="B169" s="213"/>
      <c r="C169" s="68"/>
      <c r="D169" s="368">
        <f>IF(C169&lt;=0.1*(i.04130!$E$46-i.04130!$E$40-i.04130!$E$39),C169,0.1*(i.04130!$E$46-i.04130!$E$40-i.04130!$E$39))</f>
        <v>0</v>
      </c>
      <c r="E169" s="369">
        <f t="shared" si="3"/>
        <v>0</v>
      </c>
    </row>
    <row r="170" spans="1:5" x14ac:dyDescent="0.2">
      <c r="A170" s="344">
        <v>14.11</v>
      </c>
      <c r="B170" s="370" t="str">
        <f>"Бусад  "</f>
        <v xml:space="preserve">Бусад  </v>
      </c>
      <c r="C170" s="68"/>
      <c r="D170" s="368">
        <f>IF(C170&lt;=0.1*(i.04130!$E$46-i.04130!$E$40-i.04130!$E$39),C170,0.1*(i.04130!$E$46-i.04130!$E$40-i.04130!$E$39))</f>
        <v>0</v>
      </c>
      <c r="E170" s="369">
        <f t="shared" si="3"/>
        <v>0</v>
      </c>
    </row>
    <row r="171" spans="1:5" s="363" customFormat="1" ht="27" customHeight="1" x14ac:dyDescent="0.2">
      <c r="A171" s="331" t="s">
        <v>833</v>
      </c>
      <c r="B171" s="345" t="str">
        <f>"Хөрөнгө оруулалтын хаалттай сан /Хамгийн өндөр дүнтэйгээс эхлэн бичих/   "</f>
        <v xml:space="preserve">Хөрөнгө оруулалтын хаалттай сан /Хамгийн өндөр дүнтэйгээс эхлэн бичих/   </v>
      </c>
      <c r="C171" s="346">
        <f>C172+C173+C174+C175+C176+C177+C178+C179+C180+C181+C182</f>
        <v>0</v>
      </c>
      <c r="D171" s="347">
        <f>D172+D173+D174+D175+D176+D177+D178+D179+D180+D181+D182</f>
        <v>0</v>
      </c>
      <c r="E171" s="362">
        <f t="shared" si="3"/>
        <v>0</v>
      </c>
    </row>
    <row r="172" spans="1:5" x14ac:dyDescent="0.2">
      <c r="A172" s="344">
        <v>15.1</v>
      </c>
      <c r="B172" s="213"/>
      <c r="C172" s="68"/>
      <c r="D172" s="368">
        <f>IF(C172&lt;=0.1*(i.04130!$E$46-i.04130!$E$40-i.04130!$E$39),C172,0.1*(i.04130!$E$46-i.04130!$E$40-i.04130!$E$39))</f>
        <v>0</v>
      </c>
      <c r="E172" s="369">
        <f t="shared" si="3"/>
        <v>0</v>
      </c>
    </row>
    <row r="173" spans="1:5" x14ac:dyDescent="0.2">
      <c r="A173" s="344">
        <v>15.2</v>
      </c>
      <c r="B173" s="213"/>
      <c r="C173" s="68"/>
      <c r="D173" s="368">
        <f>IF(C173&lt;=0.1*(i.04130!$E$46-i.04130!$E$40-i.04130!$E$39),C173,0.1*(i.04130!$E$46-i.04130!$E$40-i.04130!$E$39))</f>
        <v>0</v>
      </c>
      <c r="E173" s="369">
        <f t="shared" si="3"/>
        <v>0</v>
      </c>
    </row>
    <row r="174" spans="1:5" x14ac:dyDescent="0.2">
      <c r="A174" s="344">
        <v>15.3</v>
      </c>
      <c r="B174" s="213"/>
      <c r="C174" s="68"/>
      <c r="D174" s="368">
        <f>IF(C174&lt;=0.1*(i.04130!$E$46-i.04130!$E$40-i.04130!$E$39),C174,0.1*(i.04130!$E$46-i.04130!$E$40-i.04130!$E$39))</f>
        <v>0</v>
      </c>
      <c r="E174" s="369">
        <f t="shared" si="3"/>
        <v>0</v>
      </c>
    </row>
    <row r="175" spans="1:5" x14ac:dyDescent="0.2">
      <c r="A175" s="344">
        <v>15.4</v>
      </c>
      <c r="B175" s="213"/>
      <c r="C175" s="68"/>
      <c r="D175" s="368">
        <f>IF(C175&lt;=0.1*(i.04130!$E$46-i.04130!$E$40-i.04130!$E$39),C175,0.1*(i.04130!$E$46-i.04130!$E$40-i.04130!$E$39))</f>
        <v>0</v>
      </c>
      <c r="E175" s="369">
        <f t="shared" si="3"/>
        <v>0</v>
      </c>
    </row>
    <row r="176" spans="1:5" x14ac:dyDescent="0.2">
      <c r="A176" s="344">
        <v>15.5</v>
      </c>
      <c r="B176" s="213"/>
      <c r="C176" s="68"/>
      <c r="D176" s="368">
        <f>IF(C176&lt;=0.1*(i.04130!$E$46-i.04130!$E$40-i.04130!$E$39),C176,0.1*(i.04130!$E$46-i.04130!$E$40-i.04130!$E$39))</f>
        <v>0</v>
      </c>
      <c r="E176" s="369">
        <f t="shared" si="3"/>
        <v>0</v>
      </c>
    </row>
    <row r="177" spans="1:5" x14ac:dyDescent="0.2">
      <c r="A177" s="344">
        <v>15.6</v>
      </c>
      <c r="B177" s="213"/>
      <c r="C177" s="68"/>
      <c r="D177" s="368">
        <f>IF(C177&lt;=0.1*(i.04130!$E$46-i.04130!$E$40-i.04130!$E$39),C177,0.1*(i.04130!$E$46-i.04130!$E$40-i.04130!$E$39))</f>
        <v>0</v>
      </c>
      <c r="E177" s="369">
        <f t="shared" si="3"/>
        <v>0</v>
      </c>
    </row>
    <row r="178" spans="1:5" x14ac:dyDescent="0.2">
      <c r="A178" s="344">
        <v>15.7</v>
      </c>
      <c r="B178" s="213"/>
      <c r="C178" s="68"/>
      <c r="D178" s="368">
        <f>IF(C178&lt;=0.1*(i.04130!$E$46-i.04130!$E$40-i.04130!$E$39),C178,0.1*(i.04130!$E$46-i.04130!$E$40-i.04130!$E$39))</f>
        <v>0</v>
      </c>
      <c r="E178" s="369">
        <f t="shared" si="3"/>
        <v>0</v>
      </c>
    </row>
    <row r="179" spans="1:5" x14ac:dyDescent="0.2">
      <c r="A179" s="344">
        <v>15.8</v>
      </c>
      <c r="B179" s="213"/>
      <c r="C179" s="68"/>
      <c r="D179" s="368">
        <f>IF(C179&lt;=0.1*(i.04130!$E$46-i.04130!$E$40-i.04130!$E$39),C179,0.1*(i.04130!$E$46-i.04130!$E$40-i.04130!$E$39))</f>
        <v>0</v>
      </c>
      <c r="E179" s="369">
        <f t="shared" si="3"/>
        <v>0</v>
      </c>
    </row>
    <row r="180" spans="1:5" x14ac:dyDescent="0.2">
      <c r="A180" s="344">
        <v>15.9</v>
      </c>
      <c r="B180" s="213"/>
      <c r="C180" s="68"/>
      <c r="D180" s="368">
        <f>IF(C180&lt;=0.1*(i.04130!$E$46-i.04130!$E$40-i.04130!$E$39),C180,0.1*(i.04130!$E$46-i.04130!$E$40-i.04130!$E$39))</f>
        <v>0</v>
      </c>
      <c r="E180" s="369">
        <f t="shared" si="3"/>
        <v>0</v>
      </c>
    </row>
    <row r="181" spans="1:5" x14ac:dyDescent="0.2">
      <c r="A181" s="340">
        <v>15.1</v>
      </c>
      <c r="B181" s="213"/>
      <c r="C181" s="68"/>
      <c r="D181" s="368">
        <f>IF(C181&lt;=0.1*(i.04130!$E$46-i.04130!$E$40-i.04130!$E$39),C181,0.1*(i.04130!$E$46-i.04130!$E$40-i.04130!$E$39))</f>
        <v>0</v>
      </c>
      <c r="E181" s="369">
        <f t="shared" si="3"/>
        <v>0</v>
      </c>
    </row>
    <row r="182" spans="1:5" x14ac:dyDescent="0.2">
      <c r="A182" s="344">
        <v>15.11</v>
      </c>
      <c r="B182" s="370" t="str">
        <f>"Бусад  "</f>
        <v xml:space="preserve">Бусад  </v>
      </c>
      <c r="C182" s="68"/>
      <c r="D182" s="368">
        <f>IF(C182&lt;=0.1*(i.04130!$E$46-i.04130!$E$40-i.04130!$E$39),C182,0.1*(i.04130!$E$46-i.04130!$E$40-i.04130!$E$39))</f>
        <v>0</v>
      </c>
      <c r="E182" s="369">
        <f t="shared" si="3"/>
        <v>0</v>
      </c>
    </row>
    <row r="183" spans="1:5" s="363" customFormat="1" ht="38.25" x14ac:dyDescent="0.2">
      <c r="A183" s="331" t="s">
        <v>834</v>
      </c>
      <c r="B183" s="345" t="str">
        <f>"Гадаадын Засгийн газраас гаргасан өрийн хэрэгсэл /Хамгийн өндөр дүнтэйгээс эхлэн бичих/   "</f>
        <v xml:space="preserve">Гадаадын Засгийн газраас гаргасан өрийн хэрэгсэл /Хамгийн өндөр дүнтэйгээс эхлэн бичих/   </v>
      </c>
      <c r="C183" s="346">
        <f>C184+C185+C186+C187+C188+C189+C190+C191+C192+C193+C194</f>
        <v>0</v>
      </c>
      <c r="D183" s="347">
        <f>D184+D185+D186+D187+D188+D189+D190+D191+D192+D193+D194</f>
        <v>0</v>
      </c>
      <c r="E183" s="362">
        <f t="shared" si="3"/>
        <v>0</v>
      </c>
    </row>
    <row r="184" spans="1:5" x14ac:dyDescent="0.2">
      <c r="A184" s="344">
        <v>16.100000000000001</v>
      </c>
      <c r="B184" s="213"/>
      <c r="C184" s="68"/>
      <c r="D184" s="368">
        <f>IF(C184&lt;=0.01*(i.04130!$E$46-i.04130!$E$40-i.04130!$E$39),C184,0.01*(i.04130!$E$46-i.04130!$E$40-i.04130!$E$39))</f>
        <v>0</v>
      </c>
      <c r="E184" s="369">
        <f t="shared" si="3"/>
        <v>0</v>
      </c>
    </row>
    <row r="185" spans="1:5" x14ac:dyDescent="0.2">
      <c r="A185" s="344">
        <v>16.2</v>
      </c>
      <c r="B185" s="213"/>
      <c r="C185" s="68"/>
      <c r="D185" s="368">
        <f>IF(C185&lt;=0.01*(i.04130!$E$46-i.04130!$E$40-i.04130!$E$39),C185,0.01*(i.04130!$E$46-i.04130!$E$40-i.04130!$E$39))</f>
        <v>0</v>
      </c>
      <c r="E185" s="369">
        <f t="shared" si="3"/>
        <v>0</v>
      </c>
    </row>
    <row r="186" spans="1:5" x14ac:dyDescent="0.2">
      <c r="A186" s="344">
        <v>16.3</v>
      </c>
      <c r="B186" s="213"/>
      <c r="C186" s="68"/>
      <c r="D186" s="368">
        <f>IF(C186&lt;=0.01*(i.04130!$E$46-i.04130!$E$40-i.04130!$E$39),C186,0.01*(i.04130!$E$46-i.04130!$E$40-i.04130!$E$39))</f>
        <v>0</v>
      </c>
      <c r="E186" s="369">
        <f t="shared" si="3"/>
        <v>0</v>
      </c>
    </row>
    <row r="187" spans="1:5" x14ac:dyDescent="0.2">
      <c r="A187" s="344">
        <v>16.399999999999999</v>
      </c>
      <c r="B187" s="213"/>
      <c r="C187" s="68"/>
      <c r="D187" s="368">
        <f>IF(C187&lt;=0.01*(i.04130!$E$46-i.04130!$E$40-i.04130!$E$39),C187,0.01*(i.04130!$E$46-i.04130!$E$40-i.04130!$E$39))</f>
        <v>0</v>
      </c>
      <c r="E187" s="369">
        <f t="shared" si="3"/>
        <v>0</v>
      </c>
    </row>
    <row r="188" spans="1:5" x14ac:dyDescent="0.2">
      <c r="A188" s="344">
        <v>16.5</v>
      </c>
      <c r="B188" s="213"/>
      <c r="C188" s="68"/>
      <c r="D188" s="368">
        <f>IF(C188&lt;=0.01*(i.04130!$E$46-i.04130!$E$40-i.04130!$E$39),C188,0.01*(i.04130!$E$46-i.04130!$E$40-i.04130!$E$39))</f>
        <v>0</v>
      </c>
      <c r="E188" s="369">
        <f t="shared" si="3"/>
        <v>0</v>
      </c>
    </row>
    <row r="189" spans="1:5" x14ac:dyDescent="0.2">
      <c r="A189" s="344">
        <v>16.600000000000001</v>
      </c>
      <c r="B189" s="213"/>
      <c r="C189" s="68"/>
      <c r="D189" s="368">
        <f>IF(C189&lt;=0.01*(i.04130!$E$46-i.04130!$E$40-i.04130!$E$39),C189,0.01*(i.04130!$E$46-i.04130!$E$40-i.04130!$E$39))</f>
        <v>0</v>
      </c>
      <c r="E189" s="369">
        <f t="shared" si="3"/>
        <v>0</v>
      </c>
    </row>
    <row r="190" spans="1:5" x14ac:dyDescent="0.2">
      <c r="A190" s="344">
        <v>16.7</v>
      </c>
      <c r="B190" s="213"/>
      <c r="C190" s="68"/>
      <c r="D190" s="368">
        <f>IF(C190&lt;=0.01*(i.04130!$E$46-i.04130!$E$40-i.04130!$E$39),C190,0.01*(i.04130!$E$46-i.04130!$E$40-i.04130!$E$39))</f>
        <v>0</v>
      </c>
      <c r="E190" s="369">
        <f t="shared" si="3"/>
        <v>0</v>
      </c>
    </row>
    <row r="191" spans="1:5" x14ac:dyDescent="0.2">
      <c r="A191" s="344">
        <v>16.8</v>
      </c>
      <c r="B191" s="213"/>
      <c r="C191" s="68"/>
      <c r="D191" s="368">
        <f>IF(C191&lt;=0.01*(i.04130!$E$46-i.04130!$E$40-i.04130!$E$39),C191,0.01*(i.04130!$E$46-i.04130!$E$40-i.04130!$E$39))</f>
        <v>0</v>
      </c>
      <c r="E191" s="369">
        <f t="shared" si="3"/>
        <v>0</v>
      </c>
    </row>
    <row r="192" spans="1:5" x14ac:dyDescent="0.2">
      <c r="A192" s="344">
        <v>16.899999999999999</v>
      </c>
      <c r="B192" s="213"/>
      <c r="C192" s="68"/>
      <c r="D192" s="368">
        <f>IF(C192&lt;=0.01*(i.04130!$E$46-i.04130!$E$40-i.04130!$E$39),C192,0.01*(i.04130!$E$46-i.04130!$E$40-i.04130!$E$39))</f>
        <v>0</v>
      </c>
      <c r="E192" s="369">
        <f t="shared" si="3"/>
        <v>0</v>
      </c>
    </row>
    <row r="193" spans="1:5" x14ac:dyDescent="0.2">
      <c r="A193" s="340">
        <v>16.100000000000001</v>
      </c>
      <c r="B193" s="213"/>
      <c r="C193" s="68"/>
      <c r="D193" s="368">
        <f>IF(C193&lt;=0.01*(i.04130!$E$46-i.04130!$E$40-i.04130!$E$39),C193,0.01*(i.04130!$E$46-i.04130!$E$40-i.04130!$E$39))</f>
        <v>0</v>
      </c>
      <c r="E193" s="369">
        <f t="shared" si="3"/>
        <v>0</v>
      </c>
    </row>
    <row r="194" spans="1:5" x14ac:dyDescent="0.2">
      <c r="A194" s="344">
        <v>16.11</v>
      </c>
      <c r="B194" s="370" t="str">
        <f>"Бусад  "</f>
        <v xml:space="preserve">Бусад  </v>
      </c>
      <c r="C194" s="68"/>
      <c r="D194" s="368">
        <f>IF(C194&lt;=0.01*(i.04130!$E$46-i.04130!$E$40-i.04130!$E$39),C194,0.01*(i.04130!$E$46-i.04130!$E$40-i.04130!$E$39))</f>
        <v>0</v>
      </c>
      <c r="E194" s="369">
        <f t="shared" si="3"/>
        <v>0</v>
      </c>
    </row>
    <row r="195" spans="1:5" s="363" customFormat="1" ht="28.5" customHeight="1" x14ac:dyDescent="0.2">
      <c r="A195" s="331" t="s">
        <v>835</v>
      </c>
      <c r="B195" s="345" t="str">
        <f>"Гадаадын Төв банкны үнэт цаас /Хамгийн өндөр дүнтэйгээс эхлэн бичих/   "</f>
        <v xml:space="preserve">Гадаадын Төв банкны үнэт цаас /Хамгийн өндөр дүнтэйгээс эхлэн бичих/   </v>
      </c>
      <c r="C195" s="346">
        <f>C196+C197+C198+C199+C200+C201+C202+C203+C204+C205+C206</f>
        <v>0</v>
      </c>
      <c r="D195" s="347">
        <f>D196+D197+D198+D199+D200+D201+D202+D203+D204+D205+D206</f>
        <v>0</v>
      </c>
      <c r="E195" s="362">
        <f t="shared" si="3"/>
        <v>0</v>
      </c>
    </row>
    <row r="196" spans="1:5" x14ac:dyDescent="0.2">
      <c r="A196" s="344">
        <v>17.100000000000001</v>
      </c>
      <c r="B196" s="213"/>
      <c r="C196" s="68"/>
      <c r="D196" s="368">
        <f>IF(C196&lt;=0.01*(i.04130!$E$46-i.04130!$E$40-i.04130!$E$39),C196,0.01*(i.04130!$E$46-i.04130!$E$40-i.04130!$E$39))</f>
        <v>0</v>
      </c>
      <c r="E196" s="369">
        <f t="shared" si="3"/>
        <v>0</v>
      </c>
    </row>
    <row r="197" spans="1:5" x14ac:dyDescent="0.2">
      <c r="A197" s="344">
        <v>17.2</v>
      </c>
      <c r="B197" s="213"/>
      <c r="C197" s="68"/>
      <c r="D197" s="368">
        <f>IF(C197&lt;=0.01*(i.04130!$E$46-i.04130!$E$40-i.04130!$E$39),C197,0.01*(i.04130!$E$46-i.04130!$E$40-i.04130!$E$39))</f>
        <v>0</v>
      </c>
      <c r="E197" s="369">
        <f t="shared" si="3"/>
        <v>0</v>
      </c>
    </row>
    <row r="198" spans="1:5" x14ac:dyDescent="0.2">
      <c r="A198" s="344">
        <v>17.3</v>
      </c>
      <c r="B198" s="213"/>
      <c r="C198" s="68"/>
      <c r="D198" s="368">
        <f>IF(C198&lt;=0.01*(i.04130!$E$46-i.04130!$E$40-i.04130!$E$39),C198,0.01*(i.04130!$E$46-i.04130!$E$40-i.04130!$E$39))</f>
        <v>0</v>
      </c>
      <c r="E198" s="369">
        <f t="shared" si="3"/>
        <v>0</v>
      </c>
    </row>
    <row r="199" spans="1:5" x14ac:dyDescent="0.2">
      <c r="A199" s="344">
        <v>17.399999999999999</v>
      </c>
      <c r="B199" s="213"/>
      <c r="C199" s="68"/>
      <c r="D199" s="368">
        <f>IF(C199&lt;=0.01*(i.04130!$E$46-i.04130!$E$40-i.04130!$E$39),C199,0.01*(i.04130!$E$46-i.04130!$E$40-i.04130!$E$39))</f>
        <v>0</v>
      </c>
      <c r="E199" s="369">
        <f t="shared" si="3"/>
        <v>0</v>
      </c>
    </row>
    <row r="200" spans="1:5" x14ac:dyDescent="0.2">
      <c r="A200" s="344">
        <v>17.5</v>
      </c>
      <c r="B200" s="213"/>
      <c r="C200" s="68"/>
      <c r="D200" s="368">
        <f>IF(C200&lt;=0.01*(i.04130!$E$46-i.04130!$E$40-i.04130!$E$39),C200,0.01*(i.04130!$E$46-i.04130!$E$40-i.04130!$E$39))</f>
        <v>0</v>
      </c>
      <c r="E200" s="369">
        <f t="shared" si="3"/>
        <v>0</v>
      </c>
    </row>
    <row r="201" spans="1:5" x14ac:dyDescent="0.2">
      <c r="A201" s="344">
        <v>17.600000000000001</v>
      </c>
      <c r="B201" s="213"/>
      <c r="C201" s="68"/>
      <c r="D201" s="368">
        <f>IF(C201&lt;=0.01*(i.04130!$E$46-i.04130!$E$40-i.04130!$E$39),C201,0.01*(i.04130!$E$46-i.04130!$E$40-i.04130!$E$39))</f>
        <v>0</v>
      </c>
      <c r="E201" s="369">
        <f t="shared" si="3"/>
        <v>0</v>
      </c>
    </row>
    <row r="202" spans="1:5" x14ac:dyDescent="0.2">
      <c r="A202" s="344">
        <v>17.7</v>
      </c>
      <c r="B202" s="213"/>
      <c r="C202" s="68"/>
      <c r="D202" s="368">
        <f>IF(C202&lt;=0.01*(i.04130!$E$46-i.04130!$E$40-i.04130!$E$39),C202,0.01*(i.04130!$E$46-i.04130!$E$40-i.04130!$E$39))</f>
        <v>0</v>
      </c>
      <c r="E202" s="369">
        <f t="shared" ref="E202:E265" si="4">C202-D202</f>
        <v>0</v>
      </c>
    </row>
    <row r="203" spans="1:5" x14ac:dyDescent="0.2">
      <c r="A203" s="344">
        <v>17.8</v>
      </c>
      <c r="B203" s="213"/>
      <c r="C203" s="68"/>
      <c r="D203" s="368">
        <f>IF(C203&lt;=0.01*(i.04130!$E$46-i.04130!$E$40-i.04130!$E$39),C203,0.01*(i.04130!$E$46-i.04130!$E$40-i.04130!$E$39))</f>
        <v>0</v>
      </c>
      <c r="E203" s="369">
        <f t="shared" si="4"/>
        <v>0</v>
      </c>
    </row>
    <row r="204" spans="1:5" x14ac:dyDescent="0.2">
      <c r="A204" s="344">
        <v>17.899999999999999</v>
      </c>
      <c r="B204" s="213"/>
      <c r="C204" s="68"/>
      <c r="D204" s="368">
        <f>IF(C204&lt;=0.01*(i.04130!$E$46-i.04130!$E$40-i.04130!$E$39),C204,0.01*(i.04130!$E$46-i.04130!$E$40-i.04130!$E$39))</f>
        <v>0</v>
      </c>
      <c r="E204" s="369">
        <f t="shared" si="4"/>
        <v>0</v>
      </c>
    </row>
    <row r="205" spans="1:5" x14ac:dyDescent="0.2">
      <c r="A205" s="340">
        <v>17.100000000000001</v>
      </c>
      <c r="B205" s="213"/>
      <c r="C205" s="68"/>
      <c r="D205" s="368">
        <f>IF(C205&lt;=0.01*(i.04130!$E$46-i.04130!$E$40-i.04130!$E$39),C205,0.01*(i.04130!$E$46-i.04130!$E$40-i.04130!$E$39))</f>
        <v>0</v>
      </c>
      <c r="E205" s="369">
        <f t="shared" si="4"/>
        <v>0</v>
      </c>
    </row>
    <row r="206" spans="1:5" x14ac:dyDescent="0.2">
      <c r="A206" s="344">
        <v>17.11</v>
      </c>
      <c r="B206" s="370" t="str">
        <f>"Бусад  "</f>
        <v xml:space="preserve">Бусад  </v>
      </c>
      <c r="C206" s="68"/>
      <c r="D206" s="368">
        <f>IF(C206&lt;=0.01*(i.04130!$E$46-i.04130!$E$40-i.04130!$E$39),C206,0.01*(i.04130!$E$46-i.04130!$E$40-i.04130!$E$39))</f>
        <v>0</v>
      </c>
      <c r="E206" s="369">
        <f t="shared" si="4"/>
        <v>0</v>
      </c>
    </row>
    <row r="207" spans="1:5" s="363" customFormat="1" ht="27" customHeight="1" x14ac:dyDescent="0.2">
      <c r="A207" s="331" t="s">
        <v>836</v>
      </c>
      <c r="B207" s="345" t="str">
        <f>"Гадаадын компанийн өрийн хэрэгсэл /Хамгийн өндөр дүнтэйгээс эхлэн бичих/  "</f>
        <v xml:space="preserve">Гадаадын компанийн өрийн хэрэгсэл /Хамгийн өндөр дүнтэйгээс эхлэн бичих/  </v>
      </c>
      <c r="C207" s="346">
        <f>C208+C209+C210+C211+C212+C213+C214+C215+C216+C217+C218</f>
        <v>0</v>
      </c>
      <c r="D207" s="347">
        <f>D208+D209+D210+D211+D212+D213+D214+D215+D216+D217+D218</f>
        <v>0</v>
      </c>
      <c r="E207" s="362">
        <f t="shared" si="4"/>
        <v>0</v>
      </c>
    </row>
    <row r="208" spans="1:5" x14ac:dyDescent="0.2">
      <c r="A208" s="344">
        <v>18.100000000000001</v>
      </c>
      <c r="B208" s="213"/>
      <c r="C208" s="68"/>
      <c r="D208" s="368">
        <f>IF(C208&lt;=0.005*(i.04130!$E$46-i.04130!$E$40-i.04130!$E$39),C208,0.005*(i.04130!$E$46-i.04130!$E$40-i.04130!$E$39))</f>
        <v>0</v>
      </c>
      <c r="E208" s="369">
        <f t="shared" si="4"/>
        <v>0</v>
      </c>
    </row>
    <row r="209" spans="1:5" x14ac:dyDescent="0.2">
      <c r="A209" s="344">
        <v>18.2</v>
      </c>
      <c r="B209" s="213"/>
      <c r="C209" s="68"/>
      <c r="D209" s="368">
        <f>IF(C209&lt;=0.005*(i.04130!$E$46-i.04130!$E$40-i.04130!$E$39),C209,0.005*(i.04130!$E$46-i.04130!$E$40-i.04130!$E$39))</f>
        <v>0</v>
      </c>
      <c r="E209" s="369">
        <f t="shared" si="4"/>
        <v>0</v>
      </c>
    </row>
    <row r="210" spans="1:5" x14ac:dyDescent="0.2">
      <c r="A210" s="344">
        <v>18.3</v>
      </c>
      <c r="B210" s="213"/>
      <c r="C210" s="68"/>
      <c r="D210" s="368">
        <f>IF(C210&lt;=0.005*(i.04130!$E$46-i.04130!$E$40-i.04130!$E$39),C210,0.005*(i.04130!$E$46-i.04130!$E$40-i.04130!$E$39))</f>
        <v>0</v>
      </c>
      <c r="E210" s="369">
        <f t="shared" si="4"/>
        <v>0</v>
      </c>
    </row>
    <row r="211" spans="1:5" x14ac:dyDescent="0.2">
      <c r="A211" s="344">
        <v>18.399999999999999</v>
      </c>
      <c r="B211" s="213"/>
      <c r="C211" s="68"/>
      <c r="D211" s="368">
        <f>IF(C211&lt;=0.005*(i.04130!$E$46-i.04130!$E$40-i.04130!$E$39),C211,0.005*(i.04130!$E$46-i.04130!$E$40-i.04130!$E$39))</f>
        <v>0</v>
      </c>
      <c r="E211" s="369">
        <f t="shared" si="4"/>
        <v>0</v>
      </c>
    </row>
    <row r="212" spans="1:5" x14ac:dyDescent="0.2">
      <c r="A212" s="344">
        <v>18.5</v>
      </c>
      <c r="B212" s="213"/>
      <c r="C212" s="68"/>
      <c r="D212" s="368">
        <f>IF(C212&lt;=0.005*(i.04130!$E$46-i.04130!$E$40-i.04130!$E$39),C212,0.005*(i.04130!$E$46-i.04130!$E$40-i.04130!$E$39))</f>
        <v>0</v>
      </c>
      <c r="E212" s="369">
        <f t="shared" si="4"/>
        <v>0</v>
      </c>
    </row>
    <row r="213" spans="1:5" x14ac:dyDescent="0.2">
      <c r="A213" s="344">
        <v>18.600000000000001</v>
      </c>
      <c r="B213" s="213"/>
      <c r="C213" s="68"/>
      <c r="D213" s="368">
        <f>IF(C213&lt;=0.005*(i.04130!$E$46-i.04130!$E$40-i.04130!$E$39),C213,0.005*(i.04130!$E$46-i.04130!$E$40-i.04130!$E$39))</f>
        <v>0</v>
      </c>
      <c r="E213" s="369">
        <f t="shared" si="4"/>
        <v>0</v>
      </c>
    </row>
    <row r="214" spans="1:5" x14ac:dyDescent="0.2">
      <c r="A214" s="344">
        <v>18.7</v>
      </c>
      <c r="B214" s="213"/>
      <c r="C214" s="68"/>
      <c r="D214" s="368">
        <f>IF(C214&lt;=0.005*(i.04130!$E$46-i.04130!$E$40-i.04130!$E$39),C214,0.005*(i.04130!$E$46-i.04130!$E$40-i.04130!$E$39))</f>
        <v>0</v>
      </c>
      <c r="E214" s="369">
        <f t="shared" si="4"/>
        <v>0</v>
      </c>
    </row>
    <row r="215" spans="1:5" x14ac:dyDescent="0.2">
      <c r="A215" s="344">
        <v>18.8</v>
      </c>
      <c r="B215" s="213"/>
      <c r="C215" s="68"/>
      <c r="D215" s="368">
        <f>IF(C215&lt;=0.005*(i.04130!$E$46-i.04130!$E$40-i.04130!$E$39),C215,0.005*(i.04130!$E$46-i.04130!$E$40-i.04130!$E$39))</f>
        <v>0</v>
      </c>
      <c r="E215" s="369">
        <f t="shared" si="4"/>
        <v>0</v>
      </c>
    </row>
    <row r="216" spans="1:5" x14ac:dyDescent="0.2">
      <c r="A216" s="344">
        <v>18.899999999999999</v>
      </c>
      <c r="B216" s="213"/>
      <c r="C216" s="68"/>
      <c r="D216" s="368">
        <f>IF(C216&lt;=0.005*(i.04130!$E$46-i.04130!$E$40-i.04130!$E$39),C216,0.005*(i.04130!$E$46-i.04130!$E$40-i.04130!$E$39))</f>
        <v>0</v>
      </c>
      <c r="E216" s="369">
        <f t="shared" si="4"/>
        <v>0</v>
      </c>
    </row>
    <row r="217" spans="1:5" x14ac:dyDescent="0.2">
      <c r="A217" s="340">
        <v>18.100000000000001</v>
      </c>
      <c r="B217" s="213"/>
      <c r="C217" s="68"/>
      <c r="D217" s="368">
        <f>IF(C217&lt;=0.005*(i.04130!$E$46-i.04130!$E$40-i.04130!$E$39),C217,0.005*(i.04130!$E$46-i.04130!$E$40-i.04130!$E$39))</f>
        <v>0</v>
      </c>
      <c r="E217" s="369">
        <f t="shared" si="4"/>
        <v>0</v>
      </c>
    </row>
    <row r="218" spans="1:5" x14ac:dyDescent="0.2">
      <c r="A218" s="344">
        <v>18.11</v>
      </c>
      <c r="B218" s="370" t="str">
        <f>"Бусад  "</f>
        <v xml:space="preserve">Бусад  </v>
      </c>
      <c r="C218" s="68"/>
      <c r="D218" s="368">
        <f>IF(C218&lt;=0.005*(i.04130!$E$46-i.04130!$E$40-i.04130!$E$39),C218,0.005*(i.04130!$E$46-i.04130!$E$40-i.04130!$E$39))</f>
        <v>0</v>
      </c>
      <c r="E218" s="369">
        <f t="shared" si="4"/>
        <v>0</v>
      </c>
    </row>
    <row r="219" spans="1:5" s="363" customFormat="1" ht="26.25" customHeight="1" x14ac:dyDescent="0.2">
      <c r="A219" s="331" t="s">
        <v>837</v>
      </c>
      <c r="B219" s="345" t="str">
        <f>"Гадаадын компанийн хувьцаа /Хамгийн өндөр дүнтэйгээс эхлэн бичих/   "</f>
        <v xml:space="preserve">Гадаадын компанийн хувьцаа /Хамгийн өндөр дүнтэйгээс эхлэн бичих/   </v>
      </c>
      <c r="C219" s="373">
        <f>C220+C221+C222+C223+C224+C225+C226+C227+C228+C229+C230</f>
        <v>0</v>
      </c>
      <c r="D219" s="347">
        <f>D220+D221+D222+D223+D224+D225+D226+D227+D228+D229+D230</f>
        <v>0</v>
      </c>
      <c r="E219" s="362">
        <f t="shared" si="4"/>
        <v>0</v>
      </c>
    </row>
    <row r="220" spans="1:5" x14ac:dyDescent="0.2">
      <c r="A220" s="344">
        <v>19.100000000000001</v>
      </c>
      <c r="B220" s="213"/>
      <c r="C220" s="221"/>
      <c r="D220" s="368">
        <f>IF(C220&lt;=0.005*(i.04130!$E$46-i.04130!$E$40-i.04130!$E$39),C220,0.005*(i.04130!$E$46-i.04130!$E$40-i.04130!$E$39))</f>
        <v>0</v>
      </c>
      <c r="E220" s="369">
        <f t="shared" si="4"/>
        <v>0</v>
      </c>
    </row>
    <row r="221" spans="1:5" x14ac:dyDescent="0.2">
      <c r="A221" s="344">
        <v>19.2</v>
      </c>
      <c r="B221" s="213"/>
      <c r="C221" s="221"/>
      <c r="D221" s="368">
        <f>IF(C221&lt;=0.005*(i.04130!$E$46-i.04130!$E$40-i.04130!$E$39),C221,0.005*(i.04130!$E$46-i.04130!$E$40-i.04130!$E$39))</f>
        <v>0</v>
      </c>
      <c r="E221" s="369">
        <f t="shared" si="4"/>
        <v>0</v>
      </c>
    </row>
    <row r="222" spans="1:5" x14ac:dyDescent="0.2">
      <c r="A222" s="344">
        <v>19.3</v>
      </c>
      <c r="B222" s="213"/>
      <c r="C222" s="221"/>
      <c r="D222" s="368">
        <f>IF(C222&lt;=0.005*(i.04130!$E$46-i.04130!$E$40-i.04130!$E$39),C222,0.005*(i.04130!$E$46-i.04130!$E$40-i.04130!$E$39))</f>
        <v>0</v>
      </c>
      <c r="E222" s="369">
        <f t="shared" si="4"/>
        <v>0</v>
      </c>
    </row>
    <row r="223" spans="1:5" x14ac:dyDescent="0.2">
      <c r="A223" s="344">
        <v>19.399999999999999</v>
      </c>
      <c r="B223" s="213"/>
      <c r="C223" s="221"/>
      <c r="D223" s="368">
        <f>IF(C223&lt;=0.005*(i.04130!$E$46-i.04130!$E$40-i.04130!$E$39),C223,0.005*(i.04130!$E$46-i.04130!$E$40-i.04130!$E$39))</f>
        <v>0</v>
      </c>
      <c r="E223" s="369">
        <f t="shared" si="4"/>
        <v>0</v>
      </c>
    </row>
    <row r="224" spans="1:5" x14ac:dyDescent="0.2">
      <c r="A224" s="344">
        <v>19.5</v>
      </c>
      <c r="B224" s="213"/>
      <c r="C224" s="221"/>
      <c r="D224" s="368">
        <f>IF(C224&lt;=0.005*(i.04130!$E$46-i.04130!$E$40-i.04130!$E$39),C224,0.005*(i.04130!$E$46-i.04130!$E$40-i.04130!$E$39))</f>
        <v>0</v>
      </c>
      <c r="E224" s="369">
        <f t="shared" si="4"/>
        <v>0</v>
      </c>
    </row>
    <row r="225" spans="1:5" x14ac:dyDescent="0.2">
      <c r="A225" s="344">
        <v>19.600000000000001</v>
      </c>
      <c r="B225" s="213"/>
      <c r="C225" s="221"/>
      <c r="D225" s="368">
        <f>IF(C225&lt;=0.005*(i.04130!$E$46-i.04130!$E$40-i.04130!$E$39),C225,0.005*(i.04130!$E$46-i.04130!$E$40-i.04130!$E$39))</f>
        <v>0</v>
      </c>
      <c r="E225" s="369">
        <f t="shared" si="4"/>
        <v>0</v>
      </c>
    </row>
    <row r="226" spans="1:5" x14ac:dyDescent="0.2">
      <c r="A226" s="344">
        <v>19.7</v>
      </c>
      <c r="B226" s="213"/>
      <c r="C226" s="221"/>
      <c r="D226" s="368">
        <f>IF(C226&lt;=0.005*(i.04130!$E$46-i.04130!$E$40-i.04130!$E$39),C226,0.005*(i.04130!$E$46-i.04130!$E$40-i.04130!$E$39))</f>
        <v>0</v>
      </c>
      <c r="E226" s="369">
        <f t="shared" si="4"/>
        <v>0</v>
      </c>
    </row>
    <row r="227" spans="1:5" x14ac:dyDescent="0.2">
      <c r="A227" s="344">
        <v>19.8</v>
      </c>
      <c r="B227" s="213"/>
      <c r="C227" s="221"/>
      <c r="D227" s="368">
        <f>IF(C227&lt;=0.005*(i.04130!$E$46-i.04130!$E$40-i.04130!$E$39),C227,0.005*(i.04130!$E$46-i.04130!$E$40-i.04130!$E$39))</f>
        <v>0</v>
      </c>
      <c r="E227" s="369">
        <f t="shared" si="4"/>
        <v>0</v>
      </c>
    </row>
    <row r="228" spans="1:5" x14ac:dyDescent="0.2">
      <c r="A228" s="344">
        <v>19.899999999999999</v>
      </c>
      <c r="B228" s="213"/>
      <c r="C228" s="221"/>
      <c r="D228" s="368">
        <f>IF(C228&lt;=0.005*(i.04130!$E$46-i.04130!$E$40-i.04130!$E$39),C228,0.005*(i.04130!$E$46-i.04130!$E$40-i.04130!$E$39))</f>
        <v>0</v>
      </c>
      <c r="E228" s="369">
        <f t="shared" si="4"/>
        <v>0</v>
      </c>
    </row>
    <row r="229" spans="1:5" x14ac:dyDescent="0.2">
      <c r="A229" s="340">
        <v>19.100000000000001</v>
      </c>
      <c r="B229" s="213"/>
      <c r="C229" s="221"/>
      <c r="D229" s="368">
        <f>IF(C229&lt;=0.005*(i.04130!$E$46-i.04130!$E$40-i.04130!$E$39),C229,0.005*(i.04130!$E$46-i.04130!$E$40-i.04130!$E$39))</f>
        <v>0</v>
      </c>
      <c r="E229" s="369">
        <f t="shared" si="4"/>
        <v>0</v>
      </c>
    </row>
    <row r="230" spans="1:5" x14ac:dyDescent="0.2">
      <c r="A230" s="344">
        <v>19.11</v>
      </c>
      <c r="B230" s="370" t="str">
        <f>"Бусад  "</f>
        <v xml:space="preserve">Бусад  </v>
      </c>
      <c r="C230" s="221"/>
      <c r="D230" s="368">
        <f>IF(C230&lt;=0.005*(i.04130!$E$46-i.04130!$E$40-i.04130!$E$39),C230,0.005*(i.04130!$E$46-i.04130!$E$40-i.04130!$E$39))</f>
        <v>0</v>
      </c>
      <c r="E230" s="369">
        <f t="shared" si="4"/>
        <v>0</v>
      </c>
    </row>
    <row r="231" spans="1:5" s="363" customFormat="1" ht="24" customHeight="1" x14ac:dyDescent="0.2">
      <c r="A231" s="360" t="s">
        <v>838</v>
      </c>
      <c r="B231" s="360" t="str">
        <f>"Давхар даатгалын хойшлогдсон хураамж /Хамгийн өндөр дүнтэйгээс эхлэн бичих/   "</f>
        <v xml:space="preserve">Давхар даатгалын хойшлогдсон хураамж /Хамгийн өндөр дүнтэйгээс эхлэн бичих/   </v>
      </c>
      <c r="C231" s="361">
        <f>C232+C233+C234+C235+C236+C237+C238+C239+C240+C241+C242</f>
        <v>0</v>
      </c>
      <c r="D231" s="347">
        <f>D232+D233+D234+D235+D236+D237+D238+D239+D240+D241+D242</f>
        <v>0</v>
      </c>
      <c r="E231" s="362">
        <f t="shared" si="4"/>
        <v>0</v>
      </c>
    </row>
    <row r="232" spans="1:5" x14ac:dyDescent="0.2">
      <c r="A232" s="344">
        <v>20.100000000000001</v>
      </c>
      <c r="B232" s="213"/>
      <c r="C232" s="217"/>
      <c r="D232" s="368">
        <f>C232</f>
        <v>0</v>
      </c>
      <c r="E232" s="369">
        <f t="shared" si="4"/>
        <v>0</v>
      </c>
    </row>
    <row r="233" spans="1:5" x14ac:dyDescent="0.2">
      <c r="A233" s="344">
        <v>20.2</v>
      </c>
      <c r="B233" s="213"/>
      <c r="C233" s="217"/>
      <c r="D233" s="368">
        <f t="shared" ref="D233:D242" si="5">C233</f>
        <v>0</v>
      </c>
      <c r="E233" s="369">
        <f t="shared" si="4"/>
        <v>0</v>
      </c>
    </row>
    <row r="234" spans="1:5" x14ac:dyDescent="0.2">
      <c r="A234" s="344">
        <v>20.3</v>
      </c>
      <c r="B234" s="213"/>
      <c r="C234" s="217"/>
      <c r="D234" s="368">
        <f t="shared" si="5"/>
        <v>0</v>
      </c>
      <c r="E234" s="369">
        <f t="shared" si="4"/>
        <v>0</v>
      </c>
    </row>
    <row r="235" spans="1:5" x14ac:dyDescent="0.2">
      <c r="A235" s="344">
        <v>20.399999999999999</v>
      </c>
      <c r="B235" s="213"/>
      <c r="C235" s="217"/>
      <c r="D235" s="368">
        <f t="shared" si="5"/>
        <v>0</v>
      </c>
      <c r="E235" s="369">
        <f t="shared" si="4"/>
        <v>0</v>
      </c>
    </row>
    <row r="236" spans="1:5" x14ac:dyDescent="0.2">
      <c r="A236" s="344">
        <v>20.5</v>
      </c>
      <c r="B236" s="213"/>
      <c r="C236" s="217"/>
      <c r="D236" s="368">
        <f t="shared" si="5"/>
        <v>0</v>
      </c>
      <c r="E236" s="369">
        <f t="shared" si="4"/>
        <v>0</v>
      </c>
    </row>
    <row r="237" spans="1:5" x14ac:dyDescent="0.2">
      <c r="A237" s="344">
        <v>20.6</v>
      </c>
      <c r="B237" s="213"/>
      <c r="C237" s="217"/>
      <c r="D237" s="368">
        <f t="shared" si="5"/>
        <v>0</v>
      </c>
      <c r="E237" s="369">
        <f t="shared" si="4"/>
        <v>0</v>
      </c>
    </row>
    <row r="238" spans="1:5" x14ac:dyDescent="0.2">
      <c r="A238" s="344">
        <v>20.7</v>
      </c>
      <c r="B238" s="213"/>
      <c r="C238" s="217"/>
      <c r="D238" s="368">
        <f t="shared" si="5"/>
        <v>0</v>
      </c>
      <c r="E238" s="369">
        <f t="shared" si="4"/>
        <v>0</v>
      </c>
    </row>
    <row r="239" spans="1:5" x14ac:dyDescent="0.2">
      <c r="A239" s="344">
        <v>20.8</v>
      </c>
      <c r="B239" s="213"/>
      <c r="C239" s="217"/>
      <c r="D239" s="368">
        <f t="shared" si="5"/>
        <v>0</v>
      </c>
      <c r="E239" s="369">
        <f t="shared" si="4"/>
        <v>0</v>
      </c>
    </row>
    <row r="240" spans="1:5" x14ac:dyDescent="0.2">
      <c r="A240" s="344">
        <v>20.9</v>
      </c>
      <c r="B240" s="213"/>
      <c r="C240" s="217"/>
      <c r="D240" s="368">
        <f t="shared" si="5"/>
        <v>0</v>
      </c>
      <c r="E240" s="369">
        <f t="shared" si="4"/>
        <v>0</v>
      </c>
    </row>
    <row r="241" spans="1:5" x14ac:dyDescent="0.2">
      <c r="A241" s="340">
        <v>20.100000000000001</v>
      </c>
      <c r="B241" s="213"/>
      <c r="C241" s="217"/>
      <c r="D241" s="368">
        <f t="shared" si="5"/>
        <v>0</v>
      </c>
      <c r="E241" s="369">
        <f t="shared" si="4"/>
        <v>0</v>
      </c>
    </row>
    <row r="242" spans="1:5" x14ac:dyDescent="0.2">
      <c r="A242" s="344">
        <v>20.11</v>
      </c>
      <c r="B242" s="370" t="str">
        <f>"Бусад  "</f>
        <v xml:space="preserve">Бусад  </v>
      </c>
      <c r="C242" s="217"/>
      <c r="D242" s="368">
        <f t="shared" si="5"/>
        <v>0</v>
      </c>
      <c r="E242" s="369">
        <f t="shared" si="4"/>
        <v>0</v>
      </c>
    </row>
    <row r="243" spans="1:5" s="363" customFormat="1" ht="38.25" x14ac:dyDescent="0.2">
      <c r="A243" s="360" t="s">
        <v>839</v>
      </c>
      <c r="B243" s="360" t="str">
        <f>"Нөхөн төлбөрийн нөөцийн давхар даатгагчид ногдох хэсэг /Хамгийн өндөр дүнтэйгээс эхлэн бичих/   "</f>
        <v xml:space="preserve">Нөхөн төлбөрийн нөөцийн давхар даатгагчид ногдох хэсэг /Хамгийн өндөр дүнтэйгээс эхлэн бичих/   </v>
      </c>
      <c r="C243" s="361">
        <f>C244+C245+C246+C247+C248+C249+C250+C251+C252+C253+C254</f>
        <v>0</v>
      </c>
      <c r="D243" s="347">
        <f>D244+D245+D246+D247+D248+D249+D250+D251+D252+D253+D254</f>
        <v>0</v>
      </c>
      <c r="E243" s="362">
        <f t="shared" si="4"/>
        <v>0</v>
      </c>
    </row>
    <row r="244" spans="1:5" x14ac:dyDescent="0.2">
      <c r="A244" s="344">
        <v>21.1</v>
      </c>
      <c r="B244" s="213"/>
      <c r="C244" s="217"/>
      <c r="D244" s="368">
        <f>C244</f>
        <v>0</v>
      </c>
      <c r="E244" s="369">
        <f t="shared" si="4"/>
        <v>0</v>
      </c>
    </row>
    <row r="245" spans="1:5" x14ac:dyDescent="0.2">
      <c r="A245" s="344">
        <v>21.2</v>
      </c>
      <c r="B245" s="213"/>
      <c r="C245" s="217"/>
      <c r="D245" s="368">
        <f t="shared" ref="D245:D253" si="6">C245</f>
        <v>0</v>
      </c>
      <c r="E245" s="369">
        <f t="shared" si="4"/>
        <v>0</v>
      </c>
    </row>
    <row r="246" spans="1:5" x14ac:dyDescent="0.2">
      <c r="A246" s="344">
        <v>21.3</v>
      </c>
      <c r="B246" s="213"/>
      <c r="C246" s="217"/>
      <c r="D246" s="368">
        <f t="shared" si="6"/>
        <v>0</v>
      </c>
      <c r="E246" s="369">
        <f t="shared" si="4"/>
        <v>0</v>
      </c>
    </row>
    <row r="247" spans="1:5" x14ac:dyDescent="0.2">
      <c r="A247" s="344">
        <v>21.4</v>
      </c>
      <c r="B247" s="213"/>
      <c r="C247" s="217"/>
      <c r="D247" s="368">
        <f t="shared" si="6"/>
        <v>0</v>
      </c>
      <c r="E247" s="369">
        <f t="shared" si="4"/>
        <v>0</v>
      </c>
    </row>
    <row r="248" spans="1:5" x14ac:dyDescent="0.2">
      <c r="A248" s="344">
        <v>21.5</v>
      </c>
      <c r="B248" s="213"/>
      <c r="C248" s="217"/>
      <c r="D248" s="368">
        <f t="shared" si="6"/>
        <v>0</v>
      </c>
      <c r="E248" s="369">
        <f t="shared" si="4"/>
        <v>0</v>
      </c>
    </row>
    <row r="249" spans="1:5" x14ac:dyDescent="0.2">
      <c r="A249" s="344">
        <v>21.6</v>
      </c>
      <c r="B249" s="213"/>
      <c r="C249" s="217"/>
      <c r="D249" s="368">
        <f t="shared" si="6"/>
        <v>0</v>
      </c>
      <c r="E249" s="369">
        <f t="shared" si="4"/>
        <v>0</v>
      </c>
    </row>
    <row r="250" spans="1:5" x14ac:dyDescent="0.2">
      <c r="A250" s="344">
        <v>21.7</v>
      </c>
      <c r="B250" s="213"/>
      <c r="C250" s="217"/>
      <c r="D250" s="368">
        <f t="shared" si="6"/>
        <v>0</v>
      </c>
      <c r="E250" s="369">
        <f t="shared" si="4"/>
        <v>0</v>
      </c>
    </row>
    <row r="251" spans="1:5" x14ac:dyDescent="0.2">
      <c r="A251" s="344">
        <v>21.8</v>
      </c>
      <c r="B251" s="213"/>
      <c r="C251" s="217"/>
      <c r="D251" s="368">
        <f t="shared" si="6"/>
        <v>0</v>
      </c>
      <c r="E251" s="369">
        <f t="shared" si="4"/>
        <v>0</v>
      </c>
    </row>
    <row r="252" spans="1:5" x14ac:dyDescent="0.2">
      <c r="A252" s="344">
        <v>21.9</v>
      </c>
      <c r="B252" s="213"/>
      <c r="C252" s="217"/>
      <c r="D252" s="368">
        <f t="shared" si="6"/>
        <v>0</v>
      </c>
      <c r="E252" s="369">
        <f t="shared" si="4"/>
        <v>0</v>
      </c>
    </row>
    <row r="253" spans="1:5" x14ac:dyDescent="0.2">
      <c r="A253" s="340">
        <v>21.1</v>
      </c>
      <c r="B253" s="213"/>
      <c r="C253" s="217"/>
      <c r="D253" s="368">
        <f t="shared" si="6"/>
        <v>0</v>
      </c>
      <c r="E253" s="369">
        <f t="shared" si="4"/>
        <v>0</v>
      </c>
    </row>
    <row r="254" spans="1:5" x14ac:dyDescent="0.2">
      <c r="A254" s="344">
        <v>21.11</v>
      </c>
      <c r="B254" s="370" t="str">
        <f>"Бусад  "</f>
        <v xml:space="preserve">Бусад  </v>
      </c>
      <c r="C254" s="217"/>
      <c r="D254" s="368">
        <f>C254</f>
        <v>0</v>
      </c>
      <c r="E254" s="369">
        <f t="shared" si="4"/>
        <v>0</v>
      </c>
    </row>
    <row r="255" spans="1:5" s="363" customFormat="1" ht="38.25" x14ac:dyDescent="0.2">
      <c r="A255" s="331" t="s">
        <v>840</v>
      </c>
      <c r="B255" s="345" t="str">
        <f>"Даатгалын орлогын шимтгэлийн хойшлогдсон зардал /Хамгийн өндөр дүнтэйгээс эхлэн бичих/   "</f>
        <v xml:space="preserve">Даатгалын орлогын шимтгэлийн хойшлогдсон зардал /Хамгийн өндөр дүнтэйгээс эхлэн бичих/   </v>
      </c>
      <c r="C255" s="346">
        <f>C256+C257+C258+C259+C260+C261+C262+C263+C264+C265+C266</f>
        <v>0</v>
      </c>
      <c r="D255" s="347">
        <f>D256+D257+D258+D259+D260+D261+D262+D263+D264+D265+D266</f>
        <v>0</v>
      </c>
      <c r="E255" s="362">
        <f t="shared" si="4"/>
        <v>0</v>
      </c>
    </row>
    <row r="256" spans="1:5" x14ac:dyDescent="0.2">
      <c r="A256" s="344">
        <v>22.1</v>
      </c>
      <c r="B256" s="213"/>
      <c r="C256" s="66"/>
      <c r="D256" s="368">
        <f>IF(C256&lt;=0.05*(i.04130!$E$46-i.04130!$E$40-i.04130!$E$39),C256,0.05*(i.04130!$E$46-i.04130!$E$40-i.04130!$E$39))</f>
        <v>0</v>
      </c>
      <c r="E256" s="369">
        <f t="shared" si="4"/>
        <v>0</v>
      </c>
    </row>
    <row r="257" spans="1:5" x14ac:dyDescent="0.2">
      <c r="A257" s="344">
        <v>22.2</v>
      </c>
      <c r="B257" s="213"/>
      <c r="C257" s="66"/>
      <c r="D257" s="368">
        <f>IF(C257&lt;=0.05*(i.04130!$E$46-i.04130!$E$40-i.04130!$E$39),C257,0.05*(i.04130!$E$46-i.04130!$E$40-i.04130!$E$39))</f>
        <v>0</v>
      </c>
      <c r="E257" s="369">
        <f t="shared" si="4"/>
        <v>0</v>
      </c>
    </row>
    <row r="258" spans="1:5" x14ac:dyDescent="0.2">
      <c r="A258" s="344">
        <v>22.3</v>
      </c>
      <c r="B258" s="213"/>
      <c r="C258" s="66"/>
      <c r="D258" s="368">
        <f>IF(C258&lt;=0.05*(i.04130!$E$46-i.04130!$E$40-i.04130!$E$39),C258,0.05*(i.04130!$E$46-i.04130!$E$40-i.04130!$E$39))</f>
        <v>0</v>
      </c>
      <c r="E258" s="369">
        <f t="shared" si="4"/>
        <v>0</v>
      </c>
    </row>
    <row r="259" spans="1:5" x14ac:dyDescent="0.2">
      <c r="A259" s="344">
        <v>22.4</v>
      </c>
      <c r="B259" s="213"/>
      <c r="C259" s="66"/>
      <c r="D259" s="368">
        <f>IF(C259&lt;=0.05*(i.04130!$E$46-i.04130!$E$40-i.04130!$E$39),C259,0.05*(i.04130!$E$46-i.04130!$E$40-i.04130!$E$39))</f>
        <v>0</v>
      </c>
      <c r="E259" s="369">
        <f t="shared" si="4"/>
        <v>0</v>
      </c>
    </row>
    <row r="260" spans="1:5" x14ac:dyDescent="0.2">
      <c r="A260" s="344">
        <v>22.5</v>
      </c>
      <c r="B260" s="213"/>
      <c r="C260" s="66"/>
      <c r="D260" s="368">
        <f>IF(C260&lt;=0.05*(i.04130!$E$46-i.04130!$E$40-i.04130!$E$39),C260,0.05*(i.04130!$E$46-i.04130!$E$40-i.04130!$E$39))</f>
        <v>0</v>
      </c>
      <c r="E260" s="369">
        <f t="shared" si="4"/>
        <v>0</v>
      </c>
    </row>
    <row r="261" spans="1:5" x14ac:dyDescent="0.2">
      <c r="A261" s="344">
        <v>22.6</v>
      </c>
      <c r="B261" s="213"/>
      <c r="C261" s="66"/>
      <c r="D261" s="368">
        <f>IF(C261&lt;=0.05*(i.04130!$E$46-i.04130!$E$40-i.04130!$E$39),C261,0.05*(i.04130!$E$46-i.04130!$E$40-i.04130!$E$39))</f>
        <v>0</v>
      </c>
      <c r="E261" s="369">
        <f t="shared" si="4"/>
        <v>0</v>
      </c>
    </row>
    <row r="262" spans="1:5" x14ac:dyDescent="0.2">
      <c r="A262" s="344">
        <v>22.7</v>
      </c>
      <c r="B262" s="213"/>
      <c r="C262" s="66"/>
      <c r="D262" s="368">
        <f>IF(C262&lt;=0.05*(i.04130!$E$46-i.04130!$E$40-i.04130!$E$39),C262,0.05*(i.04130!$E$46-i.04130!$E$40-i.04130!$E$39))</f>
        <v>0</v>
      </c>
      <c r="E262" s="369">
        <f t="shared" si="4"/>
        <v>0</v>
      </c>
    </row>
    <row r="263" spans="1:5" x14ac:dyDescent="0.2">
      <c r="A263" s="344">
        <v>22.8</v>
      </c>
      <c r="B263" s="213"/>
      <c r="C263" s="66"/>
      <c r="D263" s="368">
        <f>IF(C263&lt;=0.05*(i.04130!$E$46-i.04130!$E$40-i.04130!$E$39),C263,0.05*(i.04130!$E$46-i.04130!$E$40-i.04130!$E$39))</f>
        <v>0</v>
      </c>
      <c r="E263" s="369">
        <f t="shared" si="4"/>
        <v>0</v>
      </c>
    </row>
    <row r="264" spans="1:5" x14ac:dyDescent="0.2">
      <c r="A264" s="344">
        <v>22.9</v>
      </c>
      <c r="B264" s="213"/>
      <c r="C264" s="66"/>
      <c r="D264" s="368">
        <f>IF(C264&lt;=0.05*(i.04130!$E$46-i.04130!$E$40-i.04130!$E$39),C264,0.05*(i.04130!$E$46-i.04130!$E$40-i.04130!$E$39))</f>
        <v>0</v>
      </c>
      <c r="E264" s="369">
        <f t="shared" si="4"/>
        <v>0</v>
      </c>
    </row>
    <row r="265" spans="1:5" x14ac:dyDescent="0.2">
      <c r="A265" s="340">
        <v>22.1</v>
      </c>
      <c r="B265" s="213"/>
      <c r="C265" s="66"/>
      <c r="D265" s="368">
        <f>IF(C265&lt;=0.05*(i.04130!$E$46-i.04130!$E$40-i.04130!$E$39),C265,0.05*(i.04130!$E$46-i.04130!$E$40-i.04130!$E$39))</f>
        <v>0</v>
      </c>
      <c r="E265" s="369">
        <f t="shared" si="4"/>
        <v>0</v>
      </c>
    </row>
    <row r="266" spans="1:5" x14ac:dyDescent="0.2">
      <c r="A266" s="344">
        <v>22.11</v>
      </c>
      <c r="B266" s="370" t="str">
        <f>"Бусад  "</f>
        <v xml:space="preserve">Бусад  </v>
      </c>
      <c r="C266" s="66"/>
      <c r="D266" s="368">
        <f>IF(C266&lt;=0.05*(i.04130!$E$46-i.04130!$E$40-i.04130!$E$39),C266,0.05*(i.04130!$E$46-i.04130!$E$40-i.04130!$E$39))</f>
        <v>0</v>
      </c>
      <c r="E266" s="369">
        <f t="shared" ref="E266:E329" si="7">C266-D266</f>
        <v>0</v>
      </c>
    </row>
    <row r="267" spans="1:5" s="363" customFormat="1" ht="27" customHeight="1" x14ac:dyDescent="0.2">
      <c r="A267" s="360" t="s">
        <v>841</v>
      </c>
      <c r="B267" s="360" t="str">
        <f>"Хэвийн өмчлөх бусад хөрөнгө /Хамгийн өндөр дүнтэйгээс эхлэн бичих/   "</f>
        <v xml:space="preserve">Хэвийн өмчлөх бусад хөрөнгө /Хамгийн өндөр дүнтэйгээс эхлэн бичих/   </v>
      </c>
      <c r="C267" s="361">
        <f>C268+C269+C270+C271+C272+C273</f>
        <v>0</v>
      </c>
      <c r="D267" s="347">
        <f>D268+D269+D270+D271+D272+D273</f>
        <v>0</v>
      </c>
      <c r="E267" s="362">
        <f t="shared" si="7"/>
        <v>0</v>
      </c>
    </row>
    <row r="268" spans="1:5" x14ac:dyDescent="0.2">
      <c r="A268" s="372" t="s">
        <v>842</v>
      </c>
      <c r="B268" s="216"/>
      <c r="C268" s="217"/>
      <c r="D268" s="368">
        <f>IF(C268&lt;=0.05*(i.04130!$E$46-i.04130!$E$40-i.04130!$E$39),C268,0.05*(i.04130!$E$46-i.04130!$E$40-i.04130!$E$39))</f>
        <v>0</v>
      </c>
      <c r="E268" s="369">
        <f t="shared" si="7"/>
        <v>0</v>
      </c>
    </row>
    <row r="269" spans="1:5" x14ac:dyDescent="0.2">
      <c r="A269" s="372" t="s">
        <v>843</v>
      </c>
      <c r="B269" s="216"/>
      <c r="C269" s="217"/>
      <c r="D269" s="368">
        <f>IF(C269&lt;=0.05*(i.04130!$E$46-i.04130!$E$40-i.04130!$E$39),C269,0.05*(i.04130!$E$46-i.04130!$E$40-i.04130!$E$39))</f>
        <v>0</v>
      </c>
      <c r="E269" s="369">
        <f t="shared" si="7"/>
        <v>0</v>
      </c>
    </row>
    <row r="270" spans="1:5" x14ac:dyDescent="0.2">
      <c r="A270" s="372" t="s">
        <v>844</v>
      </c>
      <c r="B270" s="216"/>
      <c r="C270" s="217"/>
      <c r="D270" s="368">
        <f>IF(C270&lt;=0.05*(i.04130!$E$46-i.04130!$E$40-i.04130!$E$39),C270,0.05*(i.04130!$E$46-i.04130!$E$40-i.04130!$E$39))</f>
        <v>0</v>
      </c>
      <c r="E270" s="369">
        <f t="shared" si="7"/>
        <v>0</v>
      </c>
    </row>
    <row r="271" spans="1:5" x14ac:dyDescent="0.2">
      <c r="A271" s="372" t="s">
        <v>845</v>
      </c>
      <c r="B271" s="216"/>
      <c r="C271" s="217"/>
      <c r="D271" s="368">
        <f>IF(C271&lt;=0.05*(i.04130!$E$46-i.04130!$E$40-i.04130!$E$39),C271,0.05*(i.04130!$E$46-i.04130!$E$40-i.04130!$E$39))</f>
        <v>0</v>
      </c>
      <c r="E271" s="369">
        <f t="shared" si="7"/>
        <v>0</v>
      </c>
    </row>
    <row r="272" spans="1:5" x14ac:dyDescent="0.2">
      <c r="A272" s="372" t="s">
        <v>846</v>
      </c>
      <c r="B272" s="216"/>
      <c r="C272" s="217"/>
      <c r="D272" s="368">
        <f>IF(C272&lt;=0.05*(i.04130!$E$46-i.04130!$E$40-i.04130!$E$39),C272,0.05*(i.04130!$E$46-i.04130!$E$40-i.04130!$E$39))</f>
        <v>0</v>
      </c>
      <c r="E272" s="369">
        <f t="shared" si="7"/>
        <v>0</v>
      </c>
    </row>
    <row r="273" spans="1:5" x14ac:dyDescent="0.2">
      <c r="A273" s="372" t="s">
        <v>847</v>
      </c>
      <c r="B273" s="372" t="str">
        <f>"Бусад  "</f>
        <v xml:space="preserve">Бусад  </v>
      </c>
      <c r="C273" s="217"/>
      <c r="D273" s="368">
        <f>IF(C273&lt;=0.05*(i.04130!$E$46-i.04130!$E$40-i.04130!$E$39),C273,0.05*(i.04130!$E$46-i.04130!$E$40-i.04130!$E$39))</f>
        <v>0</v>
      </c>
      <c r="E273" s="369">
        <f t="shared" si="7"/>
        <v>0</v>
      </c>
    </row>
    <row r="274" spans="1:5" s="363" customFormat="1" ht="25.5" x14ac:dyDescent="0.2">
      <c r="A274" s="360">
        <v>23.2</v>
      </c>
      <c r="B274" s="360" t="str">
        <f>"Хугацаа хэтэрсэн өмчлөх бусад хөрөнгө  /Хамгийн өндөр дүнтэйгээс эхлэн бичих/   "</f>
        <v xml:space="preserve">Хугацаа хэтэрсэн өмчлөх бусад хөрөнгө  /Хамгийн өндөр дүнтэйгээс эхлэн бичих/   </v>
      </c>
      <c r="C274" s="361">
        <f>C275+C276+C277+C278+C279+C280</f>
        <v>0</v>
      </c>
      <c r="D274" s="347">
        <f>D275+D276+D277+D278+D279+D280</f>
        <v>0</v>
      </c>
      <c r="E274" s="362">
        <f t="shared" si="7"/>
        <v>0</v>
      </c>
    </row>
    <row r="275" spans="1:5" x14ac:dyDescent="0.2">
      <c r="A275" s="372" t="s">
        <v>848</v>
      </c>
      <c r="B275" s="216"/>
      <c r="C275" s="217"/>
      <c r="D275" s="368">
        <f>IF(C275&lt;=0.025*(i.04130!$E$46-i.04130!$E$40-i.04130!$E$39),C275,0.025*(i.04130!$E$46-i.04130!$E$40-i.04130!$E$39))</f>
        <v>0</v>
      </c>
      <c r="E275" s="369">
        <f t="shared" si="7"/>
        <v>0</v>
      </c>
    </row>
    <row r="276" spans="1:5" x14ac:dyDescent="0.2">
      <c r="A276" s="372" t="s">
        <v>849</v>
      </c>
      <c r="B276" s="216"/>
      <c r="C276" s="217"/>
      <c r="D276" s="368">
        <f>IF(C276&lt;=0.025*(i.04130!$E$46-i.04130!$E$40-i.04130!$E$39),C276,0.025*(i.04130!$E$46-i.04130!$E$40-i.04130!$E$39))</f>
        <v>0</v>
      </c>
      <c r="E276" s="369">
        <f t="shared" si="7"/>
        <v>0</v>
      </c>
    </row>
    <row r="277" spans="1:5" x14ac:dyDescent="0.2">
      <c r="A277" s="372" t="s">
        <v>850</v>
      </c>
      <c r="B277" s="216"/>
      <c r="C277" s="217"/>
      <c r="D277" s="368">
        <f>IF(C277&lt;=0.025*(i.04130!$E$46-i.04130!$E$40-i.04130!$E$39),C277,0.025*(i.04130!$E$46-i.04130!$E$40-i.04130!$E$39))</f>
        <v>0</v>
      </c>
      <c r="E277" s="369">
        <f t="shared" si="7"/>
        <v>0</v>
      </c>
    </row>
    <row r="278" spans="1:5" x14ac:dyDescent="0.2">
      <c r="A278" s="372" t="s">
        <v>851</v>
      </c>
      <c r="B278" s="216"/>
      <c r="C278" s="217"/>
      <c r="D278" s="368">
        <f>IF(C278&lt;=0.025*(i.04130!$E$46-i.04130!$E$40-i.04130!$E$39),C278,0.025*(i.04130!$E$46-i.04130!$E$40-i.04130!$E$39))</f>
        <v>0</v>
      </c>
      <c r="E278" s="369">
        <f t="shared" si="7"/>
        <v>0</v>
      </c>
    </row>
    <row r="279" spans="1:5" x14ac:dyDescent="0.2">
      <c r="A279" s="372" t="s">
        <v>852</v>
      </c>
      <c r="B279" s="216"/>
      <c r="C279" s="217"/>
      <c r="D279" s="368">
        <f>IF(C279&lt;=0.025*(i.04130!$E$46-i.04130!$E$40-i.04130!$E$39),C279,0.025*(i.04130!$E$46-i.04130!$E$40-i.04130!$E$39))</f>
        <v>0</v>
      </c>
      <c r="E279" s="369">
        <f t="shared" si="7"/>
        <v>0</v>
      </c>
    </row>
    <row r="280" spans="1:5" x14ac:dyDescent="0.2">
      <c r="A280" s="372" t="s">
        <v>853</v>
      </c>
      <c r="B280" s="372" t="str">
        <f>"Бусад  "</f>
        <v xml:space="preserve">Бусад  </v>
      </c>
      <c r="C280" s="217"/>
      <c r="D280" s="368">
        <f>IF(C280&lt;=0.025*(i.04130!$E$46-i.04130!$E$40-i.04130!$E$39),C280,0.025*(i.04130!$E$46-i.04130!$E$40-i.04130!$E$39))</f>
        <v>0</v>
      </c>
      <c r="E280" s="369">
        <f t="shared" si="7"/>
        <v>0</v>
      </c>
    </row>
    <row r="281" spans="1:5" s="363" customFormat="1" ht="25.5" x14ac:dyDescent="0.2">
      <c r="A281" s="360">
        <v>23.3</v>
      </c>
      <c r="B281" s="360" t="str">
        <f>"Хэвийн бус өмчлөх бусад хөрөнгө  /Хамгийн өндөр дүнтэйгээс эхлэн бичих/   "</f>
        <v xml:space="preserve">Хэвийн бус өмчлөх бусад хөрөнгө  /Хамгийн өндөр дүнтэйгээс эхлэн бичих/   </v>
      </c>
      <c r="C281" s="361">
        <f>C282+C283+C284+C285+C286+C287</f>
        <v>0</v>
      </c>
      <c r="D281" s="347">
        <f>D282+D283+D284+D285+D286+D287</f>
        <v>0</v>
      </c>
      <c r="E281" s="362">
        <f t="shared" si="7"/>
        <v>0</v>
      </c>
    </row>
    <row r="282" spans="1:5" x14ac:dyDescent="0.2">
      <c r="A282" s="372" t="s">
        <v>854</v>
      </c>
      <c r="B282" s="216"/>
      <c r="C282" s="217"/>
      <c r="D282" s="368">
        <f>IF(C282&lt;=0.025*(i.04130!$E$46-i.04130!$E$40-i.04130!$E$39),C282,0.025*(i.04130!$E$46-i.04130!$E$40-i.04130!$E$39))</f>
        <v>0</v>
      </c>
      <c r="E282" s="369">
        <f t="shared" si="7"/>
        <v>0</v>
      </c>
    </row>
    <row r="283" spans="1:5" x14ac:dyDescent="0.2">
      <c r="A283" s="372" t="s">
        <v>855</v>
      </c>
      <c r="B283" s="216"/>
      <c r="C283" s="217"/>
      <c r="D283" s="368">
        <f>IF(C283&lt;=0.025*(i.04130!$E$46-i.04130!$E$40-i.04130!$E$39),C283,0.025*(i.04130!$E$46-i.04130!$E$40-i.04130!$E$39))</f>
        <v>0</v>
      </c>
      <c r="E283" s="369">
        <f t="shared" si="7"/>
        <v>0</v>
      </c>
    </row>
    <row r="284" spans="1:5" x14ac:dyDescent="0.2">
      <c r="A284" s="372" t="s">
        <v>856</v>
      </c>
      <c r="B284" s="216"/>
      <c r="C284" s="217"/>
      <c r="D284" s="368">
        <f>IF(C284&lt;=0.025*(i.04130!$E$46-i.04130!$E$40-i.04130!$E$39),C284,0.025*(i.04130!$E$46-i.04130!$E$40-i.04130!$E$39))</f>
        <v>0</v>
      </c>
      <c r="E284" s="369">
        <f t="shared" si="7"/>
        <v>0</v>
      </c>
    </row>
    <row r="285" spans="1:5" x14ac:dyDescent="0.2">
      <c r="A285" s="372" t="s">
        <v>857</v>
      </c>
      <c r="B285" s="216"/>
      <c r="C285" s="217"/>
      <c r="D285" s="368">
        <f>IF(C285&lt;=0.025*(i.04130!$E$46-i.04130!$E$40-i.04130!$E$39),C285,0.025*(i.04130!$E$46-i.04130!$E$40-i.04130!$E$39))</f>
        <v>0</v>
      </c>
      <c r="E285" s="369">
        <f t="shared" si="7"/>
        <v>0</v>
      </c>
    </row>
    <row r="286" spans="1:5" x14ac:dyDescent="0.2">
      <c r="A286" s="372" t="s">
        <v>858</v>
      </c>
      <c r="B286" s="216"/>
      <c r="C286" s="217"/>
      <c r="D286" s="368">
        <f>IF(C286&lt;=0.025*(i.04130!$E$46-i.04130!$E$40-i.04130!$E$39),C286,0.025*(i.04130!$E$46-i.04130!$E$40-i.04130!$E$39))</f>
        <v>0</v>
      </c>
      <c r="E286" s="369">
        <f t="shared" si="7"/>
        <v>0</v>
      </c>
    </row>
    <row r="287" spans="1:5" x14ac:dyDescent="0.2">
      <c r="A287" s="372" t="s">
        <v>859</v>
      </c>
      <c r="B287" s="372" t="str">
        <f>"Бусад  "</f>
        <v xml:space="preserve">Бусад  </v>
      </c>
      <c r="C287" s="217"/>
      <c r="D287" s="368">
        <f>IF(C287&lt;=0.025*(i.04130!$E$46-i.04130!$E$40-i.04130!$E$39),C287,0.025*(i.04130!$E$46-i.04130!$E$40-i.04130!$E$39))</f>
        <v>0</v>
      </c>
      <c r="E287" s="369">
        <f t="shared" si="7"/>
        <v>0</v>
      </c>
    </row>
    <row r="288" spans="1:5" s="363" customFormat="1" ht="25.5" x14ac:dyDescent="0.2">
      <c r="A288" s="360">
        <v>23.4</v>
      </c>
      <c r="B288" s="360" t="str">
        <f>"Эргэлзээтэй өмчлөх бусад хөрөнгө  /Хамгийн өндөр дүнтэйгээс эхлэн бичих/  "</f>
        <v xml:space="preserve">Эргэлзээтэй өмчлөх бусад хөрөнгө  /Хамгийн өндөр дүнтэйгээс эхлэн бичих/  </v>
      </c>
      <c r="C288" s="361">
        <f>C289+C290+C291+C292+C293+C294</f>
        <v>0</v>
      </c>
      <c r="D288" s="347">
        <f>D289+D290+D291+D292+D293+D294</f>
        <v>0</v>
      </c>
      <c r="E288" s="362">
        <f t="shared" si="7"/>
        <v>0</v>
      </c>
    </row>
    <row r="289" spans="1:5" x14ac:dyDescent="0.2">
      <c r="A289" s="372" t="s">
        <v>860</v>
      </c>
      <c r="B289" s="216"/>
      <c r="C289" s="217"/>
      <c r="D289" s="368">
        <f>IF(C289&lt;=0*(i.04130!$E$46-i.04130!$E$40-i.04130!$E$39),C289,0*(i.04130!$E$46-i.04130!$E$40-i.04130!$E$39))</f>
        <v>0</v>
      </c>
      <c r="E289" s="369">
        <f t="shared" si="7"/>
        <v>0</v>
      </c>
    </row>
    <row r="290" spans="1:5" x14ac:dyDescent="0.2">
      <c r="A290" s="372" t="s">
        <v>861</v>
      </c>
      <c r="B290" s="216"/>
      <c r="C290" s="217"/>
      <c r="D290" s="368">
        <f>IF(C290&lt;=0*(i.04130!$E$46-i.04130!$E$40-i.04130!$E$39),C290,0*(i.04130!$E$46-i.04130!$E$40-i.04130!$E$39))</f>
        <v>0</v>
      </c>
      <c r="E290" s="369">
        <f t="shared" si="7"/>
        <v>0</v>
      </c>
    </row>
    <row r="291" spans="1:5" x14ac:dyDescent="0.2">
      <c r="A291" s="372" t="s">
        <v>862</v>
      </c>
      <c r="B291" s="216"/>
      <c r="C291" s="217"/>
      <c r="D291" s="368">
        <f>IF(C291&lt;=0*(i.04130!$E$46-i.04130!$E$40-i.04130!$E$39),C291,0*(i.04130!$E$46-i.04130!$E$40-i.04130!$E$39))</f>
        <v>0</v>
      </c>
      <c r="E291" s="369">
        <f t="shared" si="7"/>
        <v>0</v>
      </c>
    </row>
    <row r="292" spans="1:5" x14ac:dyDescent="0.2">
      <c r="A292" s="372" t="s">
        <v>863</v>
      </c>
      <c r="B292" s="216"/>
      <c r="C292" s="217"/>
      <c r="D292" s="368">
        <f>IF(C292&lt;=0*(i.04130!$E$46-i.04130!$E$40-i.04130!$E$39),C292,0*(i.04130!$E$46-i.04130!$E$40-i.04130!$E$39))</f>
        <v>0</v>
      </c>
      <c r="E292" s="369">
        <f t="shared" si="7"/>
        <v>0</v>
      </c>
    </row>
    <row r="293" spans="1:5" x14ac:dyDescent="0.2">
      <c r="A293" s="372" t="s">
        <v>864</v>
      </c>
      <c r="B293" s="216"/>
      <c r="C293" s="217"/>
      <c r="D293" s="368">
        <f>IF(C293&lt;=0*(i.04130!$E$46-i.04130!$E$40-i.04130!$E$39),C293,0*(i.04130!$E$46-i.04130!$E$40-i.04130!$E$39))</f>
        <v>0</v>
      </c>
      <c r="E293" s="369">
        <f t="shared" si="7"/>
        <v>0</v>
      </c>
    </row>
    <row r="294" spans="1:5" x14ac:dyDescent="0.2">
      <c r="A294" s="372" t="s">
        <v>865</v>
      </c>
      <c r="B294" s="372" t="str">
        <f>"Бусад  "</f>
        <v xml:space="preserve">Бусад  </v>
      </c>
      <c r="C294" s="217"/>
      <c r="D294" s="368">
        <f>IF(C294&lt;=0*(i.04130!$E$46-i.04130!$E$40-i.04130!$E$39),C294,0*(i.04130!$E$46-i.04130!$E$40-i.04130!$E$39))</f>
        <v>0</v>
      </c>
      <c r="E294" s="369">
        <f t="shared" si="7"/>
        <v>0</v>
      </c>
    </row>
    <row r="295" spans="1:5" s="363" customFormat="1" ht="25.5" x14ac:dyDescent="0.2">
      <c r="A295" s="360">
        <v>23.5</v>
      </c>
      <c r="B295" s="360" t="str">
        <f>"Муу өмчлөх бусад хөрөнгө  /Хамгийн өндөр дүнтэйгээс эхлэн бичих/   "</f>
        <v xml:space="preserve">Муу өмчлөх бусад хөрөнгө  /Хамгийн өндөр дүнтэйгээс эхлэн бичих/   </v>
      </c>
      <c r="C295" s="361">
        <f>C296+C297+C298+C299+C300+C301</f>
        <v>0</v>
      </c>
      <c r="D295" s="347">
        <f>D296+D297+D298+D299+D300+D301</f>
        <v>0</v>
      </c>
      <c r="E295" s="362">
        <f t="shared" si="7"/>
        <v>0</v>
      </c>
    </row>
    <row r="296" spans="1:5" x14ac:dyDescent="0.2">
      <c r="A296" s="372" t="s">
        <v>866</v>
      </c>
      <c r="B296" s="216"/>
      <c r="C296" s="217"/>
      <c r="D296" s="368">
        <f>IF(C296&lt;=0*(i.04130!$E$46-i.04130!$E$40-i.04130!$E$39),C296,0*(i.04130!$E$46-i.04130!$E$40-i.04130!$E$39))</f>
        <v>0</v>
      </c>
      <c r="E296" s="369">
        <f t="shared" si="7"/>
        <v>0</v>
      </c>
    </row>
    <row r="297" spans="1:5" x14ac:dyDescent="0.2">
      <c r="A297" s="372" t="s">
        <v>867</v>
      </c>
      <c r="B297" s="216"/>
      <c r="C297" s="217"/>
      <c r="D297" s="368">
        <f>IF(C297&lt;=0*(i.04130!$E$46-i.04130!$E$40-i.04130!$E$39),C297,0*(i.04130!$E$46-i.04130!$E$40-i.04130!$E$39))</f>
        <v>0</v>
      </c>
      <c r="E297" s="369">
        <f t="shared" si="7"/>
        <v>0</v>
      </c>
    </row>
    <row r="298" spans="1:5" x14ac:dyDescent="0.2">
      <c r="A298" s="372" t="s">
        <v>868</v>
      </c>
      <c r="B298" s="216"/>
      <c r="C298" s="217"/>
      <c r="D298" s="368">
        <f>IF(C298&lt;=0*(i.04130!$E$46-i.04130!$E$40-i.04130!$E$39),C298,0*(i.04130!$E$46-i.04130!$E$40-i.04130!$E$39))</f>
        <v>0</v>
      </c>
      <c r="E298" s="369">
        <f t="shared" si="7"/>
        <v>0</v>
      </c>
    </row>
    <row r="299" spans="1:5" x14ac:dyDescent="0.2">
      <c r="A299" s="372" t="s">
        <v>869</v>
      </c>
      <c r="B299" s="216"/>
      <c r="C299" s="217"/>
      <c r="D299" s="368">
        <f>IF(C299&lt;=0*(i.04130!$E$46-i.04130!$E$40-i.04130!$E$39),C299,0*(i.04130!$E$46-i.04130!$E$40-i.04130!$E$39))</f>
        <v>0</v>
      </c>
      <c r="E299" s="369">
        <f t="shared" si="7"/>
        <v>0</v>
      </c>
    </row>
    <row r="300" spans="1:5" x14ac:dyDescent="0.2">
      <c r="A300" s="372" t="s">
        <v>870</v>
      </c>
      <c r="B300" s="216"/>
      <c r="C300" s="217"/>
      <c r="D300" s="368">
        <f>IF(C300&lt;=0*(i.04130!$E$46-i.04130!$E$40-i.04130!$E$39),C300,0*(i.04130!$E$46-i.04130!$E$40-i.04130!$E$39))</f>
        <v>0</v>
      </c>
      <c r="E300" s="369">
        <f t="shared" si="7"/>
        <v>0</v>
      </c>
    </row>
    <row r="301" spans="1:5" x14ac:dyDescent="0.2">
      <c r="A301" s="372" t="s">
        <v>871</v>
      </c>
      <c r="B301" s="372" t="str">
        <f>"Бусад  "</f>
        <v xml:space="preserve">Бусад  </v>
      </c>
      <c r="C301" s="217"/>
      <c r="D301" s="368">
        <f>IF(C301&lt;=0*(i.04130!$E$46-i.04130!$E$40-i.04130!$E$39),C301,0*(i.04130!$E$46-i.04130!$E$40-i.04130!$E$39))</f>
        <v>0</v>
      </c>
      <c r="E301" s="369">
        <f t="shared" si="7"/>
        <v>0</v>
      </c>
    </row>
    <row r="302" spans="1:5" s="363" customFormat="1" ht="25.5" customHeight="1" x14ac:dyDescent="0.2">
      <c r="A302" s="331" t="s">
        <v>872</v>
      </c>
      <c r="B302" s="345" t="str">
        <f>"Санхүүгийн түрээс  /Хамгийн өндөр дүнтэйгээс эхлэн бичих/   "</f>
        <v xml:space="preserve">Санхүүгийн түрээс  /Хамгийн өндөр дүнтэйгээс эхлэн бичих/   </v>
      </c>
      <c r="C302" s="346">
        <f>C303+C304+C305+C306+C307+C308+C309+C310+C311+C312+C313</f>
        <v>0</v>
      </c>
      <c r="D302" s="347">
        <f>D303+D304+D305+D306+D307+D308+D309+D310+D311+D312+D313</f>
        <v>0</v>
      </c>
      <c r="E302" s="362">
        <f t="shared" si="7"/>
        <v>0</v>
      </c>
    </row>
    <row r="303" spans="1:5" x14ac:dyDescent="0.2">
      <c r="A303" s="344">
        <v>24.1</v>
      </c>
      <c r="B303" s="213"/>
      <c r="C303" s="68"/>
      <c r="D303" s="368">
        <f>IF(C303&lt;=0.05*(i.04130!$E$46-i.04130!$E$40-i.04130!$E$39),C303,0.05*(i.04130!$E$46-i.04130!$E$40-i.04130!$E$39))</f>
        <v>0</v>
      </c>
      <c r="E303" s="369">
        <f t="shared" si="7"/>
        <v>0</v>
      </c>
    </row>
    <row r="304" spans="1:5" x14ac:dyDescent="0.2">
      <c r="A304" s="344">
        <v>24.2</v>
      </c>
      <c r="B304" s="213"/>
      <c r="C304" s="68"/>
      <c r="D304" s="368">
        <f>IF(C304&lt;=0.05*(i.04130!$E$46-i.04130!$E$40-i.04130!$E$39),C304,0.05*(i.04130!$E$46-i.04130!$E$40-i.04130!$E$39))</f>
        <v>0</v>
      </c>
      <c r="E304" s="369">
        <f t="shared" si="7"/>
        <v>0</v>
      </c>
    </row>
    <row r="305" spans="1:5" x14ac:dyDescent="0.2">
      <c r="A305" s="344">
        <v>24.3</v>
      </c>
      <c r="B305" s="213"/>
      <c r="C305" s="68"/>
      <c r="D305" s="368">
        <f>IF(C305&lt;=0.05*(i.04130!$E$46-i.04130!$E$40-i.04130!$E$39),C305,0.05*(i.04130!$E$46-i.04130!$E$40-i.04130!$E$39))</f>
        <v>0</v>
      </c>
      <c r="E305" s="369">
        <f t="shared" si="7"/>
        <v>0</v>
      </c>
    </row>
    <row r="306" spans="1:5" x14ac:dyDescent="0.2">
      <c r="A306" s="344">
        <v>24.4</v>
      </c>
      <c r="B306" s="213"/>
      <c r="C306" s="68"/>
      <c r="D306" s="368">
        <f>IF(C306&lt;=0.05*(i.04130!$E$46-i.04130!$E$40-i.04130!$E$39),C306,0.05*(i.04130!$E$46-i.04130!$E$40-i.04130!$E$39))</f>
        <v>0</v>
      </c>
      <c r="E306" s="369">
        <f t="shared" si="7"/>
        <v>0</v>
      </c>
    </row>
    <row r="307" spans="1:5" x14ac:dyDescent="0.2">
      <c r="A307" s="344">
        <v>24.5</v>
      </c>
      <c r="B307" s="213"/>
      <c r="C307" s="68"/>
      <c r="D307" s="368">
        <f>IF(C307&lt;=0.05*(i.04130!$E$46-i.04130!$E$40-i.04130!$E$39),C307,0.05*(i.04130!$E$46-i.04130!$E$40-i.04130!$E$39))</f>
        <v>0</v>
      </c>
      <c r="E307" s="369">
        <f t="shared" si="7"/>
        <v>0</v>
      </c>
    </row>
    <row r="308" spans="1:5" x14ac:dyDescent="0.2">
      <c r="A308" s="344">
        <v>24.6</v>
      </c>
      <c r="B308" s="213"/>
      <c r="C308" s="68"/>
      <c r="D308" s="368">
        <f>IF(C308&lt;=0.05*(i.04130!$E$46-i.04130!$E$40-i.04130!$E$39),C308,0.05*(i.04130!$E$46-i.04130!$E$40-i.04130!$E$39))</f>
        <v>0</v>
      </c>
      <c r="E308" s="369">
        <f t="shared" si="7"/>
        <v>0</v>
      </c>
    </row>
    <row r="309" spans="1:5" x14ac:dyDescent="0.2">
      <c r="A309" s="344">
        <v>24.7</v>
      </c>
      <c r="B309" s="213"/>
      <c r="C309" s="68"/>
      <c r="D309" s="368">
        <f>IF(C309&lt;=0.05*(i.04130!$E$46-i.04130!$E$40-i.04130!$E$39),C309,0.05*(i.04130!$E$46-i.04130!$E$40-i.04130!$E$39))</f>
        <v>0</v>
      </c>
      <c r="E309" s="369">
        <f t="shared" si="7"/>
        <v>0</v>
      </c>
    </row>
    <row r="310" spans="1:5" x14ac:dyDescent="0.2">
      <c r="A310" s="344">
        <v>24.8</v>
      </c>
      <c r="B310" s="213"/>
      <c r="C310" s="68"/>
      <c r="D310" s="368">
        <f>IF(C310&lt;=0.05*(i.04130!$E$46-i.04130!$E$40-i.04130!$E$39),C310,0.05*(i.04130!$E$46-i.04130!$E$40-i.04130!$E$39))</f>
        <v>0</v>
      </c>
      <c r="E310" s="369">
        <f t="shared" si="7"/>
        <v>0</v>
      </c>
    </row>
    <row r="311" spans="1:5" x14ac:dyDescent="0.2">
      <c r="A311" s="344">
        <v>24.9</v>
      </c>
      <c r="B311" s="213"/>
      <c r="C311" s="68"/>
      <c r="D311" s="368">
        <f>IF(C311&lt;=0.05*(i.04130!$E$46-i.04130!$E$40-i.04130!$E$39),C311,0.05*(i.04130!$E$46-i.04130!$E$40-i.04130!$E$39))</f>
        <v>0</v>
      </c>
      <c r="E311" s="369">
        <f t="shared" si="7"/>
        <v>0</v>
      </c>
    </row>
    <row r="312" spans="1:5" x14ac:dyDescent="0.2">
      <c r="A312" s="340">
        <v>24.1</v>
      </c>
      <c r="B312" s="213"/>
      <c r="C312" s="68"/>
      <c r="D312" s="368">
        <f>IF(C312&lt;=0.05*(i.04130!$E$46-i.04130!$E$40-i.04130!$E$39),C312,0.05*(i.04130!$E$46-i.04130!$E$40-i.04130!$E$39))</f>
        <v>0</v>
      </c>
      <c r="E312" s="369">
        <f t="shared" si="7"/>
        <v>0</v>
      </c>
    </row>
    <row r="313" spans="1:5" x14ac:dyDescent="0.2">
      <c r="A313" s="344">
        <v>24.11</v>
      </c>
      <c r="B313" s="370" t="str">
        <f>"Бусад  "</f>
        <v xml:space="preserve">Бусад  </v>
      </c>
      <c r="C313" s="68"/>
      <c r="D313" s="368">
        <f>IF(C313&lt;=0.05*(i.04130!$E$46-i.04130!$E$40-i.04130!$E$39),C313,0.05*(i.04130!$E$46-i.04130!$E$40-i.04130!$E$39))</f>
        <v>0</v>
      </c>
      <c r="E313" s="369">
        <f t="shared" si="7"/>
        <v>0</v>
      </c>
    </row>
    <row r="314" spans="1:5" s="363" customFormat="1" ht="25.5" customHeight="1" x14ac:dyDescent="0.2">
      <c r="A314" s="360" t="s">
        <v>873</v>
      </c>
      <c r="B314" s="367" t="str">
        <f>"Үл хөдлөх хөрөнгө  /Хамгийн өндөр дүнтэйгээс эхлэн бичих/  "</f>
        <v xml:space="preserve">Үл хөдлөх хөрөнгө  /Хамгийн өндөр дүнтэйгээс эхлэн бичих/  </v>
      </c>
      <c r="C314" s="371">
        <f>C315+C316+C317+C318+C319+C320+C321+C322+C323+C324+C325</f>
        <v>0</v>
      </c>
      <c r="D314" s="347">
        <f>D315+D316+D317+D318+D319+D320+D321+D322+D323+D324+D325</f>
        <v>0</v>
      </c>
      <c r="E314" s="362">
        <f t="shared" si="7"/>
        <v>0</v>
      </c>
    </row>
    <row r="315" spans="1:5" x14ac:dyDescent="0.2">
      <c r="A315" s="344">
        <v>25.1</v>
      </c>
      <c r="B315" s="213"/>
      <c r="C315" s="66"/>
      <c r="D315" s="368">
        <f>IF(C315&lt;=0.25*(i.04130!$E$46-i.04130!$E$40-i.04130!$E$39),C315,0.25*(i.04130!$E$46-i.04130!$E$40-i.04130!$E$39))</f>
        <v>0</v>
      </c>
      <c r="E315" s="369">
        <f t="shared" si="7"/>
        <v>0</v>
      </c>
    </row>
    <row r="316" spans="1:5" x14ac:dyDescent="0.2">
      <c r="A316" s="344">
        <v>25.2</v>
      </c>
      <c r="B316" s="213"/>
      <c r="C316" s="66"/>
      <c r="D316" s="368">
        <f>IF(C316&lt;=0.25*(i.04130!$E$46-i.04130!$E$40-i.04130!$E$39),C316,0.25*(i.04130!$E$46-i.04130!$E$40-i.04130!$E$39))</f>
        <v>0</v>
      </c>
      <c r="E316" s="369">
        <f t="shared" si="7"/>
        <v>0</v>
      </c>
    </row>
    <row r="317" spans="1:5" x14ac:dyDescent="0.2">
      <c r="A317" s="344">
        <v>25.3</v>
      </c>
      <c r="B317" s="213"/>
      <c r="C317" s="66"/>
      <c r="D317" s="368">
        <f>IF(C317&lt;=0.25*(i.04130!$E$46-i.04130!$E$40-i.04130!$E$39),C317,0.25*(i.04130!$E$46-i.04130!$E$40-i.04130!$E$39))</f>
        <v>0</v>
      </c>
      <c r="E317" s="369">
        <f t="shared" si="7"/>
        <v>0</v>
      </c>
    </row>
    <row r="318" spans="1:5" x14ac:dyDescent="0.2">
      <c r="A318" s="344">
        <v>25.4</v>
      </c>
      <c r="B318" s="213"/>
      <c r="C318" s="66"/>
      <c r="D318" s="368">
        <f>IF(C318&lt;=0.25*(i.04130!$E$46-i.04130!$E$40-i.04130!$E$39),C318,0.25*(i.04130!$E$46-i.04130!$E$40-i.04130!$E$39))</f>
        <v>0</v>
      </c>
      <c r="E318" s="369">
        <f t="shared" si="7"/>
        <v>0</v>
      </c>
    </row>
    <row r="319" spans="1:5" x14ac:dyDescent="0.2">
      <c r="A319" s="344">
        <v>25.5</v>
      </c>
      <c r="B319" s="213"/>
      <c r="C319" s="66"/>
      <c r="D319" s="368">
        <f>IF(C319&lt;=0.25*(i.04130!$E$46-i.04130!$E$40-i.04130!$E$39),C319,0.25*(i.04130!$E$46-i.04130!$E$40-i.04130!$E$39))</f>
        <v>0</v>
      </c>
      <c r="E319" s="369">
        <f t="shared" si="7"/>
        <v>0</v>
      </c>
    </row>
    <row r="320" spans="1:5" x14ac:dyDescent="0.2">
      <c r="A320" s="344">
        <v>25.6</v>
      </c>
      <c r="B320" s="213"/>
      <c r="C320" s="66"/>
      <c r="D320" s="368">
        <f>IF(C320&lt;=0.25*(i.04130!$E$46-i.04130!$E$40-i.04130!$E$39),C320,0.25*(i.04130!$E$46-i.04130!$E$40-i.04130!$E$39))</f>
        <v>0</v>
      </c>
      <c r="E320" s="369">
        <f t="shared" si="7"/>
        <v>0</v>
      </c>
    </row>
    <row r="321" spans="1:5" x14ac:dyDescent="0.2">
      <c r="A321" s="344">
        <v>25.7</v>
      </c>
      <c r="B321" s="213"/>
      <c r="C321" s="66"/>
      <c r="D321" s="368">
        <f>IF(C321&lt;=0.25*(i.04130!$E$46-i.04130!$E$40-i.04130!$E$39),C321,0.25*(i.04130!$E$46-i.04130!$E$40-i.04130!$E$39))</f>
        <v>0</v>
      </c>
      <c r="E321" s="369">
        <f t="shared" si="7"/>
        <v>0</v>
      </c>
    </row>
    <row r="322" spans="1:5" x14ac:dyDescent="0.2">
      <c r="A322" s="344">
        <v>25.8</v>
      </c>
      <c r="B322" s="213"/>
      <c r="C322" s="66"/>
      <c r="D322" s="368">
        <f>IF(C322&lt;=0.25*(i.04130!$E$46-i.04130!$E$40-i.04130!$E$39),C322,0.25*(i.04130!$E$46-i.04130!$E$40-i.04130!$E$39))</f>
        <v>0</v>
      </c>
      <c r="E322" s="369">
        <f t="shared" si="7"/>
        <v>0</v>
      </c>
    </row>
    <row r="323" spans="1:5" x14ac:dyDescent="0.2">
      <c r="A323" s="344">
        <v>25.9</v>
      </c>
      <c r="B323" s="213"/>
      <c r="C323" s="66"/>
      <c r="D323" s="368">
        <f>IF(C323&lt;=0.25*(i.04130!$E$46-i.04130!$E$40-i.04130!$E$39),C323,0.25*(i.04130!$E$46-i.04130!$E$40-i.04130!$E$39))</f>
        <v>0</v>
      </c>
      <c r="E323" s="369">
        <f t="shared" si="7"/>
        <v>0</v>
      </c>
    </row>
    <row r="324" spans="1:5" x14ac:dyDescent="0.2">
      <c r="A324" s="340">
        <v>25.1</v>
      </c>
      <c r="B324" s="213"/>
      <c r="C324" s="66"/>
      <c r="D324" s="368">
        <f>IF(C324&lt;=0.25*(i.04130!$E$46-i.04130!$E$40-i.04130!$E$39),C324,0.25*(i.04130!$E$46-i.04130!$E$40-i.04130!$E$39))</f>
        <v>0</v>
      </c>
      <c r="E324" s="369">
        <f t="shared" si="7"/>
        <v>0</v>
      </c>
    </row>
    <row r="325" spans="1:5" x14ac:dyDescent="0.2">
      <c r="A325" s="344">
        <v>25.11</v>
      </c>
      <c r="B325" s="370" t="str">
        <f>"Бусад  "</f>
        <v xml:space="preserve">Бусад  </v>
      </c>
      <c r="C325" s="66"/>
      <c r="D325" s="368">
        <f>IF(C325&lt;=0.25*(i.04130!$E$46-i.04130!$E$40-i.04130!$E$39),C325,0.25*(i.04130!$E$46-i.04130!$E$40-i.04130!$E$39))</f>
        <v>0</v>
      </c>
      <c r="E325" s="369">
        <f t="shared" si="7"/>
        <v>0</v>
      </c>
    </row>
    <row r="326" spans="1:5" s="363" customFormat="1" ht="24.75" customHeight="1" x14ac:dyDescent="0.2">
      <c r="A326" s="360" t="s">
        <v>874</v>
      </c>
      <c r="B326" s="367" t="str">
        <f>"Хөдлөх хөрөнгө /Хамгийн өндөр дүнтэйгээс эхлэн бичих/   "</f>
        <v xml:space="preserve">Хөдлөх хөрөнгө /Хамгийн өндөр дүнтэйгээс эхлэн бичих/   </v>
      </c>
      <c r="C326" s="371">
        <f>C327+C328+C329+C330+C331+C332+C333+C334+C335+C336+C337</f>
        <v>0</v>
      </c>
      <c r="D326" s="347">
        <f>D327+D328+D329+D330+D331+D332+D333+D334+D335+D336+D337</f>
        <v>0</v>
      </c>
      <c r="E326" s="362">
        <f t="shared" si="7"/>
        <v>0</v>
      </c>
    </row>
    <row r="327" spans="1:5" x14ac:dyDescent="0.2">
      <c r="A327" s="344">
        <v>26.1</v>
      </c>
      <c r="B327" s="213"/>
      <c r="C327" s="220"/>
      <c r="D327" s="368">
        <f>IF(C327&lt;=0.05*(i.04130!$E$46-i.04130!$E$40-i.04130!$E$39),C327,0.05*(i.04130!$E$46-i.04130!$E$40-i.04130!$E$39))</f>
        <v>0</v>
      </c>
      <c r="E327" s="369">
        <f t="shared" si="7"/>
        <v>0</v>
      </c>
    </row>
    <row r="328" spans="1:5" x14ac:dyDescent="0.2">
      <c r="A328" s="344">
        <v>26.2</v>
      </c>
      <c r="B328" s="213"/>
      <c r="C328" s="220"/>
      <c r="D328" s="368">
        <f>IF(C328&lt;=0.05*(i.04130!$E$46-i.04130!$E$40-i.04130!$E$39),C328,0.05*(i.04130!$E$46-i.04130!$E$40-i.04130!$E$39))</f>
        <v>0</v>
      </c>
      <c r="E328" s="369">
        <f t="shared" si="7"/>
        <v>0</v>
      </c>
    </row>
    <row r="329" spans="1:5" x14ac:dyDescent="0.2">
      <c r="A329" s="344">
        <v>26.3</v>
      </c>
      <c r="B329" s="213"/>
      <c r="C329" s="220"/>
      <c r="D329" s="368">
        <f>IF(C329&lt;=0.05*(i.04130!$E$46-i.04130!$E$40-i.04130!$E$39),C329,0.05*(i.04130!$E$46-i.04130!$E$40-i.04130!$E$39))</f>
        <v>0</v>
      </c>
      <c r="E329" s="369">
        <f t="shared" si="7"/>
        <v>0</v>
      </c>
    </row>
    <row r="330" spans="1:5" x14ac:dyDescent="0.2">
      <c r="A330" s="344">
        <v>26.4</v>
      </c>
      <c r="B330" s="213"/>
      <c r="C330" s="220"/>
      <c r="D330" s="368">
        <f>IF(C330&lt;=0.05*(i.04130!$E$46-i.04130!$E$40-i.04130!$E$39),C330,0.05*(i.04130!$E$46-i.04130!$E$40-i.04130!$E$39))</f>
        <v>0</v>
      </c>
      <c r="E330" s="369">
        <f t="shared" ref="E330:E350" si="8">C330-D330</f>
        <v>0</v>
      </c>
    </row>
    <row r="331" spans="1:5" x14ac:dyDescent="0.2">
      <c r="A331" s="344">
        <v>26.5</v>
      </c>
      <c r="B331" s="213"/>
      <c r="C331" s="220"/>
      <c r="D331" s="368">
        <f>IF(C331&lt;=0.05*(i.04130!$E$46-i.04130!$E$40-i.04130!$E$39),C331,0.05*(i.04130!$E$46-i.04130!$E$40-i.04130!$E$39))</f>
        <v>0</v>
      </c>
      <c r="E331" s="369">
        <f t="shared" si="8"/>
        <v>0</v>
      </c>
    </row>
    <row r="332" spans="1:5" x14ac:dyDescent="0.2">
      <c r="A332" s="344">
        <v>26.6</v>
      </c>
      <c r="B332" s="213"/>
      <c r="C332" s="220"/>
      <c r="D332" s="368">
        <f>IF(C332&lt;=0.05*(i.04130!$E$46-i.04130!$E$40-i.04130!$E$39),C332,0.05*(i.04130!$E$46-i.04130!$E$40-i.04130!$E$39))</f>
        <v>0</v>
      </c>
      <c r="E332" s="369">
        <f t="shared" si="8"/>
        <v>0</v>
      </c>
    </row>
    <row r="333" spans="1:5" x14ac:dyDescent="0.2">
      <c r="A333" s="344">
        <v>26.7</v>
      </c>
      <c r="B333" s="213"/>
      <c r="C333" s="220"/>
      <c r="D333" s="368">
        <f>IF(C333&lt;=0.05*(i.04130!$E$46-i.04130!$E$40-i.04130!$E$39),C333,0.05*(i.04130!$E$46-i.04130!$E$40-i.04130!$E$39))</f>
        <v>0</v>
      </c>
      <c r="E333" s="369">
        <f t="shared" si="8"/>
        <v>0</v>
      </c>
    </row>
    <row r="334" spans="1:5" x14ac:dyDescent="0.2">
      <c r="A334" s="344">
        <v>26.8</v>
      </c>
      <c r="B334" s="213"/>
      <c r="C334" s="220"/>
      <c r="D334" s="368">
        <f>IF(C334&lt;=0.05*(i.04130!$E$46-i.04130!$E$40-i.04130!$E$39),C334,0.05*(i.04130!$E$46-i.04130!$E$40-i.04130!$E$39))</f>
        <v>0</v>
      </c>
      <c r="E334" s="369">
        <f t="shared" si="8"/>
        <v>0</v>
      </c>
    </row>
    <row r="335" spans="1:5" x14ac:dyDescent="0.2">
      <c r="A335" s="344">
        <v>26.9</v>
      </c>
      <c r="B335" s="213"/>
      <c r="C335" s="220"/>
      <c r="D335" s="368">
        <f>IF(C335&lt;=0.05*(i.04130!$E$46-i.04130!$E$40-i.04130!$E$39),C335,0.05*(i.04130!$E$46-i.04130!$E$40-i.04130!$E$39))</f>
        <v>0</v>
      </c>
      <c r="E335" s="369">
        <f t="shared" si="8"/>
        <v>0</v>
      </c>
    </row>
    <row r="336" spans="1:5" x14ac:dyDescent="0.2">
      <c r="A336" s="340">
        <v>26.1</v>
      </c>
      <c r="B336" s="213"/>
      <c r="C336" s="220"/>
      <c r="D336" s="368">
        <f>IF(C336&lt;=0.05*(i.04130!$E$46-i.04130!$E$40-i.04130!$E$39),C336,0.05*(i.04130!$E$46-i.04130!$E$40-i.04130!$E$39))</f>
        <v>0</v>
      </c>
      <c r="E336" s="369">
        <f t="shared" si="8"/>
        <v>0</v>
      </c>
    </row>
    <row r="337" spans="1:5" x14ac:dyDescent="0.2">
      <c r="A337" s="344">
        <v>26.11</v>
      </c>
      <c r="B337" s="370" t="str">
        <f>"Бусад  "</f>
        <v xml:space="preserve">Бусад  </v>
      </c>
      <c r="C337" s="220"/>
      <c r="D337" s="368">
        <f>IF(C337&lt;=0.05*(i.04130!$E$46-i.04130!$E$40-i.04130!$E$39),C337,0.05*(i.04130!$E$46-i.04130!$E$40-i.04130!$E$39))</f>
        <v>0</v>
      </c>
      <c r="E337" s="369">
        <f t="shared" si="8"/>
        <v>0</v>
      </c>
    </row>
    <row r="338" spans="1:5" s="363" customFormat="1" ht="38.25" x14ac:dyDescent="0.2">
      <c r="A338" s="360" t="s">
        <v>875</v>
      </c>
      <c r="B338" s="367" t="str">
        <f>"Даатгалын үндсэн үйл ажиллагаанд зориулан авсан биет бус хөрөнгө  /Хамгийн өндөр дүнтэйгээс эхлэн бичих/  "</f>
        <v xml:space="preserve">Даатгалын үндсэн үйл ажиллагаанд зориулан авсан биет бус хөрөнгө  /Хамгийн өндөр дүнтэйгээс эхлэн бичих/  </v>
      </c>
      <c r="C338" s="371">
        <f>C339+C340+C341+C342+C343+C344+C345+C346+C347+C348+C349</f>
        <v>0</v>
      </c>
      <c r="D338" s="347">
        <f>D339+D340+D341+D342+D343+D344+D345+D346+D347+D348+D349</f>
        <v>0</v>
      </c>
      <c r="E338" s="362">
        <f t="shared" si="8"/>
        <v>0</v>
      </c>
    </row>
    <row r="339" spans="1:5" x14ac:dyDescent="0.2">
      <c r="A339" s="344">
        <v>27.1</v>
      </c>
      <c r="B339" s="213"/>
      <c r="C339" s="66"/>
      <c r="D339" s="368">
        <f>IF(C339&lt;=0.1*(i.04130!$E$46-i.04130!$E$40-i.04130!$E$39),C339,0.1*(i.04130!$E$46-i.04130!$E$40-i.04130!$E$39))</f>
        <v>0</v>
      </c>
      <c r="E339" s="369">
        <f t="shared" si="8"/>
        <v>0</v>
      </c>
    </row>
    <row r="340" spans="1:5" x14ac:dyDescent="0.2">
      <c r="A340" s="344">
        <v>27.2</v>
      </c>
      <c r="B340" s="213"/>
      <c r="C340" s="66"/>
      <c r="D340" s="368">
        <f>IF(C340&lt;=0.1*(i.04130!$E$46-i.04130!$E$40-i.04130!$E$39),C340,0.1*(i.04130!$E$46-i.04130!$E$40-i.04130!$E$39))</f>
        <v>0</v>
      </c>
      <c r="E340" s="369">
        <f t="shared" si="8"/>
        <v>0</v>
      </c>
    </row>
    <row r="341" spans="1:5" x14ac:dyDescent="0.2">
      <c r="A341" s="344">
        <v>27.3</v>
      </c>
      <c r="B341" s="213"/>
      <c r="C341" s="66"/>
      <c r="D341" s="368">
        <f>IF(C341&lt;=0.1*(i.04130!$E$46-i.04130!$E$40-i.04130!$E$39),C341,0.1*(i.04130!$E$46-i.04130!$E$40-i.04130!$E$39))</f>
        <v>0</v>
      </c>
      <c r="E341" s="369">
        <f t="shared" si="8"/>
        <v>0</v>
      </c>
    </row>
    <row r="342" spans="1:5" x14ac:dyDescent="0.2">
      <c r="A342" s="344">
        <v>27.4</v>
      </c>
      <c r="B342" s="213"/>
      <c r="C342" s="66"/>
      <c r="D342" s="368">
        <f>IF(C342&lt;=0.1*(i.04130!$E$46-i.04130!$E$40-i.04130!$E$39),C342,0.1*(i.04130!$E$46-i.04130!$E$40-i.04130!$E$39))</f>
        <v>0</v>
      </c>
      <c r="E342" s="369">
        <f t="shared" si="8"/>
        <v>0</v>
      </c>
    </row>
    <row r="343" spans="1:5" x14ac:dyDescent="0.2">
      <c r="A343" s="344">
        <v>27.5</v>
      </c>
      <c r="B343" s="213"/>
      <c r="C343" s="66"/>
      <c r="D343" s="368">
        <f>IF(C343&lt;=0.1*(i.04130!$E$46-i.04130!$E$40-i.04130!$E$39),C343,0.1*(i.04130!$E$46-i.04130!$E$40-i.04130!$E$39))</f>
        <v>0</v>
      </c>
      <c r="E343" s="369">
        <f t="shared" si="8"/>
        <v>0</v>
      </c>
    </row>
    <row r="344" spans="1:5" x14ac:dyDescent="0.2">
      <c r="A344" s="344">
        <v>27.6</v>
      </c>
      <c r="B344" s="213"/>
      <c r="C344" s="66"/>
      <c r="D344" s="368">
        <f>IF(C344&lt;=0.1*(i.04130!$E$46-i.04130!$E$40-i.04130!$E$39),C344,0.1*(i.04130!$E$46-i.04130!$E$40-i.04130!$E$39))</f>
        <v>0</v>
      </c>
      <c r="E344" s="369">
        <f t="shared" si="8"/>
        <v>0</v>
      </c>
    </row>
    <row r="345" spans="1:5" x14ac:dyDescent="0.2">
      <c r="A345" s="344">
        <v>27.7</v>
      </c>
      <c r="B345" s="213"/>
      <c r="C345" s="66"/>
      <c r="D345" s="368">
        <f>IF(C345&lt;=0.1*(i.04130!$E$46-i.04130!$E$40-i.04130!$E$39),C345,0.1*(i.04130!$E$46-i.04130!$E$40-i.04130!$E$39))</f>
        <v>0</v>
      </c>
      <c r="E345" s="369">
        <f t="shared" si="8"/>
        <v>0</v>
      </c>
    </row>
    <row r="346" spans="1:5" x14ac:dyDescent="0.2">
      <c r="A346" s="344">
        <v>27.8</v>
      </c>
      <c r="B346" s="213"/>
      <c r="C346" s="66"/>
      <c r="D346" s="368">
        <f>IF(C346&lt;=0.1*(i.04130!$E$46-i.04130!$E$40-i.04130!$E$39),C346,0.1*(i.04130!$E$46-i.04130!$E$40-i.04130!$E$39))</f>
        <v>0</v>
      </c>
      <c r="E346" s="369">
        <f t="shared" si="8"/>
        <v>0</v>
      </c>
    </row>
    <row r="347" spans="1:5" x14ac:dyDescent="0.2">
      <c r="A347" s="344">
        <v>27.9</v>
      </c>
      <c r="B347" s="213"/>
      <c r="C347" s="66"/>
      <c r="D347" s="368">
        <f>IF(C347&lt;=0.1*(i.04130!$E$46-i.04130!$E$40-i.04130!$E$39),C347,0.1*(i.04130!$E$46-i.04130!$E$40-i.04130!$E$39))</f>
        <v>0</v>
      </c>
      <c r="E347" s="369">
        <f t="shared" si="8"/>
        <v>0</v>
      </c>
    </row>
    <row r="348" spans="1:5" x14ac:dyDescent="0.2">
      <c r="A348" s="340">
        <v>27.1</v>
      </c>
      <c r="B348" s="213"/>
      <c r="C348" s="66"/>
      <c r="D348" s="368">
        <f>IF(C348&lt;=0.1*(i.04130!$E$46-i.04130!$E$40-i.04130!$E$39),C348,0.1*(i.04130!$E$46-i.04130!$E$40-i.04130!$E$39))</f>
        <v>0</v>
      </c>
      <c r="E348" s="369">
        <f t="shared" si="8"/>
        <v>0</v>
      </c>
    </row>
    <row r="349" spans="1:5" x14ac:dyDescent="0.2">
      <c r="A349" s="344">
        <v>27.11</v>
      </c>
      <c r="B349" s="370" t="str">
        <f>"Бусад  "</f>
        <v xml:space="preserve">Бусад  </v>
      </c>
      <c r="C349" s="66"/>
      <c r="D349" s="368">
        <f>IF(C349&lt;=0.1*(i.04130!$E$46-i.04130!$E$40-i.04130!$E$39),C349,0.1*(i.04130!$E$46-i.04130!$E$40-i.04130!$E$39))</f>
        <v>0</v>
      </c>
      <c r="E349" s="369">
        <f t="shared" si="8"/>
        <v>0</v>
      </c>
    </row>
    <row r="350" spans="1:5" s="363" customFormat="1" ht="12.75" customHeight="1" x14ac:dyDescent="0.2">
      <c r="A350" s="367" t="s">
        <v>876</v>
      </c>
      <c r="B350" s="367" t="str">
        <f>"Бусад хөрөнгө "</f>
        <v xml:space="preserve">Бусад хөрөнгө </v>
      </c>
      <c r="C350" s="218"/>
      <c r="D350" s="347">
        <f>IF(C350&lt;=0*(i.04130!$E$46-i.04130!$E$40-i.04130!$E$39),C350,0*(i.04130!$E$46-i.04130!$E$40-i.04130!$E$39))</f>
        <v>0</v>
      </c>
      <c r="E350" s="362">
        <f t="shared" si="8"/>
        <v>0</v>
      </c>
    </row>
    <row r="351" spans="1:5" s="363" customFormat="1" x14ac:dyDescent="0.2">
      <c r="A351" s="360"/>
      <c r="B351" s="360" t="str">
        <f>"Нийт хөрөнгийн дүн  "</f>
        <v xml:space="preserve">Нийт хөрөнгийн дүн  </v>
      </c>
      <c r="C351" s="361">
        <f>C350+C338+C326+C314+C302+C295+C288+C281+C274+C267+C255+C243+C231+C219+C207+C195+C183+C171+C159+C147+C135+C123+C111+C90+C83+C76+C69+C62+C55+C42+C30+C9+C54+C102+C103</f>
        <v>0</v>
      </c>
      <c r="D351" s="347">
        <f>D350+D338+D326+D314+D302+D295+D288+D281+D274+D267+D255+D243+D231+D219+D207+D195+D183+D171+D159+D147+D135+D123+D111+D90+D83+D76+D69+D62+D55+D42+D30+D9+D54+D102+D103</f>
        <v>0</v>
      </c>
      <c r="E351" s="362">
        <f>C351-D351</f>
        <v>0</v>
      </c>
    </row>
    <row r="352" spans="1:5" x14ac:dyDescent="0.2">
      <c r="A352" s="73"/>
      <c r="B352" s="224"/>
      <c r="C352" s="225"/>
      <c r="D352" s="226"/>
      <c r="E352" s="73"/>
    </row>
    <row r="353" spans="1:7" x14ac:dyDescent="0.2">
      <c r="A353" s="70"/>
      <c r="B353" s="2" t="s">
        <v>285</v>
      </c>
      <c r="C353" s="271"/>
      <c r="D353" s="4"/>
      <c r="E353" s="4"/>
      <c r="F353" s="70"/>
      <c r="G353" s="222"/>
    </row>
    <row r="354" spans="1:7" x14ac:dyDescent="0.2">
      <c r="A354" s="70"/>
      <c r="B354" s="5"/>
      <c r="C354" s="271"/>
      <c r="D354" s="4"/>
      <c r="E354" s="4"/>
      <c r="F354" s="70"/>
      <c r="G354" s="223"/>
    </row>
    <row r="355" spans="1:7" x14ac:dyDescent="0.2">
      <c r="A355" s="70"/>
      <c r="B355" s="5" t="s">
        <v>286</v>
      </c>
      <c r="C355" s="271"/>
      <c r="D355" s="4"/>
      <c r="E355" s="4"/>
      <c r="F355" s="70"/>
    </row>
    <row r="356" spans="1:7" x14ac:dyDescent="0.2">
      <c r="A356" s="70"/>
      <c r="B356" s="5"/>
      <c r="C356" s="271"/>
      <c r="D356" s="4"/>
      <c r="E356" s="4"/>
      <c r="F356" s="70"/>
    </row>
    <row r="357" spans="1:7" x14ac:dyDescent="0.2">
      <c r="A357" s="70"/>
      <c r="B357" s="6" t="s">
        <v>287</v>
      </c>
      <c r="C357" s="576" t="s">
        <v>288</v>
      </c>
      <c r="D357" s="576"/>
      <c r="E357" s="4" t="s">
        <v>289</v>
      </c>
      <c r="F357" s="70"/>
    </row>
    <row r="358" spans="1:7" x14ac:dyDescent="0.2">
      <c r="A358" s="71"/>
      <c r="B358" s="5"/>
      <c r="C358" s="576"/>
      <c r="D358" s="576"/>
      <c r="E358" s="4"/>
    </row>
    <row r="359" spans="1:7" x14ac:dyDescent="0.2">
      <c r="B359" s="6" t="s">
        <v>290</v>
      </c>
      <c r="C359" s="576" t="s">
        <v>291</v>
      </c>
      <c r="D359" s="576"/>
      <c r="E359" s="4" t="s">
        <v>292</v>
      </c>
    </row>
    <row r="360" spans="1:7" x14ac:dyDescent="0.2">
      <c r="A360" s="73"/>
      <c r="B360" s="5"/>
      <c r="C360" s="576"/>
      <c r="D360" s="576"/>
      <c r="E360" s="4"/>
    </row>
    <row r="361" spans="1:7" x14ac:dyDescent="0.2">
      <c r="A361" s="73"/>
      <c r="B361" s="6" t="s">
        <v>293</v>
      </c>
      <c r="C361" s="576" t="s">
        <v>288</v>
      </c>
      <c r="D361" s="576"/>
      <c r="E361" s="4" t="s">
        <v>292</v>
      </c>
    </row>
    <row r="362" spans="1:7" x14ac:dyDescent="0.2">
      <c r="A362" s="73"/>
      <c r="B362" s="224"/>
      <c r="C362" s="225"/>
      <c r="D362" s="226"/>
      <c r="E362" s="73"/>
    </row>
    <row r="363" spans="1:7" x14ac:dyDescent="0.2">
      <c r="A363" s="73"/>
      <c r="B363" s="224"/>
      <c r="C363" s="225"/>
      <c r="D363" s="226"/>
      <c r="E363" s="73"/>
    </row>
    <row r="364" spans="1:7" x14ac:dyDescent="0.2">
      <c r="A364" s="73"/>
      <c r="B364" s="224"/>
      <c r="C364" s="225"/>
      <c r="D364" s="226"/>
      <c r="E364" s="73"/>
    </row>
    <row r="365" spans="1:7" x14ac:dyDescent="0.2">
      <c r="A365" s="73"/>
      <c r="B365" s="224"/>
      <c r="C365" s="225"/>
      <c r="D365" s="226"/>
      <c r="E365" s="73"/>
    </row>
    <row r="366" spans="1:7" x14ac:dyDescent="0.2">
      <c r="A366" s="73"/>
      <c r="B366" s="224"/>
      <c r="C366" s="225"/>
      <c r="D366" s="226"/>
      <c r="E366" s="73"/>
    </row>
    <row r="367" spans="1:7" x14ac:dyDescent="0.2">
      <c r="A367" s="73"/>
      <c r="B367" s="224"/>
      <c r="C367" s="225"/>
      <c r="D367" s="226"/>
      <c r="E367" s="73"/>
    </row>
    <row r="368" spans="1:7" x14ac:dyDescent="0.2">
      <c r="A368" s="73"/>
      <c r="B368" s="224"/>
      <c r="C368" s="225"/>
      <c r="D368" s="226"/>
      <c r="E368" s="73"/>
    </row>
    <row r="369" spans="1:5" x14ac:dyDescent="0.2">
      <c r="A369" s="73"/>
      <c r="B369" s="224"/>
      <c r="C369" s="225"/>
      <c r="D369" s="226"/>
      <c r="E369" s="73"/>
    </row>
    <row r="370" spans="1:5" x14ac:dyDescent="0.2">
      <c r="A370" s="73"/>
      <c r="B370" s="224"/>
      <c r="C370" s="225"/>
      <c r="D370" s="226"/>
      <c r="E370" s="73"/>
    </row>
    <row r="371" spans="1:5" x14ac:dyDescent="0.2">
      <c r="A371" s="73"/>
      <c r="B371" s="224"/>
      <c r="C371" s="225"/>
      <c r="D371" s="226"/>
      <c r="E371" s="73"/>
    </row>
    <row r="372" spans="1:5" x14ac:dyDescent="0.2">
      <c r="A372" s="73"/>
      <c r="B372" s="224"/>
      <c r="C372" s="225"/>
      <c r="D372" s="226"/>
      <c r="E372" s="73"/>
    </row>
    <row r="373" spans="1:5" x14ac:dyDescent="0.2">
      <c r="A373" s="73"/>
      <c r="B373" s="224"/>
      <c r="C373" s="225"/>
      <c r="D373" s="226"/>
      <c r="E373" s="73"/>
    </row>
    <row r="374" spans="1:5" x14ac:dyDescent="0.2">
      <c r="A374" s="73"/>
      <c r="B374" s="224"/>
      <c r="C374" s="225"/>
      <c r="D374" s="226"/>
      <c r="E374" s="73"/>
    </row>
    <row r="375" spans="1:5" x14ac:dyDescent="0.2">
      <c r="A375" s="73"/>
      <c r="B375" s="224"/>
      <c r="C375" s="225"/>
      <c r="D375" s="226"/>
      <c r="E375" s="73"/>
    </row>
    <row r="376" spans="1:5" x14ac:dyDescent="0.2">
      <c r="A376" s="73"/>
      <c r="B376" s="224"/>
      <c r="C376" s="225"/>
      <c r="D376" s="226"/>
      <c r="E376" s="73"/>
    </row>
    <row r="377" spans="1:5" x14ac:dyDescent="0.2">
      <c r="A377" s="73"/>
      <c r="B377" s="224"/>
      <c r="C377" s="225"/>
      <c r="D377" s="226"/>
      <c r="E377" s="73"/>
    </row>
    <row r="378" spans="1:5" x14ac:dyDescent="0.2">
      <c r="A378" s="73"/>
      <c r="B378" s="224"/>
      <c r="C378" s="225"/>
      <c r="D378" s="226"/>
      <c r="E378" s="73"/>
    </row>
    <row r="379" spans="1:5" x14ac:dyDescent="0.2">
      <c r="A379" s="73"/>
      <c r="B379" s="224"/>
      <c r="C379" s="225"/>
      <c r="D379" s="226"/>
      <c r="E379" s="73"/>
    </row>
    <row r="380" spans="1:5" x14ac:dyDescent="0.2">
      <c r="A380" s="73"/>
      <c r="B380" s="224"/>
      <c r="C380" s="225"/>
      <c r="D380" s="226"/>
      <c r="E380" s="73"/>
    </row>
    <row r="381" spans="1:5" x14ac:dyDescent="0.2">
      <c r="A381" s="73"/>
      <c r="B381" s="224"/>
      <c r="C381" s="225"/>
      <c r="D381" s="226"/>
      <c r="E381" s="73"/>
    </row>
    <row r="382" spans="1:5" x14ac:dyDescent="0.2">
      <c r="A382" s="73"/>
      <c r="B382" s="224"/>
      <c r="C382" s="225"/>
      <c r="D382" s="226"/>
      <c r="E382" s="73"/>
    </row>
    <row r="383" spans="1:5" x14ac:dyDescent="0.2">
      <c r="A383" s="73"/>
      <c r="B383" s="224"/>
      <c r="C383" s="225"/>
      <c r="D383" s="226"/>
      <c r="E383" s="73"/>
    </row>
    <row r="384" spans="1:5" x14ac:dyDescent="0.2">
      <c r="A384" s="73"/>
      <c r="B384" s="224"/>
      <c r="C384" s="225"/>
      <c r="D384" s="226"/>
      <c r="E384" s="73"/>
    </row>
    <row r="385" spans="1:5" x14ac:dyDescent="0.2">
      <c r="A385" s="73"/>
      <c r="B385" s="224"/>
      <c r="C385" s="225"/>
      <c r="D385" s="226"/>
      <c r="E385" s="73"/>
    </row>
    <row r="386" spans="1:5" x14ac:dyDescent="0.2">
      <c r="A386" s="73"/>
      <c r="B386" s="224"/>
      <c r="C386" s="225"/>
      <c r="D386" s="226"/>
      <c r="E386" s="73"/>
    </row>
    <row r="387" spans="1:5" x14ac:dyDescent="0.2">
      <c r="A387" s="73"/>
      <c r="B387" s="224"/>
      <c r="C387" s="225"/>
      <c r="D387" s="226"/>
      <c r="E387" s="73"/>
    </row>
    <row r="388" spans="1:5" x14ac:dyDescent="0.2">
      <c r="A388" s="73"/>
      <c r="B388" s="224"/>
      <c r="C388" s="225"/>
      <c r="D388" s="226"/>
      <c r="E388" s="73"/>
    </row>
    <row r="389" spans="1:5" x14ac:dyDescent="0.2">
      <c r="A389" s="73"/>
      <c r="B389" s="224"/>
      <c r="C389" s="225"/>
      <c r="D389" s="226"/>
      <c r="E389" s="73"/>
    </row>
    <row r="390" spans="1:5" x14ac:dyDescent="0.2">
      <c r="A390" s="73"/>
      <c r="B390" s="224"/>
      <c r="C390" s="225"/>
      <c r="D390" s="226"/>
      <c r="E390" s="73"/>
    </row>
    <row r="391" spans="1:5" x14ac:dyDescent="0.2">
      <c r="A391" s="73"/>
      <c r="B391" s="224"/>
      <c r="C391" s="225"/>
      <c r="D391" s="226"/>
      <c r="E391" s="73"/>
    </row>
    <row r="392" spans="1:5" x14ac:dyDescent="0.2">
      <c r="A392" s="73"/>
      <c r="B392" s="224"/>
      <c r="C392" s="225"/>
      <c r="D392" s="226"/>
      <c r="E392" s="73"/>
    </row>
    <row r="393" spans="1:5" x14ac:dyDescent="0.2">
      <c r="A393" s="73"/>
      <c r="B393" s="224"/>
      <c r="C393" s="225"/>
      <c r="D393" s="226"/>
      <c r="E393" s="73"/>
    </row>
    <row r="394" spans="1:5" x14ac:dyDescent="0.2">
      <c r="A394" s="73"/>
      <c r="B394" s="224"/>
      <c r="C394" s="225"/>
      <c r="D394" s="226"/>
      <c r="E394" s="73"/>
    </row>
    <row r="395" spans="1:5" x14ac:dyDescent="0.2">
      <c r="A395" s="73"/>
      <c r="B395" s="224"/>
      <c r="C395" s="225"/>
      <c r="D395" s="226"/>
      <c r="E395" s="73"/>
    </row>
    <row r="396" spans="1:5" x14ac:dyDescent="0.2">
      <c r="A396" s="73"/>
      <c r="B396" s="224"/>
      <c r="C396" s="225"/>
      <c r="D396" s="226"/>
      <c r="E396" s="73"/>
    </row>
    <row r="397" spans="1:5" x14ac:dyDescent="0.2">
      <c r="A397" s="73"/>
      <c r="B397" s="224"/>
      <c r="C397" s="225"/>
      <c r="D397" s="226"/>
      <c r="E397" s="73"/>
    </row>
    <row r="398" spans="1:5" x14ac:dyDescent="0.2">
      <c r="A398" s="73"/>
      <c r="B398" s="224"/>
      <c r="C398" s="225"/>
      <c r="D398" s="226"/>
      <c r="E398" s="73"/>
    </row>
    <row r="399" spans="1:5" x14ac:dyDescent="0.2">
      <c r="A399" s="73"/>
      <c r="B399" s="224"/>
      <c r="C399" s="225"/>
      <c r="D399" s="226"/>
      <c r="E399" s="73"/>
    </row>
    <row r="400" spans="1:5" x14ac:dyDescent="0.2">
      <c r="A400" s="73"/>
      <c r="B400" s="224"/>
      <c r="C400" s="225"/>
      <c r="D400" s="226"/>
      <c r="E400" s="73"/>
    </row>
    <row r="401" spans="1:5" x14ac:dyDescent="0.2">
      <c r="A401" s="73"/>
      <c r="B401" s="224"/>
      <c r="C401" s="225"/>
      <c r="D401" s="226"/>
      <c r="E401" s="73"/>
    </row>
    <row r="402" spans="1:5" x14ac:dyDescent="0.2">
      <c r="A402" s="73"/>
      <c r="B402" s="224"/>
      <c r="C402" s="225"/>
      <c r="D402" s="226"/>
      <c r="E402" s="73"/>
    </row>
    <row r="403" spans="1:5" x14ac:dyDescent="0.2">
      <c r="A403" s="73"/>
      <c r="B403" s="224"/>
      <c r="C403" s="225"/>
      <c r="D403" s="226"/>
      <c r="E403" s="73"/>
    </row>
    <row r="404" spans="1:5" x14ac:dyDescent="0.2">
      <c r="A404" s="73"/>
      <c r="B404" s="224"/>
      <c r="C404" s="225"/>
      <c r="D404" s="226"/>
      <c r="E404" s="73"/>
    </row>
    <row r="405" spans="1:5" x14ac:dyDescent="0.2">
      <c r="A405" s="73"/>
      <c r="B405" s="224"/>
      <c r="C405" s="225"/>
      <c r="D405" s="226"/>
      <c r="E405" s="73"/>
    </row>
    <row r="406" spans="1:5" x14ac:dyDescent="0.2">
      <c r="A406" s="73"/>
      <c r="B406" s="224"/>
      <c r="C406" s="225"/>
      <c r="D406" s="226"/>
      <c r="E406" s="73"/>
    </row>
    <row r="407" spans="1:5" x14ac:dyDescent="0.2">
      <c r="A407" s="73"/>
      <c r="B407" s="224"/>
      <c r="C407" s="225"/>
      <c r="D407" s="226"/>
      <c r="E407" s="73"/>
    </row>
    <row r="408" spans="1:5" x14ac:dyDescent="0.2">
      <c r="A408" s="73"/>
      <c r="B408" s="224"/>
      <c r="C408" s="225"/>
      <c r="D408" s="226"/>
      <c r="E408" s="73"/>
    </row>
    <row r="409" spans="1:5" x14ac:dyDescent="0.2">
      <c r="A409" s="73"/>
      <c r="B409" s="224"/>
      <c r="C409" s="225"/>
      <c r="D409" s="226"/>
      <c r="E409" s="73"/>
    </row>
    <row r="410" spans="1:5" x14ac:dyDescent="0.2">
      <c r="A410" s="73"/>
      <c r="B410" s="224"/>
      <c r="C410" s="225"/>
      <c r="D410" s="226"/>
      <c r="E410" s="73"/>
    </row>
    <row r="411" spans="1:5" x14ac:dyDescent="0.2">
      <c r="A411" s="73"/>
      <c r="B411" s="224"/>
      <c r="C411" s="225"/>
      <c r="D411" s="226"/>
      <c r="E411" s="73"/>
    </row>
    <row r="412" spans="1:5" x14ac:dyDescent="0.2">
      <c r="A412" s="73"/>
      <c r="B412" s="224"/>
      <c r="C412" s="225"/>
      <c r="D412" s="226"/>
      <c r="E412" s="73"/>
    </row>
    <row r="413" spans="1:5" x14ac:dyDescent="0.2">
      <c r="A413" s="73"/>
      <c r="B413" s="224"/>
      <c r="C413" s="225"/>
      <c r="D413" s="226"/>
      <c r="E413" s="73"/>
    </row>
    <row r="414" spans="1:5" x14ac:dyDescent="0.2">
      <c r="A414" s="73"/>
      <c r="B414" s="224"/>
      <c r="C414" s="225"/>
      <c r="D414" s="226"/>
      <c r="E414" s="73"/>
    </row>
    <row r="415" spans="1:5" x14ac:dyDescent="0.2">
      <c r="A415" s="73"/>
      <c r="B415" s="224"/>
      <c r="C415" s="225"/>
      <c r="D415" s="226"/>
      <c r="E415" s="73"/>
    </row>
    <row r="416" spans="1:5" x14ac:dyDescent="0.2">
      <c r="A416" s="73"/>
      <c r="B416" s="224"/>
      <c r="C416" s="225"/>
      <c r="D416" s="226"/>
      <c r="E416" s="73"/>
    </row>
    <row r="417" spans="1:5" x14ac:dyDescent="0.2">
      <c r="A417" s="73"/>
      <c r="B417" s="224"/>
      <c r="C417" s="225"/>
      <c r="D417" s="226"/>
      <c r="E417" s="73"/>
    </row>
    <row r="418" spans="1:5" x14ac:dyDescent="0.2">
      <c r="A418" s="73"/>
      <c r="B418" s="224"/>
      <c r="C418" s="225"/>
      <c r="D418" s="226"/>
      <c r="E418" s="73"/>
    </row>
    <row r="419" spans="1:5" x14ac:dyDescent="0.2">
      <c r="A419" s="73"/>
      <c r="B419" s="224"/>
      <c r="C419" s="225"/>
      <c r="D419" s="226"/>
      <c r="E419" s="73"/>
    </row>
    <row r="420" spans="1:5" x14ac:dyDescent="0.2">
      <c r="A420" s="73"/>
      <c r="B420" s="224"/>
      <c r="C420" s="225"/>
      <c r="D420" s="226"/>
      <c r="E420" s="73"/>
    </row>
    <row r="421" spans="1:5" x14ac:dyDescent="0.2">
      <c r="A421" s="73"/>
      <c r="B421" s="224"/>
      <c r="C421" s="225"/>
      <c r="D421" s="226"/>
      <c r="E421" s="73"/>
    </row>
    <row r="422" spans="1:5" x14ac:dyDescent="0.2">
      <c r="A422" s="73"/>
      <c r="B422" s="224"/>
      <c r="C422" s="225"/>
      <c r="D422" s="226"/>
      <c r="E422" s="73"/>
    </row>
    <row r="423" spans="1:5" x14ac:dyDescent="0.2">
      <c r="A423" s="73"/>
      <c r="B423" s="224"/>
      <c r="C423" s="225"/>
      <c r="D423" s="226"/>
      <c r="E423" s="73"/>
    </row>
    <row r="424" spans="1:5" x14ac:dyDescent="0.2">
      <c r="A424" s="73"/>
      <c r="B424" s="224"/>
      <c r="C424" s="225"/>
      <c r="D424" s="226"/>
      <c r="E424" s="73"/>
    </row>
    <row r="425" spans="1:5" x14ac:dyDescent="0.2">
      <c r="A425" s="73"/>
      <c r="B425" s="224"/>
      <c r="C425" s="225"/>
      <c r="D425" s="226"/>
      <c r="E425" s="73"/>
    </row>
    <row r="426" spans="1:5" x14ac:dyDescent="0.2">
      <c r="A426" s="73"/>
      <c r="B426" s="224"/>
      <c r="C426" s="225"/>
      <c r="D426" s="226"/>
      <c r="E426" s="73"/>
    </row>
    <row r="427" spans="1:5" x14ac:dyDescent="0.2">
      <c r="A427" s="73"/>
      <c r="B427" s="224"/>
      <c r="C427" s="225"/>
      <c r="D427" s="226"/>
      <c r="E427" s="73"/>
    </row>
    <row r="428" spans="1:5" x14ac:dyDescent="0.2">
      <c r="A428" s="73"/>
      <c r="B428" s="224"/>
      <c r="C428" s="225"/>
      <c r="D428" s="226"/>
      <c r="E428" s="73"/>
    </row>
    <row r="429" spans="1:5" x14ac:dyDescent="0.2">
      <c r="A429" s="73"/>
      <c r="B429" s="224"/>
      <c r="C429" s="225"/>
      <c r="D429" s="226"/>
      <c r="E429" s="73"/>
    </row>
    <row r="430" spans="1:5" x14ac:dyDescent="0.2">
      <c r="A430" s="73"/>
      <c r="B430" s="224"/>
      <c r="C430" s="225"/>
      <c r="D430" s="226"/>
      <c r="E430" s="73"/>
    </row>
    <row r="431" spans="1:5" x14ac:dyDescent="0.2">
      <c r="A431" s="73"/>
      <c r="B431" s="224"/>
      <c r="C431" s="225"/>
      <c r="D431" s="226"/>
      <c r="E431" s="73"/>
    </row>
    <row r="432" spans="1:5" x14ac:dyDescent="0.2">
      <c r="A432" s="73"/>
      <c r="B432" s="224"/>
      <c r="C432" s="225"/>
      <c r="D432" s="226"/>
      <c r="E432" s="73"/>
    </row>
    <row r="433" spans="1:5" x14ac:dyDescent="0.2">
      <c r="A433" s="73"/>
      <c r="B433" s="224"/>
      <c r="C433" s="225"/>
      <c r="D433" s="226"/>
      <c r="E433" s="73"/>
    </row>
    <row r="434" spans="1:5" x14ac:dyDescent="0.2">
      <c r="A434" s="73"/>
      <c r="B434" s="224"/>
      <c r="C434" s="225"/>
      <c r="D434" s="226"/>
      <c r="E434" s="73"/>
    </row>
    <row r="435" spans="1:5" x14ac:dyDescent="0.2">
      <c r="A435" s="73"/>
      <c r="B435" s="224"/>
      <c r="C435" s="225"/>
      <c r="D435" s="226"/>
      <c r="E435" s="73"/>
    </row>
    <row r="436" spans="1:5" x14ac:dyDescent="0.2">
      <c r="A436" s="73"/>
      <c r="B436" s="224"/>
      <c r="C436" s="225"/>
      <c r="D436" s="226"/>
      <c r="E436" s="73"/>
    </row>
    <row r="437" spans="1:5" x14ac:dyDescent="0.2">
      <c r="A437" s="73"/>
      <c r="B437" s="224"/>
      <c r="C437" s="225"/>
      <c r="D437" s="226"/>
      <c r="E437" s="73"/>
    </row>
    <row r="438" spans="1:5" x14ac:dyDescent="0.2">
      <c r="A438" s="73"/>
      <c r="B438" s="224"/>
      <c r="C438" s="225"/>
      <c r="D438" s="226"/>
      <c r="E438" s="73"/>
    </row>
    <row r="439" spans="1:5" x14ac:dyDescent="0.2">
      <c r="A439" s="73"/>
      <c r="B439" s="224"/>
      <c r="C439" s="225"/>
      <c r="D439" s="226"/>
      <c r="E439" s="73"/>
    </row>
    <row r="440" spans="1:5" x14ac:dyDescent="0.2">
      <c r="A440" s="73"/>
      <c r="B440" s="224"/>
      <c r="C440" s="225"/>
      <c r="D440" s="226"/>
      <c r="E440" s="73"/>
    </row>
    <row r="441" spans="1:5" x14ac:dyDescent="0.2">
      <c r="A441" s="73"/>
      <c r="B441" s="224"/>
      <c r="C441" s="225"/>
      <c r="D441" s="226"/>
      <c r="E441" s="73"/>
    </row>
    <row r="442" spans="1:5" x14ac:dyDescent="0.2">
      <c r="A442" s="73"/>
      <c r="B442" s="224"/>
      <c r="C442" s="225"/>
      <c r="D442" s="226"/>
      <c r="E442" s="73"/>
    </row>
    <row r="443" spans="1:5" x14ac:dyDescent="0.2">
      <c r="A443" s="73"/>
      <c r="B443" s="224"/>
      <c r="C443" s="225"/>
      <c r="D443" s="226"/>
      <c r="E443" s="73"/>
    </row>
    <row r="444" spans="1:5" x14ac:dyDescent="0.2">
      <c r="A444" s="73"/>
      <c r="B444" s="224"/>
      <c r="C444" s="225"/>
      <c r="D444" s="226"/>
      <c r="E444" s="73"/>
    </row>
    <row r="445" spans="1:5" x14ac:dyDescent="0.2">
      <c r="A445" s="73"/>
      <c r="B445" s="224"/>
      <c r="C445" s="225"/>
      <c r="D445" s="226"/>
      <c r="E445" s="73"/>
    </row>
    <row r="446" spans="1:5" x14ac:dyDescent="0.2">
      <c r="A446" s="73"/>
      <c r="B446" s="224"/>
      <c r="C446" s="225"/>
      <c r="D446" s="226"/>
      <c r="E446" s="73"/>
    </row>
    <row r="447" spans="1:5" x14ac:dyDescent="0.2">
      <c r="A447" s="73"/>
      <c r="B447" s="224"/>
      <c r="C447" s="225"/>
      <c r="D447" s="226"/>
      <c r="E447" s="73"/>
    </row>
    <row r="448" spans="1:5" x14ac:dyDescent="0.2">
      <c r="A448" s="73"/>
      <c r="B448" s="224"/>
      <c r="C448" s="225"/>
      <c r="D448" s="226"/>
      <c r="E448" s="73"/>
    </row>
    <row r="449" spans="1:5" x14ac:dyDescent="0.2">
      <c r="A449" s="73"/>
      <c r="B449" s="224"/>
      <c r="C449" s="225"/>
      <c r="D449" s="226"/>
      <c r="E449" s="73"/>
    </row>
    <row r="450" spans="1:5" x14ac:dyDescent="0.2">
      <c r="A450" s="73"/>
      <c r="B450" s="224"/>
      <c r="C450" s="225"/>
      <c r="D450" s="226"/>
      <c r="E450" s="73"/>
    </row>
    <row r="451" spans="1:5" x14ac:dyDescent="0.2">
      <c r="A451" s="73"/>
      <c r="B451" s="224"/>
      <c r="C451" s="225"/>
      <c r="D451" s="226"/>
      <c r="E451" s="73"/>
    </row>
    <row r="452" spans="1:5" x14ac:dyDescent="0.2">
      <c r="A452" s="73"/>
      <c r="B452" s="224"/>
      <c r="C452" s="225"/>
      <c r="D452" s="226"/>
      <c r="E452" s="73"/>
    </row>
    <row r="453" spans="1:5" x14ac:dyDescent="0.2">
      <c r="A453" s="73"/>
      <c r="B453" s="224"/>
      <c r="C453" s="225"/>
      <c r="D453" s="226"/>
      <c r="E453" s="73"/>
    </row>
    <row r="454" spans="1:5" x14ac:dyDescent="0.2">
      <c r="A454" s="73"/>
      <c r="B454" s="224"/>
      <c r="C454" s="225"/>
      <c r="D454" s="226"/>
      <c r="E454" s="73"/>
    </row>
    <row r="455" spans="1:5" x14ac:dyDescent="0.2">
      <c r="A455" s="73"/>
      <c r="B455" s="224"/>
      <c r="C455" s="225"/>
      <c r="D455" s="226"/>
      <c r="E455" s="73"/>
    </row>
    <row r="456" spans="1:5" x14ac:dyDescent="0.2">
      <c r="A456" s="73"/>
      <c r="B456" s="224"/>
      <c r="C456" s="225"/>
      <c r="D456" s="226"/>
      <c r="E456" s="73"/>
    </row>
    <row r="457" spans="1:5" x14ac:dyDescent="0.2">
      <c r="A457" s="73"/>
      <c r="B457" s="224"/>
      <c r="C457" s="225"/>
      <c r="D457" s="226"/>
      <c r="E457" s="73"/>
    </row>
    <row r="458" spans="1:5" x14ac:dyDescent="0.2">
      <c r="A458" s="73"/>
      <c r="B458" s="224"/>
      <c r="C458" s="225"/>
      <c r="D458" s="226"/>
      <c r="E458" s="73"/>
    </row>
    <row r="459" spans="1:5" x14ac:dyDescent="0.2">
      <c r="A459" s="73"/>
      <c r="B459" s="224"/>
      <c r="C459" s="225"/>
      <c r="D459" s="226"/>
      <c r="E459" s="73"/>
    </row>
    <row r="460" spans="1:5" x14ac:dyDescent="0.2">
      <c r="A460" s="73"/>
      <c r="B460" s="224"/>
      <c r="C460" s="225"/>
      <c r="D460" s="226"/>
      <c r="E460" s="73"/>
    </row>
    <row r="461" spans="1:5" x14ac:dyDescent="0.2">
      <c r="A461" s="73"/>
      <c r="B461" s="224"/>
      <c r="C461" s="225"/>
      <c r="D461" s="226"/>
      <c r="E461" s="73"/>
    </row>
    <row r="462" spans="1:5" x14ac:dyDescent="0.2">
      <c r="A462" s="73"/>
      <c r="B462" s="224"/>
      <c r="C462" s="225"/>
      <c r="D462" s="226"/>
      <c r="E462" s="73"/>
    </row>
    <row r="463" spans="1:5" x14ac:dyDescent="0.2">
      <c r="A463" s="73"/>
      <c r="B463" s="224"/>
      <c r="C463" s="225"/>
      <c r="D463" s="226"/>
      <c r="E463" s="73"/>
    </row>
    <row r="464" spans="1:5" x14ac:dyDescent="0.2">
      <c r="A464" s="73"/>
      <c r="B464" s="224"/>
      <c r="C464" s="225"/>
      <c r="D464" s="226"/>
      <c r="E464" s="73"/>
    </row>
    <row r="465" spans="1:5" x14ac:dyDescent="0.2">
      <c r="A465" s="73"/>
      <c r="B465" s="224"/>
      <c r="C465" s="225"/>
      <c r="D465" s="226"/>
      <c r="E465" s="73"/>
    </row>
    <row r="466" spans="1:5" x14ac:dyDescent="0.2">
      <c r="A466" s="73"/>
      <c r="B466" s="224"/>
      <c r="C466" s="225"/>
      <c r="D466" s="226"/>
      <c r="E466" s="73"/>
    </row>
    <row r="467" spans="1:5" x14ac:dyDescent="0.2">
      <c r="A467" s="73"/>
      <c r="B467" s="224"/>
      <c r="C467" s="225"/>
      <c r="D467" s="226"/>
      <c r="E467" s="73"/>
    </row>
    <row r="468" spans="1:5" x14ac:dyDescent="0.2">
      <c r="A468" s="73"/>
      <c r="B468" s="224"/>
      <c r="C468" s="225"/>
      <c r="D468" s="226"/>
      <c r="E468" s="73"/>
    </row>
    <row r="469" spans="1:5" x14ac:dyDescent="0.2">
      <c r="A469" s="73"/>
      <c r="B469" s="224"/>
      <c r="C469" s="225"/>
      <c r="D469" s="226"/>
      <c r="E469" s="73"/>
    </row>
    <row r="470" spans="1:5" x14ac:dyDescent="0.2">
      <c r="A470" s="73"/>
      <c r="B470" s="224"/>
      <c r="C470" s="225"/>
      <c r="D470" s="226"/>
      <c r="E470" s="73"/>
    </row>
    <row r="471" spans="1:5" x14ac:dyDescent="0.2">
      <c r="A471" s="73"/>
      <c r="B471" s="224"/>
      <c r="C471" s="225"/>
      <c r="D471" s="226"/>
      <c r="E471" s="73"/>
    </row>
    <row r="472" spans="1:5" x14ac:dyDescent="0.2">
      <c r="A472" s="73"/>
      <c r="B472" s="224"/>
      <c r="C472" s="225"/>
      <c r="D472" s="226"/>
      <c r="E472" s="73"/>
    </row>
    <row r="473" spans="1:5" x14ac:dyDescent="0.2">
      <c r="A473" s="73"/>
      <c r="B473" s="224"/>
      <c r="C473" s="225"/>
      <c r="D473" s="226"/>
      <c r="E473" s="73"/>
    </row>
    <row r="474" spans="1:5" x14ac:dyDescent="0.2">
      <c r="A474" s="73"/>
      <c r="B474" s="224"/>
      <c r="C474" s="225"/>
      <c r="D474" s="226"/>
      <c r="E474" s="73"/>
    </row>
    <row r="475" spans="1:5" x14ac:dyDescent="0.2">
      <c r="A475" s="73"/>
      <c r="B475" s="224"/>
      <c r="C475" s="225"/>
      <c r="D475" s="226"/>
      <c r="E475" s="73"/>
    </row>
    <row r="476" spans="1:5" x14ac:dyDescent="0.2">
      <c r="A476" s="73"/>
      <c r="B476" s="224"/>
      <c r="C476" s="225"/>
      <c r="D476" s="226"/>
      <c r="E476" s="73"/>
    </row>
    <row r="477" spans="1:5" x14ac:dyDescent="0.2">
      <c r="A477" s="73"/>
      <c r="B477" s="224"/>
      <c r="C477" s="225"/>
      <c r="D477" s="226"/>
      <c r="E477" s="73"/>
    </row>
    <row r="478" spans="1:5" x14ac:dyDescent="0.2">
      <c r="A478" s="73"/>
      <c r="B478" s="224"/>
      <c r="C478" s="225"/>
      <c r="D478" s="226"/>
      <c r="E478" s="73"/>
    </row>
    <row r="479" spans="1:5" x14ac:dyDescent="0.2">
      <c r="A479" s="73"/>
      <c r="B479" s="224"/>
      <c r="C479" s="225"/>
      <c r="D479" s="226"/>
      <c r="E479" s="73"/>
    </row>
    <row r="480" spans="1:5" x14ac:dyDescent="0.2">
      <c r="A480" s="73"/>
      <c r="B480" s="224"/>
      <c r="C480" s="225"/>
      <c r="D480" s="226"/>
      <c r="E480" s="73"/>
    </row>
    <row r="481" spans="1:5" x14ac:dyDescent="0.2">
      <c r="A481" s="73"/>
      <c r="B481" s="224"/>
      <c r="C481" s="225"/>
      <c r="D481" s="226"/>
      <c r="E481" s="73"/>
    </row>
    <row r="482" spans="1:5" x14ac:dyDescent="0.2">
      <c r="A482" s="73"/>
      <c r="B482" s="224"/>
      <c r="C482" s="225"/>
      <c r="D482" s="226"/>
      <c r="E482" s="73"/>
    </row>
    <row r="483" spans="1:5" x14ac:dyDescent="0.2">
      <c r="A483" s="73"/>
      <c r="B483" s="224"/>
      <c r="C483" s="225"/>
      <c r="D483" s="226"/>
      <c r="E483" s="73"/>
    </row>
    <row r="484" spans="1:5" x14ac:dyDescent="0.2">
      <c r="A484" s="73"/>
      <c r="B484" s="224"/>
      <c r="C484" s="225"/>
      <c r="D484" s="226"/>
      <c r="E484" s="73"/>
    </row>
    <row r="485" spans="1:5" x14ac:dyDescent="0.2">
      <c r="A485" s="73"/>
      <c r="B485" s="224"/>
      <c r="C485" s="225"/>
      <c r="D485" s="226"/>
      <c r="E485" s="73"/>
    </row>
    <row r="486" spans="1:5" x14ac:dyDescent="0.2">
      <c r="A486" s="73"/>
      <c r="B486" s="224"/>
      <c r="C486" s="225"/>
      <c r="D486" s="226"/>
      <c r="E486" s="73"/>
    </row>
    <row r="487" spans="1:5" x14ac:dyDescent="0.2">
      <c r="A487" s="73"/>
      <c r="B487" s="224"/>
      <c r="C487" s="225"/>
      <c r="D487" s="226"/>
      <c r="E487" s="73"/>
    </row>
    <row r="488" spans="1:5" x14ac:dyDescent="0.2">
      <c r="A488" s="73"/>
      <c r="B488" s="224"/>
      <c r="C488" s="225"/>
      <c r="D488" s="226"/>
      <c r="E488" s="73"/>
    </row>
    <row r="489" spans="1:5" x14ac:dyDescent="0.2">
      <c r="A489" s="73"/>
      <c r="B489" s="224"/>
      <c r="C489" s="225"/>
      <c r="D489" s="226"/>
      <c r="E489" s="73"/>
    </row>
    <row r="490" spans="1:5" x14ac:dyDescent="0.2">
      <c r="A490" s="73"/>
      <c r="B490" s="224"/>
      <c r="C490" s="225"/>
      <c r="D490" s="226"/>
      <c r="E490" s="73"/>
    </row>
    <row r="491" spans="1:5" x14ac:dyDescent="0.2">
      <c r="A491" s="73"/>
      <c r="B491" s="224"/>
      <c r="C491" s="225"/>
      <c r="D491" s="226"/>
      <c r="E491" s="73"/>
    </row>
    <row r="492" spans="1:5" x14ac:dyDescent="0.2">
      <c r="A492" s="73"/>
      <c r="B492" s="224"/>
      <c r="C492" s="225"/>
      <c r="D492" s="226"/>
      <c r="E492" s="73"/>
    </row>
    <row r="493" spans="1:5" x14ac:dyDescent="0.2">
      <c r="A493" s="73"/>
      <c r="B493" s="224"/>
      <c r="C493" s="225"/>
      <c r="D493" s="226"/>
      <c r="E493" s="73"/>
    </row>
    <row r="494" spans="1:5" x14ac:dyDescent="0.2">
      <c r="A494" s="73"/>
      <c r="B494" s="224"/>
      <c r="C494" s="225"/>
      <c r="D494" s="226"/>
      <c r="E494" s="73"/>
    </row>
    <row r="495" spans="1:5" x14ac:dyDescent="0.2">
      <c r="A495" s="73"/>
      <c r="B495" s="224"/>
      <c r="C495" s="225"/>
      <c r="D495" s="226"/>
      <c r="E495" s="73"/>
    </row>
    <row r="496" spans="1:5" x14ac:dyDescent="0.2">
      <c r="A496" s="73"/>
      <c r="B496" s="224"/>
      <c r="C496" s="225"/>
      <c r="D496" s="226"/>
      <c r="E496" s="73"/>
    </row>
    <row r="497" spans="1:5" x14ac:dyDescent="0.2">
      <c r="A497" s="73"/>
      <c r="B497" s="224"/>
      <c r="C497" s="225"/>
      <c r="D497" s="226"/>
      <c r="E497" s="73"/>
    </row>
    <row r="498" spans="1:5" x14ac:dyDescent="0.2">
      <c r="A498" s="73"/>
      <c r="B498" s="224"/>
      <c r="C498" s="225"/>
      <c r="D498" s="226"/>
      <c r="E498" s="73"/>
    </row>
    <row r="499" spans="1:5" x14ac:dyDescent="0.2">
      <c r="A499" s="73"/>
      <c r="B499" s="224"/>
      <c r="C499" s="225"/>
      <c r="D499" s="226"/>
      <c r="E499" s="73"/>
    </row>
    <row r="500" spans="1:5" x14ac:dyDescent="0.2">
      <c r="A500" s="73"/>
      <c r="B500" s="224"/>
      <c r="C500" s="225"/>
      <c r="D500" s="226"/>
      <c r="E500" s="73"/>
    </row>
    <row r="501" spans="1:5" x14ac:dyDescent="0.2">
      <c r="A501" s="73"/>
      <c r="B501" s="224"/>
      <c r="C501" s="225"/>
      <c r="D501" s="226"/>
      <c r="E501" s="73"/>
    </row>
    <row r="502" spans="1:5" x14ac:dyDescent="0.2">
      <c r="A502" s="73"/>
      <c r="B502" s="224"/>
      <c r="C502" s="225"/>
      <c r="D502" s="226"/>
      <c r="E502" s="73"/>
    </row>
    <row r="503" spans="1:5" x14ac:dyDescent="0.2">
      <c r="A503" s="73"/>
      <c r="B503" s="224"/>
      <c r="C503" s="225"/>
      <c r="D503" s="226"/>
      <c r="E503" s="73"/>
    </row>
    <row r="504" spans="1:5" x14ac:dyDescent="0.2">
      <c r="A504" s="73"/>
      <c r="B504" s="224"/>
      <c r="C504" s="225"/>
      <c r="D504" s="226"/>
      <c r="E504" s="73"/>
    </row>
    <row r="505" spans="1:5" x14ac:dyDescent="0.2">
      <c r="A505" s="73"/>
      <c r="B505" s="224"/>
      <c r="C505" s="225"/>
      <c r="D505" s="226"/>
      <c r="E505" s="73"/>
    </row>
    <row r="506" spans="1:5" x14ac:dyDescent="0.2">
      <c r="A506" s="73"/>
      <c r="B506" s="224"/>
      <c r="C506" s="225"/>
      <c r="D506" s="226"/>
      <c r="E506" s="73"/>
    </row>
    <row r="507" spans="1:5" x14ac:dyDescent="0.2">
      <c r="A507" s="73"/>
      <c r="B507" s="224"/>
      <c r="C507" s="225"/>
      <c r="D507" s="226"/>
      <c r="E507" s="73"/>
    </row>
    <row r="508" spans="1:5" x14ac:dyDescent="0.2">
      <c r="A508" s="73"/>
      <c r="B508" s="224"/>
      <c r="C508" s="225"/>
      <c r="D508" s="226"/>
      <c r="E508" s="73"/>
    </row>
    <row r="509" spans="1:5" x14ac:dyDescent="0.2">
      <c r="A509" s="73"/>
      <c r="B509" s="224"/>
      <c r="C509" s="225"/>
      <c r="D509" s="226"/>
      <c r="E509" s="73"/>
    </row>
    <row r="510" spans="1:5" x14ac:dyDescent="0.2">
      <c r="A510" s="73"/>
      <c r="B510" s="224"/>
      <c r="C510" s="225"/>
      <c r="D510" s="226"/>
      <c r="E510" s="73"/>
    </row>
    <row r="511" spans="1:5" x14ac:dyDescent="0.2">
      <c r="A511" s="73"/>
      <c r="B511" s="224"/>
      <c r="C511" s="225"/>
      <c r="D511" s="226"/>
      <c r="E511" s="73"/>
    </row>
    <row r="512" spans="1:5" x14ac:dyDescent="0.2">
      <c r="A512" s="73"/>
      <c r="B512" s="224"/>
      <c r="C512" s="225"/>
      <c r="D512" s="226"/>
      <c r="E512" s="73"/>
    </row>
    <row r="513" spans="1:5" x14ac:dyDescent="0.2">
      <c r="A513" s="73"/>
      <c r="B513" s="224"/>
      <c r="C513" s="225"/>
      <c r="D513" s="226"/>
      <c r="E513" s="73"/>
    </row>
    <row r="514" spans="1:5" x14ac:dyDescent="0.2">
      <c r="A514" s="73"/>
      <c r="B514" s="224"/>
      <c r="C514" s="225"/>
      <c r="D514" s="226"/>
      <c r="E514" s="73"/>
    </row>
    <row r="515" spans="1:5" x14ac:dyDescent="0.2">
      <c r="A515" s="73"/>
      <c r="B515" s="224"/>
      <c r="C515" s="225"/>
      <c r="D515" s="226"/>
      <c r="E515" s="73"/>
    </row>
    <row r="516" spans="1:5" x14ac:dyDescent="0.2">
      <c r="A516" s="73"/>
      <c r="B516" s="224"/>
      <c r="C516" s="225"/>
      <c r="D516" s="226"/>
      <c r="E516" s="73"/>
    </row>
    <row r="517" spans="1:5" x14ac:dyDescent="0.2">
      <c r="A517" s="73"/>
      <c r="B517" s="224"/>
      <c r="C517" s="225"/>
      <c r="D517" s="226"/>
      <c r="E517" s="73"/>
    </row>
    <row r="518" spans="1:5" x14ac:dyDescent="0.2">
      <c r="A518" s="73"/>
      <c r="B518" s="224"/>
      <c r="C518" s="225"/>
      <c r="D518" s="226"/>
      <c r="E518" s="73"/>
    </row>
    <row r="519" spans="1:5" x14ac:dyDescent="0.2">
      <c r="A519" s="73"/>
      <c r="B519" s="224"/>
      <c r="C519" s="225"/>
      <c r="D519" s="226"/>
      <c r="E519" s="73"/>
    </row>
    <row r="520" spans="1:5" x14ac:dyDescent="0.2">
      <c r="A520" s="73"/>
      <c r="B520" s="224"/>
      <c r="C520" s="225"/>
      <c r="D520" s="226"/>
      <c r="E520" s="73"/>
    </row>
    <row r="521" spans="1:5" x14ac:dyDescent="0.2">
      <c r="A521" s="73"/>
      <c r="B521" s="224"/>
      <c r="C521" s="225"/>
      <c r="D521" s="226"/>
      <c r="E521" s="73"/>
    </row>
    <row r="522" spans="1:5" x14ac:dyDescent="0.2">
      <c r="A522" s="73"/>
      <c r="B522" s="224"/>
      <c r="C522" s="225"/>
      <c r="D522" s="226"/>
      <c r="E522" s="73"/>
    </row>
    <row r="523" spans="1:5" x14ac:dyDescent="0.2">
      <c r="A523" s="73"/>
      <c r="B523" s="224"/>
      <c r="C523" s="225"/>
      <c r="D523" s="226"/>
      <c r="E523" s="73"/>
    </row>
    <row r="524" spans="1:5" x14ac:dyDescent="0.2">
      <c r="A524" s="73"/>
      <c r="B524" s="224"/>
      <c r="C524" s="225"/>
      <c r="D524" s="226"/>
      <c r="E524" s="73"/>
    </row>
    <row r="525" spans="1:5" x14ac:dyDescent="0.2">
      <c r="A525" s="73"/>
      <c r="B525" s="224"/>
      <c r="C525" s="225"/>
      <c r="D525" s="226"/>
      <c r="E525" s="73"/>
    </row>
    <row r="526" spans="1:5" x14ac:dyDescent="0.2">
      <c r="A526" s="73"/>
      <c r="B526" s="224"/>
      <c r="C526" s="225"/>
      <c r="D526" s="226"/>
      <c r="E526" s="73"/>
    </row>
    <row r="527" spans="1:5" x14ac:dyDescent="0.2">
      <c r="A527" s="73"/>
      <c r="B527" s="224"/>
      <c r="C527" s="225"/>
      <c r="D527" s="226"/>
      <c r="E527" s="73"/>
    </row>
    <row r="528" spans="1:5" x14ac:dyDescent="0.2">
      <c r="A528" s="73"/>
      <c r="B528" s="224"/>
      <c r="C528" s="225"/>
      <c r="D528" s="226"/>
      <c r="E528" s="73"/>
    </row>
    <row r="529" spans="1:5" x14ac:dyDescent="0.2">
      <c r="A529" s="73"/>
      <c r="B529" s="224"/>
      <c r="C529" s="225"/>
      <c r="D529" s="226"/>
      <c r="E529" s="73"/>
    </row>
    <row r="530" spans="1:5" x14ac:dyDescent="0.2">
      <c r="A530" s="73"/>
      <c r="B530" s="224"/>
      <c r="C530" s="225"/>
      <c r="D530" s="226"/>
      <c r="E530" s="73"/>
    </row>
    <row r="531" spans="1:5" x14ac:dyDescent="0.2">
      <c r="A531" s="73"/>
      <c r="B531" s="224"/>
      <c r="C531" s="225"/>
      <c r="D531" s="226"/>
      <c r="E531" s="73"/>
    </row>
    <row r="532" spans="1:5" x14ac:dyDescent="0.2">
      <c r="A532" s="73"/>
      <c r="B532" s="224"/>
      <c r="C532" s="225"/>
      <c r="D532" s="226"/>
      <c r="E532" s="73"/>
    </row>
    <row r="533" spans="1:5" x14ac:dyDescent="0.2">
      <c r="A533" s="73"/>
      <c r="B533" s="224"/>
      <c r="C533" s="225"/>
      <c r="D533" s="226"/>
      <c r="E533" s="73"/>
    </row>
    <row r="534" spans="1:5" x14ac:dyDescent="0.2">
      <c r="A534" s="73"/>
      <c r="B534" s="224"/>
      <c r="C534" s="225"/>
      <c r="D534" s="226"/>
      <c r="E534" s="73"/>
    </row>
    <row r="535" spans="1:5" x14ac:dyDescent="0.2">
      <c r="A535" s="73"/>
      <c r="B535" s="224"/>
      <c r="C535" s="225"/>
      <c r="D535" s="226"/>
      <c r="E535" s="73"/>
    </row>
    <row r="536" spans="1:5" x14ac:dyDescent="0.2">
      <c r="A536" s="73"/>
      <c r="B536" s="224"/>
      <c r="C536" s="225"/>
      <c r="D536" s="226"/>
      <c r="E536" s="73"/>
    </row>
    <row r="537" spans="1:5" x14ac:dyDescent="0.2">
      <c r="A537" s="73"/>
      <c r="B537" s="224"/>
      <c r="C537" s="225"/>
      <c r="D537" s="226"/>
      <c r="E537" s="73"/>
    </row>
    <row r="538" spans="1:5" x14ac:dyDescent="0.2">
      <c r="A538" s="73"/>
      <c r="B538" s="224"/>
      <c r="C538" s="225"/>
      <c r="D538" s="226"/>
      <c r="E538" s="73"/>
    </row>
    <row r="539" spans="1:5" x14ac:dyDescent="0.2">
      <c r="A539" s="73"/>
      <c r="B539" s="224"/>
      <c r="C539" s="225"/>
      <c r="D539" s="226"/>
      <c r="E539" s="73"/>
    </row>
    <row r="540" spans="1:5" x14ac:dyDescent="0.2">
      <c r="A540" s="73"/>
      <c r="B540" s="224"/>
      <c r="C540" s="225"/>
      <c r="D540" s="226"/>
      <c r="E540" s="73"/>
    </row>
    <row r="541" spans="1:5" x14ac:dyDescent="0.2">
      <c r="A541" s="73"/>
      <c r="B541" s="224"/>
      <c r="C541" s="225"/>
      <c r="D541" s="226"/>
      <c r="E541" s="73"/>
    </row>
    <row r="542" spans="1:5" x14ac:dyDescent="0.2">
      <c r="A542" s="73"/>
      <c r="B542" s="224"/>
      <c r="C542" s="225"/>
      <c r="D542" s="226"/>
      <c r="E542" s="73"/>
    </row>
    <row r="543" spans="1:5" x14ac:dyDescent="0.2">
      <c r="A543" s="73"/>
      <c r="B543" s="224"/>
      <c r="C543" s="225"/>
      <c r="D543" s="226"/>
      <c r="E543" s="73"/>
    </row>
    <row r="544" spans="1:5" x14ac:dyDescent="0.2">
      <c r="A544" s="73"/>
      <c r="B544" s="224"/>
      <c r="C544" s="225"/>
      <c r="D544" s="226"/>
      <c r="E544" s="73"/>
    </row>
    <row r="545" spans="1:5" x14ac:dyDescent="0.2">
      <c r="A545" s="73"/>
      <c r="B545" s="224"/>
      <c r="C545" s="225"/>
      <c r="D545" s="226"/>
      <c r="E545" s="73"/>
    </row>
    <row r="546" spans="1:5" x14ac:dyDescent="0.2">
      <c r="A546" s="73"/>
      <c r="B546" s="224"/>
      <c r="C546" s="225"/>
      <c r="D546" s="226"/>
      <c r="E546" s="73"/>
    </row>
    <row r="547" spans="1:5" x14ac:dyDescent="0.2">
      <c r="A547" s="73"/>
      <c r="B547" s="224"/>
      <c r="C547" s="225"/>
      <c r="D547" s="226"/>
      <c r="E547" s="73"/>
    </row>
    <row r="548" spans="1:5" x14ac:dyDescent="0.2">
      <c r="A548" s="73"/>
      <c r="B548" s="224"/>
      <c r="C548" s="225"/>
      <c r="D548" s="226"/>
      <c r="E548" s="73"/>
    </row>
    <row r="549" spans="1:5" x14ac:dyDescent="0.2">
      <c r="A549" s="73"/>
      <c r="B549" s="224"/>
      <c r="C549" s="225"/>
      <c r="D549" s="226"/>
      <c r="E549" s="73"/>
    </row>
    <row r="550" spans="1:5" x14ac:dyDescent="0.2">
      <c r="A550" s="73"/>
      <c r="B550" s="224"/>
      <c r="C550" s="225"/>
      <c r="D550" s="226"/>
      <c r="E550" s="73"/>
    </row>
    <row r="551" spans="1:5" x14ac:dyDescent="0.2">
      <c r="A551" s="73"/>
      <c r="B551" s="224"/>
      <c r="C551" s="225"/>
      <c r="D551" s="226"/>
      <c r="E551" s="73"/>
    </row>
    <row r="552" spans="1:5" x14ac:dyDescent="0.2">
      <c r="A552" s="73"/>
      <c r="B552" s="224"/>
      <c r="C552" s="225"/>
      <c r="D552" s="226"/>
      <c r="E552" s="73"/>
    </row>
    <row r="553" spans="1:5" x14ac:dyDescent="0.2">
      <c r="A553" s="73"/>
      <c r="B553" s="224"/>
      <c r="C553" s="225"/>
      <c r="D553" s="226"/>
      <c r="E553" s="73"/>
    </row>
    <row r="554" spans="1:5" x14ac:dyDescent="0.2">
      <c r="A554" s="73"/>
      <c r="B554" s="224"/>
      <c r="C554" s="225"/>
      <c r="D554" s="226"/>
      <c r="E554" s="73"/>
    </row>
    <row r="555" spans="1:5" x14ac:dyDescent="0.2">
      <c r="A555" s="73"/>
      <c r="B555" s="224"/>
      <c r="C555" s="225"/>
      <c r="D555" s="226"/>
      <c r="E555" s="73"/>
    </row>
    <row r="556" spans="1:5" x14ac:dyDescent="0.2">
      <c r="A556" s="73"/>
      <c r="B556" s="224"/>
      <c r="C556" s="225"/>
      <c r="D556" s="226"/>
      <c r="E556" s="73"/>
    </row>
    <row r="557" spans="1:5" x14ac:dyDescent="0.2">
      <c r="A557" s="73"/>
      <c r="B557" s="224"/>
      <c r="C557" s="225"/>
      <c r="D557" s="226"/>
      <c r="E557" s="73"/>
    </row>
    <row r="558" spans="1:5" x14ac:dyDescent="0.2">
      <c r="A558" s="73"/>
      <c r="B558" s="224"/>
      <c r="C558" s="225"/>
      <c r="D558" s="226"/>
      <c r="E558" s="73"/>
    </row>
    <row r="559" spans="1:5" x14ac:dyDescent="0.2">
      <c r="A559" s="73"/>
      <c r="B559" s="224"/>
      <c r="C559" s="225"/>
      <c r="D559" s="226"/>
      <c r="E559" s="73"/>
    </row>
    <row r="560" spans="1:5" x14ac:dyDescent="0.2">
      <c r="A560" s="73"/>
      <c r="B560" s="224"/>
      <c r="C560" s="225"/>
      <c r="D560" s="226"/>
      <c r="E560" s="73"/>
    </row>
    <row r="561" spans="1:5" x14ac:dyDescent="0.2">
      <c r="A561" s="73"/>
      <c r="B561" s="224"/>
      <c r="C561" s="225"/>
      <c r="D561" s="226"/>
      <c r="E561" s="73"/>
    </row>
    <row r="562" spans="1:5" x14ac:dyDescent="0.2">
      <c r="A562" s="73"/>
      <c r="B562" s="224"/>
      <c r="C562" s="225"/>
      <c r="D562" s="226"/>
      <c r="E562" s="73"/>
    </row>
    <row r="563" spans="1:5" x14ac:dyDescent="0.2">
      <c r="A563" s="73"/>
      <c r="B563" s="224"/>
      <c r="C563" s="225"/>
      <c r="D563" s="226"/>
      <c r="E563" s="73"/>
    </row>
    <row r="564" spans="1:5" x14ac:dyDescent="0.2">
      <c r="A564" s="73"/>
      <c r="B564" s="224"/>
      <c r="C564" s="225"/>
      <c r="D564" s="226"/>
      <c r="E564" s="73"/>
    </row>
    <row r="565" spans="1:5" x14ac:dyDescent="0.2">
      <c r="A565" s="73"/>
      <c r="B565" s="224"/>
      <c r="C565" s="225"/>
      <c r="D565" s="226"/>
      <c r="E565" s="73"/>
    </row>
    <row r="566" spans="1:5" x14ac:dyDescent="0.2">
      <c r="A566" s="73"/>
      <c r="B566" s="224"/>
      <c r="C566" s="225"/>
      <c r="D566" s="226"/>
      <c r="E566" s="73"/>
    </row>
    <row r="567" spans="1:5" x14ac:dyDescent="0.2">
      <c r="A567" s="73"/>
      <c r="B567" s="224"/>
      <c r="C567" s="225"/>
      <c r="D567" s="226"/>
      <c r="E567" s="73"/>
    </row>
    <row r="568" spans="1:5" x14ac:dyDescent="0.2">
      <c r="A568" s="73"/>
      <c r="B568" s="224"/>
      <c r="C568" s="225"/>
      <c r="D568" s="226"/>
      <c r="E568" s="73"/>
    </row>
    <row r="569" spans="1:5" x14ac:dyDescent="0.2">
      <c r="A569" s="73"/>
      <c r="B569" s="224"/>
      <c r="C569" s="225"/>
      <c r="D569" s="226"/>
      <c r="E569" s="73"/>
    </row>
  </sheetData>
  <sheetProtection password="CA9F" sheet="1" objects="1" scenarios="1"/>
  <mergeCells count="9">
    <mergeCell ref="C358:D358"/>
    <mergeCell ref="C359:D359"/>
    <mergeCell ref="C360:D360"/>
    <mergeCell ref="C361:D361"/>
    <mergeCell ref="A2:E2"/>
    <mergeCell ref="A5:C5"/>
    <mergeCell ref="D5:E5"/>
    <mergeCell ref="D6:E6"/>
    <mergeCell ref="C357:D357"/>
  </mergeCells>
  <dataValidations count="1">
    <dataValidation type="whole" allowBlank="1" showInputMessage="1" showErrorMessage="1"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8D3A54F4-6510-453F-873A-92A2BB8B1FC0}">
      <formula1>1</formula1>
      <formula2>100000000000</formula2>
    </dataValidation>
  </dataValidations>
  <pageMargins left="0.7" right="0.7" top="0.42" bottom="0.38" header="0.3" footer="0.3"/>
  <pageSetup scale="8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8"/>
  <sheetViews>
    <sheetView topLeftCell="A55" zoomScaleNormal="100" zoomScalePageLayoutView="60" workbookViewId="0">
      <selection activeCell="D67" sqref="D67"/>
    </sheetView>
  </sheetViews>
  <sheetFormatPr defaultRowHeight="12.75" x14ac:dyDescent="0.2"/>
  <cols>
    <col min="1" max="1" width="11.5703125" style="62"/>
    <col min="2" max="2" width="62.7109375" style="62"/>
    <col min="3" max="3" width="9.28515625" style="62" customWidth="1"/>
    <col min="4" max="4" width="23.85546875" style="62" customWidth="1"/>
    <col min="5" max="5" width="25.28515625" style="62" customWidth="1"/>
    <col min="6" max="1025" width="11.5703125" style="62"/>
    <col min="1026" max="16384" width="9.140625" style="62"/>
  </cols>
  <sheetData>
    <row r="1" spans="1:5" x14ac:dyDescent="0.2">
      <c r="A1" s="123"/>
      <c r="B1" s="125"/>
      <c r="C1" s="125"/>
      <c r="D1" s="123"/>
      <c r="E1" s="123"/>
    </row>
    <row r="2" spans="1:5" x14ac:dyDescent="0.2">
      <c r="A2" s="123"/>
      <c r="B2" s="125"/>
      <c r="C2" s="125"/>
      <c r="D2" s="123"/>
      <c r="E2" s="123"/>
    </row>
    <row r="3" spans="1:5" x14ac:dyDescent="0.2">
      <c r="A3" s="123"/>
      <c r="B3" s="574" t="s">
        <v>294</v>
      </c>
      <c r="C3" s="574"/>
      <c r="D3" s="574"/>
      <c r="E3" s="123"/>
    </row>
    <row r="4" spans="1:5" x14ac:dyDescent="0.2">
      <c r="A4" s="123"/>
      <c r="B4" s="123"/>
      <c r="C4" s="123"/>
      <c r="D4" s="123"/>
      <c r="E4" s="123"/>
    </row>
    <row r="5" spans="1:5" x14ac:dyDescent="0.2">
      <c r="A5" s="123" t="s">
        <v>277</v>
      </c>
      <c r="B5" s="125"/>
      <c r="C5" s="125"/>
      <c r="D5" s="573" t="s">
        <v>278</v>
      </c>
      <c r="E5" s="573"/>
    </row>
    <row r="6" spans="1:5" x14ac:dyDescent="0.2">
      <c r="A6" s="123"/>
      <c r="B6" s="123"/>
      <c r="C6" s="123"/>
      <c r="D6" s="126"/>
      <c r="E6" s="1" t="s">
        <v>279</v>
      </c>
    </row>
    <row r="7" spans="1:5" ht="25.5" x14ac:dyDescent="0.2">
      <c r="A7" s="127" t="s">
        <v>280</v>
      </c>
      <c r="B7" s="128" t="s">
        <v>281</v>
      </c>
      <c r="C7" s="128" t="s">
        <v>295</v>
      </c>
      <c r="D7" s="9" t="s">
        <v>296</v>
      </c>
      <c r="E7" s="9" t="s">
        <v>296</v>
      </c>
    </row>
    <row r="8" spans="1:5" x14ac:dyDescent="0.2">
      <c r="A8" s="127" t="s">
        <v>282</v>
      </c>
      <c r="B8" s="128" t="s">
        <v>283</v>
      </c>
      <c r="C8" s="128" t="s">
        <v>297</v>
      </c>
      <c r="D8" s="9">
        <v>1</v>
      </c>
      <c r="E8" s="9">
        <v>2</v>
      </c>
    </row>
    <row r="9" spans="1:5" x14ac:dyDescent="0.2">
      <c r="A9" s="127">
        <v>1</v>
      </c>
      <c r="B9" s="140" t="s">
        <v>298</v>
      </c>
      <c r="C9" s="141">
        <v>1</v>
      </c>
      <c r="D9" s="132" t="s">
        <v>19</v>
      </c>
      <c r="E9" s="132" t="s">
        <v>19</v>
      </c>
    </row>
    <row r="10" spans="1:5" x14ac:dyDescent="0.2">
      <c r="A10" s="127">
        <v>1.1000000000000001</v>
      </c>
      <c r="B10" s="140" t="s">
        <v>299</v>
      </c>
      <c r="C10" s="141">
        <v>2</v>
      </c>
      <c r="D10" s="132">
        <f>SUM(D11:D17)</f>
        <v>0</v>
      </c>
      <c r="E10" s="132">
        <f>SUM(E11:E17)</f>
        <v>0</v>
      </c>
    </row>
    <row r="11" spans="1:5" x14ac:dyDescent="0.2">
      <c r="A11" s="133" t="s">
        <v>300</v>
      </c>
      <c r="B11" s="134" t="s">
        <v>301</v>
      </c>
      <c r="C11" s="142">
        <v>3</v>
      </c>
      <c r="D11" s="131"/>
      <c r="E11" s="131"/>
    </row>
    <row r="12" spans="1:5" x14ac:dyDescent="0.2">
      <c r="A12" s="133" t="s">
        <v>302</v>
      </c>
      <c r="B12" s="134" t="s">
        <v>303</v>
      </c>
      <c r="C12" s="143">
        <v>4</v>
      </c>
      <c r="D12" s="131"/>
      <c r="E12" s="131"/>
    </row>
    <row r="13" spans="1:5" x14ac:dyDescent="0.2">
      <c r="A13" s="133" t="s">
        <v>304</v>
      </c>
      <c r="B13" s="134" t="s">
        <v>305</v>
      </c>
      <c r="C13" s="143">
        <v>5</v>
      </c>
      <c r="D13" s="131"/>
      <c r="E13" s="131"/>
    </row>
    <row r="14" spans="1:5" x14ac:dyDescent="0.2">
      <c r="A14" s="133" t="s">
        <v>306</v>
      </c>
      <c r="B14" s="134" t="s">
        <v>307</v>
      </c>
      <c r="C14" s="142">
        <v>6</v>
      </c>
      <c r="D14" s="131"/>
      <c r="E14" s="131"/>
    </row>
    <row r="15" spans="1:5" x14ac:dyDescent="0.2">
      <c r="A15" s="133" t="s">
        <v>308</v>
      </c>
      <c r="B15" s="134" t="s">
        <v>309</v>
      </c>
      <c r="C15" s="143">
        <v>7</v>
      </c>
      <c r="D15" s="131"/>
      <c r="E15" s="131"/>
    </row>
    <row r="16" spans="1:5" x14ac:dyDescent="0.2">
      <c r="A16" s="133" t="s">
        <v>310</v>
      </c>
      <c r="B16" s="134" t="s">
        <v>311</v>
      </c>
      <c r="C16" s="143">
        <v>8</v>
      </c>
      <c r="D16" s="131"/>
      <c r="E16" s="131"/>
    </row>
    <row r="17" spans="1:5" x14ac:dyDescent="0.2">
      <c r="A17" s="133" t="s">
        <v>312</v>
      </c>
      <c r="B17" s="134" t="s">
        <v>313</v>
      </c>
      <c r="C17" s="142">
        <v>9</v>
      </c>
      <c r="D17" s="131"/>
      <c r="E17" s="131"/>
    </row>
    <row r="18" spans="1:5" x14ac:dyDescent="0.2">
      <c r="A18" s="127">
        <v>1.2</v>
      </c>
      <c r="B18" s="140" t="s">
        <v>314</v>
      </c>
      <c r="C18" s="141">
        <v>10</v>
      </c>
      <c r="D18" s="132">
        <f>SUM(D19:D34)-D25-D26</f>
        <v>0</v>
      </c>
      <c r="E18" s="132">
        <f>SUM(E19:E34)-E25-E26</f>
        <v>0</v>
      </c>
    </row>
    <row r="19" spans="1:5" x14ac:dyDescent="0.2">
      <c r="A19" s="133" t="s">
        <v>315</v>
      </c>
      <c r="B19" s="134" t="s">
        <v>316</v>
      </c>
      <c r="C19" s="143">
        <v>11</v>
      </c>
      <c r="D19" s="131"/>
      <c r="E19" s="131"/>
    </row>
    <row r="20" spans="1:5" x14ac:dyDescent="0.2">
      <c r="A20" s="133" t="s">
        <v>317</v>
      </c>
      <c r="B20" s="134" t="s">
        <v>318</v>
      </c>
      <c r="C20" s="142">
        <v>12</v>
      </c>
      <c r="D20" s="131"/>
      <c r="E20" s="131"/>
    </row>
    <row r="21" spans="1:5" x14ac:dyDescent="0.2">
      <c r="A21" s="133" t="s">
        <v>319</v>
      </c>
      <c r="B21" s="134" t="s">
        <v>320</v>
      </c>
      <c r="C21" s="143">
        <v>13</v>
      </c>
      <c r="D21" s="131"/>
      <c r="E21" s="131"/>
    </row>
    <row r="22" spans="1:5" x14ac:dyDescent="0.2">
      <c r="A22" s="133" t="s">
        <v>321</v>
      </c>
      <c r="B22" s="134" t="s">
        <v>322</v>
      </c>
      <c r="C22" s="143">
        <v>14</v>
      </c>
      <c r="D22" s="131"/>
      <c r="E22" s="131"/>
    </row>
    <row r="23" spans="1:5" x14ac:dyDescent="0.2">
      <c r="A23" s="133" t="s">
        <v>323</v>
      </c>
      <c r="B23" s="134" t="s">
        <v>324</v>
      </c>
      <c r="C23" s="142">
        <v>15</v>
      </c>
      <c r="D23" s="131"/>
      <c r="E23" s="131"/>
    </row>
    <row r="24" spans="1:5" x14ac:dyDescent="0.2">
      <c r="A24" s="133" t="s">
        <v>325</v>
      </c>
      <c r="B24" s="134" t="s">
        <v>326</v>
      </c>
      <c r="C24" s="143">
        <v>16</v>
      </c>
      <c r="D24" s="131"/>
      <c r="E24" s="131"/>
    </row>
    <row r="25" spans="1:5" x14ac:dyDescent="0.2">
      <c r="A25" s="133" t="s">
        <v>327</v>
      </c>
      <c r="B25" s="134" t="s">
        <v>328</v>
      </c>
      <c r="C25" s="143">
        <v>17</v>
      </c>
      <c r="D25" s="131"/>
      <c r="E25" s="131"/>
    </row>
    <row r="26" spans="1:5" x14ac:dyDescent="0.2">
      <c r="A26" s="133" t="s">
        <v>329</v>
      </c>
      <c r="B26" s="134" t="s">
        <v>330</v>
      </c>
      <c r="C26" s="142">
        <v>18</v>
      </c>
      <c r="D26" s="131"/>
      <c r="E26" s="131"/>
    </row>
    <row r="27" spans="1:5" x14ac:dyDescent="0.2">
      <c r="A27" s="133" t="s">
        <v>331</v>
      </c>
      <c r="B27" s="134" t="s">
        <v>207</v>
      </c>
      <c r="C27" s="143">
        <v>19</v>
      </c>
      <c r="D27" s="131"/>
      <c r="E27" s="131"/>
    </row>
    <row r="28" spans="1:5" x14ac:dyDescent="0.2">
      <c r="A28" s="133" t="s">
        <v>332</v>
      </c>
      <c r="B28" s="134" t="s">
        <v>333</v>
      </c>
      <c r="C28" s="143">
        <v>20</v>
      </c>
      <c r="D28" s="131"/>
      <c r="E28" s="131"/>
    </row>
    <row r="29" spans="1:5" x14ac:dyDescent="0.2">
      <c r="A29" s="133" t="s">
        <v>334</v>
      </c>
      <c r="B29" s="134" t="s">
        <v>335</v>
      </c>
      <c r="C29" s="142">
        <v>21</v>
      </c>
      <c r="D29" s="131"/>
      <c r="E29" s="131"/>
    </row>
    <row r="30" spans="1:5" x14ac:dyDescent="0.2">
      <c r="A30" s="133" t="s">
        <v>336</v>
      </c>
      <c r="B30" s="134" t="s">
        <v>337</v>
      </c>
      <c r="C30" s="143">
        <v>22</v>
      </c>
      <c r="D30" s="131"/>
      <c r="E30" s="131"/>
    </row>
    <row r="31" spans="1:5" x14ac:dyDescent="0.2">
      <c r="A31" s="133" t="s">
        <v>338</v>
      </c>
      <c r="B31" s="134" t="s">
        <v>339</v>
      </c>
      <c r="C31" s="143">
        <v>23</v>
      </c>
      <c r="D31" s="131"/>
      <c r="E31" s="131"/>
    </row>
    <row r="32" spans="1:5" x14ac:dyDescent="0.2">
      <c r="A32" s="133" t="s">
        <v>340</v>
      </c>
      <c r="B32" s="134" t="s">
        <v>341</v>
      </c>
      <c r="C32" s="142">
        <v>24</v>
      </c>
      <c r="D32" s="131"/>
      <c r="E32" s="131"/>
    </row>
    <row r="33" spans="1:5" x14ac:dyDescent="0.2">
      <c r="A33" s="133" t="s">
        <v>342</v>
      </c>
      <c r="B33" s="134" t="s">
        <v>343</v>
      </c>
      <c r="C33" s="143">
        <v>25</v>
      </c>
      <c r="D33" s="131"/>
      <c r="E33" s="131"/>
    </row>
    <row r="34" spans="1:5" x14ac:dyDescent="0.2">
      <c r="A34" s="133" t="s">
        <v>344</v>
      </c>
      <c r="B34" s="134" t="s">
        <v>345</v>
      </c>
      <c r="C34" s="143">
        <v>26</v>
      </c>
      <c r="D34" s="131"/>
      <c r="E34" s="131"/>
    </row>
    <row r="35" spans="1:5" x14ac:dyDescent="0.2">
      <c r="A35" s="127">
        <v>1.3</v>
      </c>
      <c r="B35" s="140" t="s">
        <v>346</v>
      </c>
      <c r="C35" s="144">
        <v>27</v>
      </c>
      <c r="D35" s="132">
        <f>D10-D18</f>
        <v>0</v>
      </c>
      <c r="E35" s="132">
        <f>E10-E18</f>
        <v>0</v>
      </c>
    </row>
    <row r="36" spans="1:5" x14ac:dyDescent="0.2">
      <c r="A36" s="127">
        <v>2</v>
      </c>
      <c r="B36" s="140" t="s">
        <v>347</v>
      </c>
      <c r="C36" s="141">
        <v>28</v>
      </c>
      <c r="D36" s="132"/>
      <c r="E36" s="132"/>
    </row>
    <row r="37" spans="1:5" x14ac:dyDescent="0.2">
      <c r="A37" s="127">
        <v>2.1</v>
      </c>
      <c r="B37" s="140" t="s">
        <v>299</v>
      </c>
      <c r="C37" s="141">
        <v>29</v>
      </c>
      <c r="D37" s="132">
        <f>SUM(D38:D44)</f>
        <v>0</v>
      </c>
      <c r="E37" s="132">
        <f>SUM(E38:E44)</f>
        <v>0</v>
      </c>
    </row>
    <row r="38" spans="1:5" x14ac:dyDescent="0.2">
      <c r="A38" s="133" t="s">
        <v>348</v>
      </c>
      <c r="B38" s="134" t="s">
        <v>349</v>
      </c>
      <c r="C38" s="142">
        <v>30</v>
      </c>
      <c r="D38" s="131"/>
      <c r="E38" s="131"/>
    </row>
    <row r="39" spans="1:5" x14ac:dyDescent="0.2">
      <c r="A39" s="133" t="s">
        <v>350</v>
      </c>
      <c r="B39" s="134" t="s">
        <v>351</v>
      </c>
      <c r="C39" s="143">
        <v>31</v>
      </c>
      <c r="D39" s="131"/>
      <c r="E39" s="131"/>
    </row>
    <row r="40" spans="1:5" x14ac:dyDescent="0.2">
      <c r="A40" s="133" t="s">
        <v>352</v>
      </c>
      <c r="B40" s="134" t="s">
        <v>353</v>
      </c>
      <c r="C40" s="143">
        <v>32</v>
      </c>
      <c r="D40" s="131"/>
      <c r="E40" s="131"/>
    </row>
    <row r="41" spans="1:5" x14ac:dyDescent="0.2">
      <c r="A41" s="133" t="s">
        <v>354</v>
      </c>
      <c r="B41" s="134" t="s">
        <v>355</v>
      </c>
      <c r="C41" s="142">
        <v>33</v>
      </c>
      <c r="D41" s="131"/>
      <c r="E41" s="131"/>
    </row>
    <row r="42" spans="1:5" x14ac:dyDescent="0.2">
      <c r="A42" s="133" t="s">
        <v>356</v>
      </c>
      <c r="B42" s="134" t="s">
        <v>357</v>
      </c>
      <c r="C42" s="143">
        <v>34</v>
      </c>
      <c r="D42" s="131"/>
      <c r="E42" s="131"/>
    </row>
    <row r="43" spans="1:5" x14ac:dyDescent="0.2">
      <c r="A43" s="133" t="s">
        <v>358</v>
      </c>
      <c r="B43" s="134" t="s">
        <v>359</v>
      </c>
      <c r="C43" s="143">
        <v>35</v>
      </c>
      <c r="D43" s="131"/>
      <c r="E43" s="131"/>
    </row>
    <row r="44" spans="1:5" x14ac:dyDescent="0.2">
      <c r="A44" s="133" t="s">
        <v>360</v>
      </c>
      <c r="B44" s="134" t="s">
        <v>361</v>
      </c>
      <c r="C44" s="142">
        <v>36</v>
      </c>
      <c r="D44" s="131"/>
      <c r="E44" s="131"/>
    </row>
    <row r="45" spans="1:5" x14ac:dyDescent="0.2">
      <c r="A45" s="127">
        <v>2.2000000000000002</v>
      </c>
      <c r="B45" s="140" t="s">
        <v>314</v>
      </c>
      <c r="C45" s="141">
        <v>37</v>
      </c>
      <c r="D45" s="132">
        <f>SUM(D46:D50)</f>
        <v>0</v>
      </c>
      <c r="E45" s="132">
        <f>SUM(E46:E50)</f>
        <v>0</v>
      </c>
    </row>
    <row r="46" spans="1:5" x14ac:dyDescent="0.2">
      <c r="A46" s="133" t="s">
        <v>362</v>
      </c>
      <c r="B46" s="134" t="s">
        <v>363</v>
      </c>
      <c r="C46" s="143">
        <v>38</v>
      </c>
      <c r="D46" s="131"/>
      <c r="E46" s="131"/>
    </row>
    <row r="47" spans="1:5" x14ac:dyDescent="0.2">
      <c r="A47" s="133" t="s">
        <v>364</v>
      </c>
      <c r="B47" s="134" t="s">
        <v>365</v>
      </c>
      <c r="C47" s="142">
        <v>39</v>
      </c>
      <c r="D47" s="131"/>
      <c r="E47" s="131"/>
    </row>
    <row r="48" spans="1:5" x14ac:dyDescent="0.2">
      <c r="A48" s="133" t="s">
        <v>366</v>
      </c>
      <c r="B48" s="134" t="s">
        <v>367</v>
      </c>
      <c r="C48" s="143">
        <v>40</v>
      </c>
      <c r="D48" s="131"/>
      <c r="E48" s="131"/>
    </row>
    <row r="49" spans="1:5" x14ac:dyDescent="0.2">
      <c r="A49" s="133" t="s">
        <v>368</v>
      </c>
      <c r="B49" s="134" t="s">
        <v>369</v>
      </c>
      <c r="C49" s="143">
        <v>41</v>
      </c>
      <c r="D49" s="131"/>
      <c r="E49" s="131"/>
    </row>
    <row r="50" spans="1:5" x14ac:dyDescent="0.2">
      <c r="A50" s="133" t="s">
        <v>370</v>
      </c>
      <c r="B50" s="134" t="s">
        <v>371</v>
      </c>
      <c r="C50" s="142">
        <v>42</v>
      </c>
      <c r="D50" s="131" t="s">
        <v>0</v>
      </c>
      <c r="E50" s="131" t="s">
        <v>0</v>
      </c>
    </row>
    <row r="51" spans="1:5" x14ac:dyDescent="0.2">
      <c r="A51" s="127">
        <v>2.2999999999999998</v>
      </c>
      <c r="B51" s="140" t="s">
        <v>372</v>
      </c>
      <c r="C51" s="141">
        <v>43</v>
      </c>
      <c r="D51" s="132">
        <f>D37-D45</f>
        <v>0</v>
      </c>
      <c r="E51" s="132">
        <f>E37-E45</f>
        <v>0</v>
      </c>
    </row>
    <row r="52" spans="1:5" x14ac:dyDescent="0.2">
      <c r="A52" s="127">
        <v>3</v>
      </c>
      <c r="B52" s="140" t="s">
        <v>373</v>
      </c>
      <c r="C52" s="141">
        <v>44</v>
      </c>
      <c r="D52" s="132"/>
      <c r="E52" s="132"/>
    </row>
    <row r="53" spans="1:5" x14ac:dyDescent="0.2">
      <c r="A53" s="127">
        <v>3.1</v>
      </c>
      <c r="B53" s="140" t="s">
        <v>299</v>
      </c>
      <c r="C53" s="144">
        <v>45</v>
      </c>
      <c r="D53" s="132">
        <f>SUM(D54:D57)</f>
        <v>0</v>
      </c>
      <c r="E53" s="132">
        <f>SUM(E54:E57)</f>
        <v>0</v>
      </c>
    </row>
    <row r="54" spans="1:5" x14ac:dyDescent="0.2">
      <c r="A54" s="133" t="s">
        <v>374</v>
      </c>
      <c r="B54" s="134" t="s">
        <v>375</v>
      </c>
      <c r="C54" s="143">
        <v>46</v>
      </c>
      <c r="D54" s="131" t="s">
        <v>0</v>
      </c>
      <c r="E54" s="131" t="s">
        <v>0</v>
      </c>
    </row>
    <row r="55" spans="1:5" x14ac:dyDescent="0.2">
      <c r="A55" s="133" t="s">
        <v>376</v>
      </c>
      <c r="B55" s="134" t="s">
        <v>377</v>
      </c>
      <c r="C55" s="143">
        <v>47</v>
      </c>
      <c r="D55" s="131" t="s">
        <v>0</v>
      </c>
      <c r="E55" s="131" t="s">
        <v>0</v>
      </c>
    </row>
    <row r="56" spans="1:5" x14ac:dyDescent="0.2">
      <c r="A56" s="133" t="s">
        <v>378</v>
      </c>
      <c r="B56" s="134" t="s">
        <v>379</v>
      </c>
      <c r="C56" s="142">
        <v>48</v>
      </c>
      <c r="D56" s="131" t="s">
        <v>0</v>
      </c>
      <c r="E56" s="131" t="s">
        <v>0</v>
      </c>
    </row>
    <row r="57" spans="1:5" x14ac:dyDescent="0.2">
      <c r="A57" s="133" t="s">
        <v>380</v>
      </c>
      <c r="B57" s="134" t="s">
        <v>216</v>
      </c>
      <c r="C57" s="143">
        <v>49</v>
      </c>
      <c r="D57" s="131"/>
      <c r="E57" s="131"/>
    </row>
    <row r="58" spans="1:5" x14ac:dyDescent="0.2">
      <c r="A58" s="127">
        <v>3.2</v>
      </c>
      <c r="B58" s="140" t="s">
        <v>314</v>
      </c>
      <c r="C58" s="141">
        <v>50</v>
      </c>
      <c r="D58" s="132">
        <f>SUM(D59:D63)</f>
        <v>0</v>
      </c>
      <c r="E58" s="132">
        <f>SUM(E59:E63)</f>
        <v>0</v>
      </c>
    </row>
    <row r="59" spans="1:5" x14ac:dyDescent="0.2">
      <c r="A59" s="133" t="s">
        <v>381</v>
      </c>
      <c r="B59" s="134" t="s">
        <v>382</v>
      </c>
      <c r="C59" s="142">
        <v>51</v>
      </c>
      <c r="D59" s="131" t="s">
        <v>0</v>
      </c>
      <c r="E59" s="131" t="s">
        <v>0</v>
      </c>
    </row>
    <row r="60" spans="1:5" x14ac:dyDescent="0.2">
      <c r="A60" s="133" t="s">
        <v>383</v>
      </c>
      <c r="B60" s="134" t="s">
        <v>384</v>
      </c>
      <c r="C60" s="143">
        <v>52</v>
      </c>
      <c r="D60" s="131" t="s">
        <v>0</v>
      </c>
      <c r="E60" s="131" t="s">
        <v>0</v>
      </c>
    </row>
    <row r="61" spans="1:5" x14ac:dyDescent="0.2">
      <c r="A61" s="133" t="s">
        <v>385</v>
      </c>
      <c r="B61" s="134" t="s">
        <v>386</v>
      </c>
      <c r="C61" s="143">
        <v>53</v>
      </c>
      <c r="D61" s="131" t="s">
        <v>0</v>
      </c>
      <c r="E61" s="131" t="s">
        <v>0</v>
      </c>
    </row>
    <row r="62" spans="1:5" x14ac:dyDescent="0.2">
      <c r="A62" s="133" t="s">
        <v>387</v>
      </c>
      <c r="B62" s="134" t="s">
        <v>388</v>
      </c>
      <c r="C62" s="142">
        <v>54</v>
      </c>
      <c r="D62" s="131" t="s">
        <v>0</v>
      </c>
      <c r="E62" s="131" t="s">
        <v>0</v>
      </c>
    </row>
    <row r="63" spans="1:5" x14ac:dyDescent="0.2">
      <c r="A63" s="133" t="s">
        <v>389</v>
      </c>
      <c r="B63" s="134" t="s">
        <v>216</v>
      </c>
      <c r="C63" s="143">
        <v>55</v>
      </c>
      <c r="D63" s="131"/>
      <c r="E63" s="131" t="s">
        <v>0</v>
      </c>
    </row>
    <row r="64" spans="1:5" x14ac:dyDescent="0.2">
      <c r="A64" s="127">
        <v>3.3</v>
      </c>
      <c r="B64" s="140" t="s">
        <v>390</v>
      </c>
      <c r="C64" s="141">
        <v>56</v>
      </c>
      <c r="D64" s="132">
        <f>D53-D58</f>
        <v>0</v>
      </c>
      <c r="E64" s="132">
        <f>E53-E58</f>
        <v>0</v>
      </c>
    </row>
    <row r="65" spans="1:5" x14ac:dyDescent="0.2">
      <c r="A65" s="127">
        <v>4</v>
      </c>
      <c r="B65" s="140" t="s">
        <v>391</v>
      </c>
      <c r="C65" s="144">
        <v>57</v>
      </c>
      <c r="D65" s="132">
        <f>D64+D51+D35</f>
        <v>0</v>
      </c>
      <c r="E65" s="132">
        <f>E64+E51+E35</f>
        <v>0</v>
      </c>
    </row>
    <row r="66" spans="1:5" x14ac:dyDescent="0.2">
      <c r="A66" s="127">
        <v>5</v>
      </c>
      <c r="B66" s="145" t="s">
        <v>392</v>
      </c>
      <c r="C66" s="141">
        <v>58</v>
      </c>
      <c r="D66" s="131"/>
      <c r="E66" s="146">
        <f>D67</f>
        <v>0</v>
      </c>
    </row>
    <row r="67" spans="1:5" x14ac:dyDescent="0.2">
      <c r="A67" s="127">
        <v>6</v>
      </c>
      <c r="B67" s="140" t="s">
        <v>393</v>
      </c>
      <c r="C67" s="141">
        <v>59</v>
      </c>
      <c r="D67" s="132">
        <f>D65+D66</f>
        <v>0</v>
      </c>
      <c r="E67" s="132">
        <f>E65+E66</f>
        <v>0</v>
      </c>
    </row>
    <row r="69" spans="1:5" x14ac:dyDescent="0.2">
      <c r="D69" s="139">
        <f>D67-i.04130!D16</f>
        <v>0</v>
      </c>
      <c r="E69" s="139">
        <f>E67-i.04130!E16</f>
        <v>0</v>
      </c>
    </row>
    <row r="70" spans="1:5" x14ac:dyDescent="0.2">
      <c r="B70" s="2" t="s">
        <v>285</v>
      </c>
      <c r="C70" s="3"/>
      <c r="D70" s="4"/>
      <c r="E70" s="4"/>
    </row>
    <row r="71" spans="1:5" x14ac:dyDescent="0.2">
      <c r="B71" s="5"/>
      <c r="C71" s="3"/>
      <c r="D71" s="4"/>
      <c r="E71" s="4"/>
    </row>
    <row r="72" spans="1:5" x14ac:dyDescent="0.2">
      <c r="B72" s="5" t="s">
        <v>286</v>
      </c>
      <c r="C72" s="3"/>
      <c r="D72" s="4"/>
      <c r="E72" s="4"/>
    </row>
    <row r="73" spans="1:5" x14ac:dyDescent="0.2">
      <c r="B73" s="5"/>
      <c r="C73" s="3"/>
      <c r="D73" s="4"/>
      <c r="E73" s="4"/>
    </row>
    <row r="74" spans="1:5" x14ac:dyDescent="0.2">
      <c r="B74" s="6" t="s">
        <v>287</v>
      </c>
      <c r="C74" s="572" t="s">
        <v>288</v>
      </c>
      <c r="D74" s="572"/>
      <c r="E74" s="7" t="s">
        <v>289</v>
      </c>
    </row>
    <row r="75" spans="1:5" x14ac:dyDescent="0.2">
      <c r="B75" s="5"/>
      <c r="C75" s="572"/>
      <c r="D75" s="572"/>
      <c r="E75" s="4"/>
    </row>
    <row r="76" spans="1:5" x14ac:dyDescent="0.2">
      <c r="B76" s="6" t="s">
        <v>290</v>
      </c>
      <c r="C76" s="572" t="s">
        <v>291</v>
      </c>
      <c r="D76" s="572"/>
      <c r="E76" s="7" t="s">
        <v>292</v>
      </c>
    </row>
    <row r="77" spans="1:5" x14ac:dyDescent="0.2">
      <c r="B77" s="5"/>
      <c r="C77" s="572"/>
      <c r="D77" s="572"/>
      <c r="E77" s="4"/>
    </row>
    <row r="78" spans="1:5" x14ac:dyDescent="0.2">
      <c r="B78" s="8" t="s">
        <v>293</v>
      </c>
      <c r="C78" s="572" t="s">
        <v>288</v>
      </c>
      <c r="D78" s="572"/>
      <c r="E78" s="7" t="s">
        <v>292</v>
      </c>
    </row>
  </sheetData>
  <sheetProtection password="CA9F" sheet="1" objects="1" scenarios="1"/>
  <mergeCells count="7">
    <mergeCell ref="C78:D78"/>
    <mergeCell ref="B3:D3"/>
    <mergeCell ref="D5:E5"/>
    <mergeCell ref="C74:D74"/>
    <mergeCell ref="C75:D75"/>
    <mergeCell ref="C76:D76"/>
    <mergeCell ref="C77:D77"/>
  </mergeCells>
  <dataValidations count="1">
    <dataValidation type="whole" allowBlank="1" showInputMessage="1" showErrorMessage="1" sqref="D6:E6" xr:uid="{3E2E3E2A-B0E4-4096-98FC-688D9B4890E2}">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39FF9-14F9-4045-B494-744DF81F4727}">
  <sheetPr>
    <pageSetUpPr fitToPage="1"/>
  </sheetPr>
  <dimension ref="A1:K83"/>
  <sheetViews>
    <sheetView workbookViewId="0">
      <pane xSplit="2" ySplit="6" topLeftCell="C10" activePane="bottomRight" state="frozen"/>
      <selection activeCell="L11" sqref="L11"/>
      <selection pane="topRight" activeCell="L11" sqref="L11"/>
      <selection pane="bottomLeft" activeCell="L11" sqref="L11"/>
      <selection pane="bottomRight" activeCell="D32" sqref="D32"/>
    </sheetView>
  </sheetViews>
  <sheetFormatPr defaultRowHeight="12.75" x14ac:dyDescent="0.2"/>
  <cols>
    <col min="1" max="1" width="3" style="72" customWidth="1"/>
    <col min="2" max="2" width="36.85546875" style="247" customWidth="1"/>
    <col min="3" max="3" width="7.28515625" style="72" customWidth="1"/>
    <col min="4" max="5" width="25" style="247" customWidth="1"/>
    <col min="6" max="6" width="25" style="72" customWidth="1"/>
    <col min="7" max="8" width="25" style="247" customWidth="1"/>
    <col min="9" max="9" width="25" style="72" customWidth="1"/>
    <col min="10" max="11" width="25" style="247" customWidth="1"/>
    <col min="12" max="256" width="9.140625" style="227"/>
    <col min="257" max="257" width="3" style="227" customWidth="1"/>
    <col min="258" max="258" width="36.85546875" style="227" customWidth="1"/>
    <col min="259" max="259" width="7.28515625" style="227" customWidth="1"/>
    <col min="260" max="261" width="16.42578125" style="227" customWidth="1"/>
    <col min="262" max="262" width="5.140625" style="227" customWidth="1"/>
    <col min="263" max="264" width="16.42578125" style="227" customWidth="1"/>
    <col min="265" max="265" width="8" style="227" customWidth="1"/>
    <col min="266" max="267" width="16.42578125" style="227" customWidth="1"/>
    <col min="268" max="512" width="9.140625" style="227"/>
    <col min="513" max="513" width="3" style="227" customWidth="1"/>
    <col min="514" max="514" width="36.85546875" style="227" customWidth="1"/>
    <col min="515" max="515" width="7.28515625" style="227" customWidth="1"/>
    <col min="516" max="517" width="16.42578125" style="227" customWidth="1"/>
    <col min="518" max="518" width="5.140625" style="227" customWidth="1"/>
    <col min="519" max="520" width="16.42578125" style="227" customWidth="1"/>
    <col min="521" max="521" width="8" style="227" customWidth="1"/>
    <col min="522" max="523" width="16.42578125" style="227" customWidth="1"/>
    <col min="524" max="768" width="9.140625" style="227"/>
    <col min="769" max="769" width="3" style="227" customWidth="1"/>
    <col min="770" max="770" width="36.85546875" style="227" customWidth="1"/>
    <col min="771" max="771" width="7.28515625" style="227" customWidth="1"/>
    <col min="772" max="773" width="16.42578125" style="227" customWidth="1"/>
    <col min="774" max="774" width="5.140625" style="227" customWidth="1"/>
    <col min="775" max="776" width="16.42578125" style="227" customWidth="1"/>
    <col min="777" max="777" width="8" style="227" customWidth="1"/>
    <col min="778" max="779" width="16.42578125" style="227" customWidth="1"/>
    <col min="780" max="1024" width="9.140625" style="227"/>
    <col min="1025" max="1025" width="3" style="227" customWidth="1"/>
    <col min="1026" max="1026" width="36.85546875" style="227" customWidth="1"/>
    <col min="1027" max="1027" width="7.28515625" style="227" customWidth="1"/>
    <col min="1028" max="1029" width="16.42578125" style="227" customWidth="1"/>
    <col min="1030" max="1030" width="5.140625" style="227" customWidth="1"/>
    <col min="1031" max="1032" width="16.42578125" style="227" customWidth="1"/>
    <col min="1033" max="1033" width="8" style="227" customWidth="1"/>
    <col min="1034" max="1035" width="16.42578125" style="227" customWidth="1"/>
    <col min="1036" max="1280" width="9.140625" style="227"/>
    <col min="1281" max="1281" width="3" style="227" customWidth="1"/>
    <col min="1282" max="1282" width="36.85546875" style="227" customWidth="1"/>
    <col min="1283" max="1283" width="7.28515625" style="227" customWidth="1"/>
    <col min="1284" max="1285" width="16.42578125" style="227" customWidth="1"/>
    <col min="1286" max="1286" width="5.140625" style="227" customWidth="1"/>
    <col min="1287" max="1288" width="16.42578125" style="227" customWidth="1"/>
    <col min="1289" max="1289" width="8" style="227" customWidth="1"/>
    <col min="1290" max="1291" width="16.42578125" style="227" customWidth="1"/>
    <col min="1292" max="1536" width="9.140625" style="227"/>
    <col min="1537" max="1537" width="3" style="227" customWidth="1"/>
    <col min="1538" max="1538" width="36.85546875" style="227" customWidth="1"/>
    <col min="1539" max="1539" width="7.28515625" style="227" customWidth="1"/>
    <col min="1540" max="1541" width="16.42578125" style="227" customWidth="1"/>
    <col min="1542" max="1542" width="5.140625" style="227" customWidth="1"/>
    <col min="1543" max="1544" width="16.42578125" style="227" customWidth="1"/>
    <col min="1545" max="1545" width="8" style="227" customWidth="1"/>
    <col min="1546" max="1547" width="16.42578125" style="227" customWidth="1"/>
    <col min="1548" max="1792" width="9.140625" style="227"/>
    <col min="1793" max="1793" width="3" style="227" customWidth="1"/>
    <col min="1794" max="1794" width="36.85546875" style="227" customWidth="1"/>
    <col min="1795" max="1795" width="7.28515625" style="227" customWidth="1"/>
    <col min="1796" max="1797" width="16.42578125" style="227" customWidth="1"/>
    <col min="1798" max="1798" width="5.140625" style="227" customWidth="1"/>
    <col min="1799" max="1800" width="16.42578125" style="227" customWidth="1"/>
    <col min="1801" max="1801" width="8" style="227" customWidth="1"/>
    <col min="1802" max="1803" width="16.42578125" style="227" customWidth="1"/>
    <col min="1804" max="2048" width="9.140625" style="227"/>
    <col min="2049" max="2049" width="3" style="227" customWidth="1"/>
    <col min="2050" max="2050" width="36.85546875" style="227" customWidth="1"/>
    <col min="2051" max="2051" width="7.28515625" style="227" customWidth="1"/>
    <col min="2052" max="2053" width="16.42578125" style="227" customWidth="1"/>
    <col min="2054" max="2054" width="5.140625" style="227" customWidth="1"/>
    <col min="2055" max="2056" width="16.42578125" style="227" customWidth="1"/>
    <col min="2057" max="2057" width="8" style="227" customWidth="1"/>
    <col min="2058" max="2059" width="16.42578125" style="227" customWidth="1"/>
    <col min="2060" max="2304" width="9.140625" style="227"/>
    <col min="2305" max="2305" width="3" style="227" customWidth="1"/>
    <col min="2306" max="2306" width="36.85546875" style="227" customWidth="1"/>
    <col min="2307" max="2307" width="7.28515625" style="227" customWidth="1"/>
    <col min="2308" max="2309" width="16.42578125" style="227" customWidth="1"/>
    <col min="2310" max="2310" width="5.140625" style="227" customWidth="1"/>
    <col min="2311" max="2312" width="16.42578125" style="227" customWidth="1"/>
    <col min="2313" max="2313" width="8" style="227" customWidth="1"/>
    <col min="2314" max="2315" width="16.42578125" style="227" customWidth="1"/>
    <col min="2316" max="2560" width="9.140625" style="227"/>
    <col min="2561" max="2561" width="3" style="227" customWidth="1"/>
    <col min="2562" max="2562" width="36.85546875" style="227" customWidth="1"/>
    <col min="2563" max="2563" width="7.28515625" style="227" customWidth="1"/>
    <col min="2564" max="2565" width="16.42578125" style="227" customWidth="1"/>
    <col min="2566" max="2566" width="5.140625" style="227" customWidth="1"/>
    <col min="2567" max="2568" width="16.42578125" style="227" customWidth="1"/>
    <col min="2569" max="2569" width="8" style="227" customWidth="1"/>
    <col min="2570" max="2571" width="16.42578125" style="227" customWidth="1"/>
    <col min="2572" max="2816" width="9.140625" style="227"/>
    <col min="2817" max="2817" width="3" style="227" customWidth="1"/>
    <col min="2818" max="2818" width="36.85546875" style="227" customWidth="1"/>
    <col min="2819" max="2819" width="7.28515625" style="227" customWidth="1"/>
    <col min="2820" max="2821" width="16.42578125" style="227" customWidth="1"/>
    <col min="2822" max="2822" width="5.140625" style="227" customWidth="1"/>
    <col min="2823" max="2824" width="16.42578125" style="227" customWidth="1"/>
    <col min="2825" max="2825" width="8" style="227" customWidth="1"/>
    <col min="2826" max="2827" width="16.42578125" style="227" customWidth="1"/>
    <col min="2828" max="3072" width="9.140625" style="227"/>
    <col min="3073" max="3073" width="3" style="227" customWidth="1"/>
    <col min="3074" max="3074" width="36.85546875" style="227" customWidth="1"/>
    <col min="3075" max="3075" width="7.28515625" style="227" customWidth="1"/>
    <col min="3076" max="3077" width="16.42578125" style="227" customWidth="1"/>
    <col min="3078" max="3078" width="5.140625" style="227" customWidth="1"/>
    <col min="3079" max="3080" width="16.42578125" style="227" customWidth="1"/>
    <col min="3081" max="3081" width="8" style="227" customWidth="1"/>
    <col min="3082" max="3083" width="16.42578125" style="227" customWidth="1"/>
    <col min="3084" max="3328" width="9.140625" style="227"/>
    <col min="3329" max="3329" width="3" style="227" customWidth="1"/>
    <col min="3330" max="3330" width="36.85546875" style="227" customWidth="1"/>
    <col min="3331" max="3331" width="7.28515625" style="227" customWidth="1"/>
    <col min="3332" max="3333" width="16.42578125" style="227" customWidth="1"/>
    <col min="3334" max="3334" width="5.140625" style="227" customWidth="1"/>
    <col min="3335" max="3336" width="16.42578125" style="227" customWidth="1"/>
    <col min="3337" max="3337" width="8" style="227" customWidth="1"/>
    <col min="3338" max="3339" width="16.42578125" style="227" customWidth="1"/>
    <col min="3340" max="3584" width="9.140625" style="227"/>
    <col min="3585" max="3585" width="3" style="227" customWidth="1"/>
    <col min="3586" max="3586" width="36.85546875" style="227" customWidth="1"/>
    <col min="3587" max="3587" width="7.28515625" style="227" customWidth="1"/>
    <col min="3588" max="3589" width="16.42578125" style="227" customWidth="1"/>
    <col min="3590" max="3590" width="5.140625" style="227" customWidth="1"/>
    <col min="3591" max="3592" width="16.42578125" style="227" customWidth="1"/>
    <col min="3593" max="3593" width="8" style="227" customWidth="1"/>
    <col min="3594" max="3595" width="16.42578125" style="227" customWidth="1"/>
    <col min="3596" max="3840" width="9.140625" style="227"/>
    <col min="3841" max="3841" width="3" style="227" customWidth="1"/>
    <col min="3842" max="3842" width="36.85546875" style="227" customWidth="1"/>
    <col min="3843" max="3843" width="7.28515625" style="227" customWidth="1"/>
    <col min="3844" max="3845" width="16.42578125" style="227" customWidth="1"/>
    <col min="3846" max="3846" width="5.140625" style="227" customWidth="1"/>
    <col min="3847" max="3848" width="16.42578125" style="227" customWidth="1"/>
    <col min="3849" max="3849" width="8" style="227" customWidth="1"/>
    <col min="3850" max="3851" width="16.42578125" style="227" customWidth="1"/>
    <col min="3852" max="4096" width="9.140625" style="227"/>
    <col min="4097" max="4097" width="3" style="227" customWidth="1"/>
    <col min="4098" max="4098" width="36.85546875" style="227" customWidth="1"/>
    <col min="4099" max="4099" width="7.28515625" style="227" customWidth="1"/>
    <col min="4100" max="4101" width="16.42578125" style="227" customWidth="1"/>
    <col min="4102" max="4102" width="5.140625" style="227" customWidth="1"/>
    <col min="4103" max="4104" width="16.42578125" style="227" customWidth="1"/>
    <col min="4105" max="4105" width="8" style="227" customWidth="1"/>
    <col min="4106" max="4107" width="16.42578125" style="227" customWidth="1"/>
    <col min="4108" max="4352" width="9.140625" style="227"/>
    <col min="4353" max="4353" width="3" style="227" customWidth="1"/>
    <col min="4354" max="4354" width="36.85546875" style="227" customWidth="1"/>
    <col min="4355" max="4355" width="7.28515625" style="227" customWidth="1"/>
    <col min="4356" max="4357" width="16.42578125" style="227" customWidth="1"/>
    <col min="4358" max="4358" width="5.140625" style="227" customWidth="1"/>
    <col min="4359" max="4360" width="16.42578125" style="227" customWidth="1"/>
    <col min="4361" max="4361" width="8" style="227" customWidth="1"/>
    <col min="4362" max="4363" width="16.42578125" style="227" customWidth="1"/>
    <col min="4364" max="4608" width="9.140625" style="227"/>
    <col min="4609" max="4609" width="3" style="227" customWidth="1"/>
    <col min="4610" max="4610" width="36.85546875" style="227" customWidth="1"/>
    <col min="4611" max="4611" width="7.28515625" style="227" customWidth="1"/>
    <col min="4612" max="4613" width="16.42578125" style="227" customWidth="1"/>
    <col min="4614" max="4614" width="5.140625" style="227" customWidth="1"/>
    <col min="4615" max="4616" width="16.42578125" style="227" customWidth="1"/>
    <col min="4617" max="4617" width="8" style="227" customWidth="1"/>
    <col min="4618" max="4619" width="16.42578125" style="227" customWidth="1"/>
    <col min="4620" max="4864" width="9.140625" style="227"/>
    <col min="4865" max="4865" width="3" style="227" customWidth="1"/>
    <col min="4866" max="4866" width="36.85546875" style="227" customWidth="1"/>
    <col min="4867" max="4867" width="7.28515625" style="227" customWidth="1"/>
    <col min="4868" max="4869" width="16.42578125" style="227" customWidth="1"/>
    <col min="4870" max="4870" width="5.140625" style="227" customWidth="1"/>
    <col min="4871" max="4872" width="16.42578125" style="227" customWidth="1"/>
    <col min="4873" max="4873" width="8" style="227" customWidth="1"/>
    <col min="4874" max="4875" width="16.42578125" style="227" customWidth="1"/>
    <col min="4876" max="5120" width="9.140625" style="227"/>
    <col min="5121" max="5121" width="3" style="227" customWidth="1"/>
    <col min="5122" max="5122" width="36.85546875" style="227" customWidth="1"/>
    <col min="5123" max="5123" width="7.28515625" style="227" customWidth="1"/>
    <col min="5124" max="5125" width="16.42578125" style="227" customWidth="1"/>
    <col min="5126" max="5126" width="5.140625" style="227" customWidth="1"/>
    <col min="5127" max="5128" width="16.42578125" style="227" customWidth="1"/>
    <col min="5129" max="5129" width="8" style="227" customWidth="1"/>
    <col min="5130" max="5131" width="16.42578125" style="227" customWidth="1"/>
    <col min="5132" max="5376" width="9.140625" style="227"/>
    <col min="5377" max="5377" width="3" style="227" customWidth="1"/>
    <col min="5378" max="5378" width="36.85546875" style="227" customWidth="1"/>
    <col min="5379" max="5379" width="7.28515625" style="227" customWidth="1"/>
    <col min="5380" max="5381" width="16.42578125" style="227" customWidth="1"/>
    <col min="5382" max="5382" width="5.140625" style="227" customWidth="1"/>
    <col min="5383" max="5384" width="16.42578125" style="227" customWidth="1"/>
    <col min="5385" max="5385" width="8" style="227" customWidth="1"/>
    <col min="5386" max="5387" width="16.42578125" style="227" customWidth="1"/>
    <col min="5388" max="5632" width="9.140625" style="227"/>
    <col min="5633" max="5633" width="3" style="227" customWidth="1"/>
    <col min="5634" max="5634" width="36.85546875" style="227" customWidth="1"/>
    <col min="5635" max="5635" width="7.28515625" style="227" customWidth="1"/>
    <col min="5636" max="5637" width="16.42578125" style="227" customWidth="1"/>
    <col min="5638" max="5638" width="5.140625" style="227" customWidth="1"/>
    <col min="5639" max="5640" width="16.42578125" style="227" customWidth="1"/>
    <col min="5641" max="5641" width="8" style="227" customWidth="1"/>
    <col min="5642" max="5643" width="16.42578125" style="227" customWidth="1"/>
    <col min="5644" max="5888" width="9.140625" style="227"/>
    <col min="5889" max="5889" width="3" style="227" customWidth="1"/>
    <col min="5890" max="5890" width="36.85546875" style="227" customWidth="1"/>
    <col min="5891" max="5891" width="7.28515625" style="227" customWidth="1"/>
    <col min="5892" max="5893" width="16.42578125" style="227" customWidth="1"/>
    <col min="5894" max="5894" width="5.140625" style="227" customWidth="1"/>
    <col min="5895" max="5896" width="16.42578125" style="227" customWidth="1"/>
    <col min="5897" max="5897" width="8" style="227" customWidth="1"/>
    <col min="5898" max="5899" width="16.42578125" style="227" customWidth="1"/>
    <col min="5900" max="6144" width="9.140625" style="227"/>
    <col min="6145" max="6145" width="3" style="227" customWidth="1"/>
    <col min="6146" max="6146" width="36.85546875" style="227" customWidth="1"/>
    <col min="6147" max="6147" width="7.28515625" style="227" customWidth="1"/>
    <col min="6148" max="6149" width="16.42578125" style="227" customWidth="1"/>
    <col min="6150" max="6150" width="5.140625" style="227" customWidth="1"/>
    <col min="6151" max="6152" width="16.42578125" style="227" customWidth="1"/>
    <col min="6153" max="6153" width="8" style="227" customWidth="1"/>
    <col min="6154" max="6155" width="16.42578125" style="227" customWidth="1"/>
    <col min="6156" max="6400" width="9.140625" style="227"/>
    <col min="6401" max="6401" width="3" style="227" customWidth="1"/>
    <col min="6402" max="6402" width="36.85546875" style="227" customWidth="1"/>
    <col min="6403" max="6403" width="7.28515625" style="227" customWidth="1"/>
    <col min="6404" max="6405" width="16.42578125" style="227" customWidth="1"/>
    <col min="6406" max="6406" width="5.140625" style="227" customWidth="1"/>
    <col min="6407" max="6408" width="16.42578125" style="227" customWidth="1"/>
    <col min="6409" max="6409" width="8" style="227" customWidth="1"/>
    <col min="6410" max="6411" width="16.42578125" style="227" customWidth="1"/>
    <col min="6412" max="6656" width="9.140625" style="227"/>
    <col min="6657" max="6657" width="3" style="227" customWidth="1"/>
    <col min="6658" max="6658" width="36.85546875" style="227" customWidth="1"/>
    <col min="6659" max="6659" width="7.28515625" style="227" customWidth="1"/>
    <col min="6660" max="6661" width="16.42578125" style="227" customWidth="1"/>
    <col min="6662" max="6662" width="5.140625" style="227" customWidth="1"/>
    <col min="6663" max="6664" width="16.42578125" style="227" customWidth="1"/>
    <col min="6665" max="6665" width="8" style="227" customWidth="1"/>
    <col min="6666" max="6667" width="16.42578125" style="227" customWidth="1"/>
    <col min="6668" max="6912" width="9.140625" style="227"/>
    <col min="6913" max="6913" width="3" style="227" customWidth="1"/>
    <col min="6914" max="6914" width="36.85546875" style="227" customWidth="1"/>
    <col min="6915" max="6915" width="7.28515625" style="227" customWidth="1"/>
    <col min="6916" max="6917" width="16.42578125" style="227" customWidth="1"/>
    <col min="6918" max="6918" width="5.140625" style="227" customWidth="1"/>
    <col min="6919" max="6920" width="16.42578125" style="227" customWidth="1"/>
    <col min="6921" max="6921" width="8" style="227" customWidth="1"/>
    <col min="6922" max="6923" width="16.42578125" style="227" customWidth="1"/>
    <col min="6924" max="7168" width="9.140625" style="227"/>
    <col min="7169" max="7169" width="3" style="227" customWidth="1"/>
    <col min="7170" max="7170" width="36.85546875" style="227" customWidth="1"/>
    <col min="7171" max="7171" width="7.28515625" style="227" customWidth="1"/>
    <col min="7172" max="7173" width="16.42578125" style="227" customWidth="1"/>
    <col min="7174" max="7174" width="5.140625" style="227" customWidth="1"/>
    <col min="7175" max="7176" width="16.42578125" style="227" customWidth="1"/>
    <col min="7177" max="7177" width="8" style="227" customWidth="1"/>
    <col min="7178" max="7179" width="16.42578125" style="227" customWidth="1"/>
    <col min="7180" max="7424" width="9.140625" style="227"/>
    <col min="7425" max="7425" width="3" style="227" customWidth="1"/>
    <col min="7426" max="7426" width="36.85546875" style="227" customWidth="1"/>
    <col min="7427" max="7427" width="7.28515625" style="227" customWidth="1"/>
    <col min="7428" max="7429" width="16.42578125" style="227" customWidth="1"/>
    <col min="7430" max="7430" width="5.140625" style="227" customWidth="1"/>
    <col min="7431" max="7432" width="16.42578125" style="227" customWidth="1"/>
    <col min="7433" max="7433" width="8" style="227" customWidth="1"/>
    <col min="7434" max="7435" width="16.42578125" style="227" customWidth="1"/>
    <col min="7436" max="7680" width="9.140625" style="227"/>
    <col min="7681" max="7681" width="3" style="227" customWidth="1"/>
    <col min="7682" max="7682" width="36.85546875" style="227" customWidth="1"/>
    <col min="7683" max="7683" width="7.28515625" style="227" customWidth="1"/>
    <col min="7684" max="7685" width="16.42578125" style="227" customWidth="1"/>
    <col min="7686" max="7686" width="5.140625" style="227" customWidth="1"/>
    <col min="7687" max="7688" width="16.42578125" style="227" customWidth="1"/>
    <col min="7689" max="7689" width="8" style="227" customWidth="1"/>
    <col min="7690" max="7691" width="16.42578125" style="227" customWidth="1"/>
    <col min="7692" max="7936" width="9.140625" style="227"/>
    <col min="7937" max="7937" width="3" style="227" customWidth="1"/>
    <col min="7938" max="7938" width="36.85546875" style="227" customWidth="1"/>
    <col min="7939" max="7939" width="7.28515625" style="227" customWidth="1"/>
    <col min="7940" max="7941" width="16.42578125" style="227" customWidth="1"/>
    <col min="7942" max="7942" width="5.140625" style="227" customWidth="1"/>
    <col min="7943" max="7944" width="16.42578125" style="227" customWidth="1"/>
    <col min="7945" max="7945" width="8" style="227" customWidth="1"/>
    <col min="7946" max="7947" width="16.42578125" style="227" customWidth="1"/>
    <col min="7948" max="8192" width="9.140625" style="227"/>
    <col min="8193" max="8193" width="3" style="227" customWidth="1"/>
    <col min="8194" max="8194" width="36.85546875" style="227" customWidth="1"/>
    <col min="8195" max="8195" width="7.28515625" style="227" customWidth="1"/>
    <col min="8196" max="8197" width="16.42578125" style="227" customWidth="1"/>
    <col min="8198" max="8198" width="5.140625" style="227" customWidth="1"/>
    <col min="8199" max="8200" width="16.42578125" style="227" customWidth="1"/>
    <col min="8201" max="8201" width="8" style="227" customWidth="1"/>
    <col min="8202" max="8203" width="16.42578125" style="227" customWidth="1"/>
    <col min="8204" max="8448" width="9.140625" style="227"/>
    <col min="8449" max="8449" width="3" style="227" customWidth="1"/>
    <col min="8450" max="8450" width="36.85546875" style="227" customWidth="1"/>
    <col min="8451" max="8451" width="7.28515625" style="227" customWidth="1"/>
    <col min="8452" max="8453" width="16.42578125" style="227" customWidth="1"/>
    <col min="8454" max="8454" width="5.140625" style="227" customWidth="1"/>
    <col min="8455" max="8456" width="16.42578125" style="227" customWidth="1"/>
    <col min="8457" max="8457" width="8" style="227" customWidth="1"/>
    <col min="8458" max="8459" width="16.42578125" style="227" customWidth="1"/>
    <col min="8460" max="8704" width="9.140625" style="227"/>
    <col min="8705" max="8705" width="3" style="227" customWidth="1"/>
    <col min="8706" max="8706" width="36.85546875" style="227" customWidth="1"/>
    <col min="8707" max="8707" width="7.28515625" style="227" customWidth="1"/>
    <col min="8708" max="8709" width="16.42578125" style="227" customWidth="1"/>
    <col min="8710" max="8710" width="5.140625" style="227" customWidth="1"/>
    <col min="8711" max="8712" width="16.42578125" style="227" customWidth="1"/>
    <col min="8713" max="8713" width="8" style="227" customWidth="1"/>
    <col min="8714" max="8715" width="16.42578125" style="227" customWidth="1"/>
    <col min="8716" max="8960" width="9.140625" style="227"/>
    <col min="8961" max="8961" width="3" style="227" customWidth="1"/>
    <col min="8962" max="8962" width="36.85546875" style="227" customWidth="1"/>
    <col min="8963" max="8963" width="7.28515625" style="227" customWidth="1"/>
    <col min="8964" max="8965" width="16.42578125" style="227" customWidth="1"/>
    <col min="8966" max="8966" width="5.140625" style="227" customWidth="1"/>
    <col min="8967" max="8968" width="16.42578125" style="227" customWidth="1"/>
    <col min="8969" max="8969" width="8" style="227" customWidth="1"/>
    <col min="8970" max="8971" width="16.42578125" style="227" customWidth="1"/>
    <col min="8972" max="9216" width="9.140625" style="227"/>
    <col min="9217" max="9217" width="3" style="227" customWidth="1"/>
    <col min="9218" max="9218" width="36.85546875" style="227" customWidth="1"/>
    <col min="9219" max="9219" width="7.28515625" style="227" customWidth="1"/>
    <col min="9220" max="9221" width="16.42578125" style="227" customWidth="1"/>
    <col min="9222" max="9222" width="5.140625" style="227" customWidth="1"/>
    <col min="9223" max="9224" width="16.42578125" style="227" customWidth="1"/>
    <col min="9225" max="9225" width="8" style="227" customWidth="1"/>
    <col min="9226" max="9227" width="16.42578125" style="227" customWidth="1"/>
    <col min="9228" max="9472" width="9.140625" style="227"/>
    <col min="9473" max="9473" width="3" style="227" customWidth="1"/>
    <col min="9474" max="9474" width="36.85546875" style="227" customWidth="1"/>
    <col min="9475" max="9475" width="7.28515625" style="227" customWidth="1"/>
    <col min="9476" max="9477" width="16.42578125" style="227" customWidth="1"/>
    <col min="9478" max="9478" width="5.140625" style="227" customWidth="1"/>
    <col min="9479" max="9480" width="16.42578125" style="227" customWidth="1"/>
    <col min="9481" max="9481" width="8" style="227" customWidth="1"/>
    <col min="9482" max="9483" width="16.42578125" style="227" customWidth="1"/>
    <col min="9484" max="9728" width="9.140625" style="227"/>
    <col min="9729" max="9729" width="3" style="227" customWidth="1"/>
    <col min="9730" max="9730" width="36.85546875" style="227" customWidth="1"/>
    <col min="9731" max="9731" width="7.28515625" style="227" customWidth="1"/>
    <col min="9732" max="9733" width="16.42578125" style="227" customWidth="1"/>
    <col min="9734" max="9734" width="5.140625" style="227" customWidth="1"/>
    <col min="9735" max="9736" width="16.42578125" style="227" customWidth="1"/>
    <col min="9737" max="9737" width="8" style="227" customWidth="1"/>
    <col min="9738" max="9739" width="16.42578125" style="227" customWidth="1"/>
    <col min="9740" max="9984" width="9.140625" style="227"/>
    <col min="9985" max="9985" width="3" style="227" customWidth="1"/>
    <col min="9986" max="9986" width="36.85546875" style="227" customWidth="1"/>
    <col min="9987" max="9987" width="7.28515625" style="227" customWidth="1"/>
    <col min="9988" max="9989" width="16.42578125" style="227" customWidth="1"/>
    <col min="9990" max="9990" width="5.140625" style="227" customWidth="1"/>
    <col min="9991" max="9992" width="16.42578125" style="227" customWidth="1"/>
    <col min="9993" max="9993" width="8" style="227" customWidth="1"/>
    <col min="9994" max="9995" width="16.42578125" style="227" customWidth="1"/>
    <col min="9996" max="10240" width="9.140625" style="227"/>
    <col min="10241" max="10241" width="3" style="227" customWidth="1"/>
    <col min="10242" max="10242" width="36.85546875" style="227" customWidth="1"/>
    <col min="10243" max="10243" width="7.28515625" style="227" customWidth="1"/>
    <col min="10244" max="10245" width="16.42578125" style="227" customWidth="1"/>
    <col min="10246" max="10246" width="5.140625" style="227" customWidth="1"/>
    <col min="10247" max="10248" width="16.42578125" style="227" customWidth="1"/>
    <col min="10249" max="10249" width="8" style="227" customWidth="1"/>
    <col min="10250" max="10251" width="16.42578125" style="227" customWidth="1"/>
    <col min="10252" max="10496" width="9.140625" style="227"/>
    <col min="10497" max="10497" width="3" style="227" customWidth="1"/>
    <col min="10498" max="10498" width="36.85546875" style="227" customWidth="1"/>
    <col min="10499" max="10499" width="7.28515625" style="227" customWidth="1"/>
    <col min="10500" max="10501" width="16.42578125" style="227" customWidth="1"/>
    <col min="10502" max="10502" width="5.140625" style="227" customWidth="1"/>
    <col min="10503" max="10504" width="16.42578125" style="227" customWidth="1"/>
    <col min="10505" max="10505" width="8" style="227" customWidth="1"/>
    <col min="10506" max="10507" width="16.42578125" style="227" customWidth="1"/>
    <col min="10508" max="10752" width="9.140625" style="227"/>
    <col min="10753" max="10753" width="3" style="227" customWidth="1"/>
    <col min="10754" max="10754" width="36.85546875" style="227" customWidth="1"/>
    <col min="10755" max="10755" width="7.28515625" style="227" customWidth="1"/>
    <col min="10756" max="10757" width="16.42578125" style="227" customWidth="1"/>
    <col min="10758" max="10758" width="5.140625" style="227" customWidth="1"/>
    <col min="10759" max="10760" width="16.42578125" style="227" customWidth="1"/>
    <col min="10761" max="10761" width="8" style="227" customWidth="1"/>
    <col min="10762" max="10763" width="16.42578125" style="227" customWidth="1"/>
    <col min="10764" max="11008" width="9.140625" style="227"/>
    <col min="11009" max="11009" width="3" style="227" customWidth="1"/>
    <col min="11010" max="11010" width="36.85546875" style="227" customWidth="1"/>
    <col min="11011" max="11011" width="7.28515625" style="227" customWidth="1"/>
    <col min="11012" max="11013" width="16.42578125" style="227" customWidth="1"/>
    <col min="11014" max="11014" width="5.140625" style="227" customWidth="1"/>
    <col min="11015" max="11016" width="16.42578125" style="227" customWidth="1"/>
    <col min="11017" max="11017" width="8" style="227" customWidth="1"/>
    <col min="11018" max="11019" width="16.42578125" style="227" customWidth="1"/>
    <col min="11020" max="11264" width="9.140625" style="227"/>
    <col min="11265" max="11265" width="3" style="227" customWidth="1"/>
    <col min="11266" max="11266" width="36.85546875" style="227" customWidth="1"/>
    <col min="11267" max="11267" width="7.28515625" style="227" customWidth="1"/>
    <col min="11268" max="11269" width="16.42578125" style="227" customWidth="1"/>
    <col min="11270" max="11270" width="5.140625" style="227" customWidth="1"/>
    <col min="11271" max="11272" width="16.42578125" style="227" customWidth="1"/>
    <col min="11273" max="11273" width="8" style="227" customWidth="1"/>
    <col min="11274" max="11275" width="16.42578125" style="227" customWidth="1"/>
    <col min="11276" max="11520" width="9.140625" style="227"/>
    <col min="11521" max="11521" width="3" style="227" customWidth="1"/>
    <col min="11522" max="11522" width="36.85546875" style="227" customWidth="1"/>
    <col min="11523" max="11523" width="7.28515625" style="227" customWidth="1"/>
    <col min="11524" max="11525" width="16.42578125" style="227" customWidth="1"/>
    <col min="11526" max="11526" width="5.140625" style="227" customWidth="1"/>
    <col min="11527" max="11528" width="16.42578125" style="227" customWidth="1"/>
    <col min="11529" max="11529" width="8" style="227" customWidth="1"/>
    <col min="11530" max="11531" width="16.42578125" style="227" customWidth="1"/>
    <col min="11532" max="11776" width="9.140625" style="227"/>
    <col min="11777" max="11777" width="3" style="227" customWidth="1"/>
    <col min="11778" max="11778" width="36.85546875" style="227" customWidth="1"/>
    <col min="11779" max="11779" width="7.28515625" style="227" customWidth="1"/>
    <col min="11780" max="11781" width="16.42578125" style="227" customWidth="1"/>
    <col min="11782" max="11782" width="5.140625" style="227" customWidth="1"/>
    <col min="11783" max="11784" width="16.42578125" style="227" customWidth="1"/>
    <col min="11785" max="11785" width="8" style="227" customWidth="1"/>
    <col min="11786" max="11787" width="16.42578125" style="227" customWidth="1"/>
    <col min="11788" max="12032" width="9.140625" style="227"/>
    <col min="12033" max="12033" width="3" style="227" customWidth="1"/>
    <col min="12034" max="12034" width="36.85546875" style="227" customWidth="1"/>
    <col min="12035" max="12035" width="7.28515625" style="227" customWidth="1"/>
    <col min="12036" max="12037" width="16.42578125" style="227" customWidth="1"/>
    <col min="12038" max="12038" width="5.140625" style="227" customWidth="1"/>
    <col min="12039" max="12040" width="16.42578125" style="227" customWidth="1"/>
    <col min="12041" max="12041" width="8" style="227" customWidth="1"/>
    <col min="12042" max="12043" width="16.42578125" style="227" customWidth="1"/>
    <col min="12044" max="12288" width="9.140625" style="227"/>
    <col min="12289" max="12289" width="3" style="227" customWidth="1"/>
    <col min="12290" max="12290" width="36.85546875" style="227" customWidth="1"/>
    <col min="12291" max="12291" width="7.28515625" style="227" customWidth="1"/>
    <col min="12292" max="12293" width="16.42578125" style="227" customWidth="1"/>
    <col min="12294" max="12294" width="5.140625" style="227" customWidth="1"/>
    <col min="12295" max="12296" width="16.42578125" style="227" customWidth="1"/>
    <col min="12297" max="12297" width="8" style="227" customWidth="1"/>
    <col min="12298" max="12299" width="16.42578125" style="227" customWidth="1"/>
    <col min="12300" max="12544" width="9.140625" style="227"/>
    <col min="12545" max="12545" width="3" style="227" customWidth="1"/>
    <col min="12546" max="12546" width="36.85546875" style="227" customWidth="1"/>
    <col min="12547" max="12547" width="7.28515625" style="227" customWidth="1"/>
    <col min="12548" max="12549" width="16.42578125" style="227" customWidth="1"/>
    <col min="12550" max="12550" width="5.140625" style="227" customWidth="1"/>
    <col min="12551" max="12552" width="16.42578125" style="227" customWidth="1"/>
    <col min="12553" max="12553" width="8" style="227" customWidth="1"/>
    <col min="12554" max="12555" width="16.42578125" style="227" customWidth="1"/>
    <col min="12556" max="12800" width="9.140625" style="227"/>
    <col min="12801" max="12801" width="3" style="227" customWidth="1"/>
    <col min="12802" max="12802" width="36.85546875" style="227" customWidth="1"/>
    <col min="12803" max="12803" width="7.28515625" style="227" customWidth="1"/>
    <col min="12804" max="12805" width="16.42578125" style="227" customWidth="1"/>
    <col min="12806" max="12806" width="5.140625" style="227" customWidth="1"/>
    <col min="12807" max="12808" width="16.42578125" style="227" customWidth="1"/>
    <col min="12809" max="12809" width="8" style="227" customWidth="1"/>
    <col min="12810" max="12811" width="16.42578125" style="227" customWidth="1"/>
    <col min="12812" max="13056" width="9.140625" style="227"/>
    <col min="13057" max="13057" width="3" style="227" customWidth="1"/>
    <col min="13058" max="13058" width="36.85546875" style="227" customWidth="1"/>
    <col min="13059" max="13059" width="7.28515625" style="227" customWidth="1"/>
    <col min="13060" max="13061" width="16.42578125" style="227" customWidth="1"/>
    <col min="13062" max="13062" width="5.140625" style="227" customWidth="1"/>
    <col min="13063" max="13064" width="16.42578125" style="227" customWidth="1"/>
    <col min="13065" max="13065" width="8" style="227" customWidth="1"/>
    <col min="13066" max="13067" width="16.42578125" style="227" customWidth="1"/>
    <col min="13068" max="13312" width="9.140625" style="227"/>
    <col min="13313" max="13313" width="3" style="227" customWidth="1"/>
    <col min="13314" max="13314" width="36.85546875" style="227" customWidth="1"/>
    <col min="13315" max="13315" width="7.28515625" style="227" customWidth="1"/>
    <col min="13316" max="13317" width="16.42578125" style="227" customWidth="1"/>
    <col min="13318" max="13318" width="5.140625" style="227" customWidth="1"/>
    <col min="13319" max="13320" width="16.42578125" style="227" customWidth="1"/>
    <col min="13321" max="13321" width="8" style="227" customWidth="1"/>
    <col min="13322" max="13323" width="16.42578125" style="227" customWidth="1"/>
    <col min="13324" max="13568" width="9.140625" style="227"/>
    <col min="13569" max="13569" width="3" style="227" customWidth="1"/>
    <col min="13570" max="13570" width="36.85546875" style="227" customWidth="1"/>
    <col min="13571" max="13571" width="7.28515625" style="227" customWidth="1"/>
    <col min="13572" max="13573" width="16.42578125" style="227" customWidth="1"/>
    <col min="13574" max="13574" width="5.140625" style="227" customWidth="1"/>
    <col min="13575" max="13576" width="16.42578125" style="227" customWidth="1"/>
    <col min="13577" max="13577" width="8" style="227" customWidth="1"/>
    <col min="13578" max="13579" width="16.42578125" style="227" customWidth="1"/>
    <col min="13580" max="13824" width="9.140625" style="227"/>
    <col min="13825" max="13825" width="3" style="227" customWidth="1"/>
    <col min="13826" max="13826" width="36.85546875" style="227" customWidth="1"/>
    <col min="13827" max="13827" width="7.28515625" style="227" customWidth="1"/>
    <col min="13828" max="13829" width="16.42578125" style="227" customWidth="1"/>
    <col min="13830" max="13830" width="5.140625" style="227" customWidth="1"/>
    <col min="13831" max="13832" width="16.42578125" style="227" customWidth="1"/>
    <col min="13833" max="13833" width="8" style="227" customWidth="1"/>
    <col min="13834" max="13835" width="16.42578125" style="227" customWidth="1"/>
    <col min="13836" max="14080" width="9.140625" style="227"/>
    <col min="14081" max="14081" width="3" style="227" customWidth="1"/>
    <col min="14082" max="14082" width="36.85546875" style="227" customWidth="1"/>
    <col min="14083" max="14083" width="7.28515625" style="227" customWidth="1"/>
    <col min="14084" max="14085" width="16.42578125" style="227" customWidth="1"/>
    <col min="14086" max="14086" width="5.140625" style="227" customWidth="1"/>
    <col min="14087" max="14088" width="16.42578125" style="227" customWidth="1"/>
    <col min="14089" max="14089" width="8" style="227" customWidth="1"/>
    <col min="14090" max="14091" width="16.42578125" style="227" customWidth="1"/>
    <col min="14092" max="14336" width="9.140625" style="227"/>
    <col min="14337" max="14337" width="3" style="227" customWidth="1"/>
    <col min="14338" max="14338" width="36.85546875" style="227" customWidth="1"/>
    <col min="14339" max="14339" width="7.28515625" style="227" customWidth="1"/>
    <col min="14340" max="14341" width="16.42578125" style="227" customWidth="1"/>
    <col min="14342" max="14342" width="5.140625" style="227" customWidth="1"/>
    <col min="14343" max="14344" width="16.42578125" style="227" customWidth="1"/>
    <col min="14345" max="14345" width="8" style="227" customWidth="1"/>
    <col min="14346" max="14347" width="16.42578125" style="227" customWidth="1"/>
    <col min="14348" max="14592" width="9.140625" style="227"/>
    <col min="14593" max="14593" width="3" style="227" customWidth="1"/>
    <col min="14594" max="14594" width="36.85546875" style="227" customWidth="1"/>
    <col min="14595" max="14595" width="7.28515625" style="227" customWidth="1"/>
    <col min="14596" max="14597" width="16.42578125" style="227" customWidth="1"/>
    <col min="14598" max="14598" width="5.140625" style="227" customWidth="1"/>
    <col min="14599" max="14600" width="16.42578125" style="227" customWidth="1"/>
    <col min="14601" max="14601" width="8" style="227" customWidth="1"/>
    <col min="14602" max="14603" width="16.42578125" style="227" customWidth="1"/>
    <col min="14604" max="14848" width="9.140625" style="227"/>
    <col min="14849" max="14849" width="3" style="227" customWidth="1"/>
    <col min="14850" max="14850" width="36.85546875" style="227" customWidth="1"/>
    <col min="14851" max="14851" width="7.28515625" style="227" customWidth="1"/>
    <col min="14852" max="14853" width="16.42578125" style="227" customWidth="1"/>
    <col min="14854" max="14854" width="5.140625" style="227" customWidth="1"/>
    <col min="14855" max="14856" width="16.42578125" style="227" customWidth="1"/>
    <col min="14857" max="14857" width="8" style="227" customWidth="1"/>
    <col min="14858" max="14859" width="16.42578125" style="227" customWidth="1"/>
    <col min="14860" max="15104" width="9.140625" style="227"/>
    <col min="15105" max="15105" width="3" style="227" customWidth="1"/>
    <col min="15106" max="15106" width="36.85546875" style="227" customWidth="1"/>
    <col min="15107" max="15107" width="7.28515625" style="227" customWidth="1"/>
    <col min="15108" max="15109" width="16.42578125" style="227" customWidth="1"/>
    <col min="15110" max="15110" width="5.140625" style="227" customWidth="1"/>
    <col min="15111" max="15112" width="16.42578125" style="227" customWidth="1"/>
    <col min="15113" max="15113" width="8" style="227" customWidth="1"/>
    <col min="15114" max="15115" width="16.42578125" style="227" customWidth="1"/>
    <col min="15116" max="15360" width="9.140625" style="227"/>
    <col min="15361" max="15361" width="3" style="227" customWidth="1"/>
    <col min="15362" max="15362" width="36.85546875" style="227" customWidth="1"/>
    <col min="15363" max="15363" width="7.28515625" style="227" customWidth="1"/>
    <col min="15364" max="15365" width="16.42578125" style="227" customWidth="1"/>
    <col min="15366" max="15366" width="5.140625" style="227" customWidth="1"/>
    <col min="15367" max="15368" width="16.42578125" style="227" customWidth="1"/>
    <col min="15369" max="15369" width="8" style="227" customWidth="1"/>
    <col min="15370" max="15371" width="16.42578125" style="227" customWidth="1"/>
    <col min="15372" max="15616" width="9.140625" style="227"/>
    <col min="15617" max="15617" width="3" style="227" customWidth="1"/>
    <col min="15618" max="15618" width="36.85546875" style="227" customWidth="1"/>
    <col min="15619" max="15619" width="7.28515625" style="227" customWidth="1"/>
    <col min="15620" max="15621" width="16.42578125" style="227" customWidth="1"/>
    <col min="15622" max="15622" width="5.140625" style="227" customWidth="1"/>
    <col min="15623" max="15624" width="16.42578125" style="227" customWidth="1"/>
    <col min="15625" max="15625" width="8" style="227" customWidth="1"/>
    <col min="15626" max="15627" width="16.42578125" style="227" customWidth="1"/>
    <col min="15628" max="15872" width="9.140625" style="227"/>
    <col min="15873" max="15873" width="3" style="227" customWidth="1"/>
    <col min="15874" max="15874" width="36.85546875" style="227" customWidth="1"/>
    <col min="15875" max="15875" width="7.28515625" style="227" customWidth="1"/>
    <col min="15876" max="15877" width="16.42578125" style="227" customWidth="1"/>
    <col min="15878" max="15878" width="5.140625" style="227" customWidth="1"/>
    <col min="15879" max="15880" width="16.42578125" style="227" customWidth="1"/>
    <col min="15881" max="15881" width="8" style="227" customWidth="1"/>
    <col min="15882" max="15883" width="16.42578125" style="227" customWidth="1"/>
    <col min="15884" max="16128" width="9.140625" style="227"/>
    <col min="16129" max="16129" width="3" style="227" customWidth="1"/>
    <col min="16130" max="16130" width="36.85546875" style="227" customWidth="1"/>
    <col min="16131" max="16131" width="7.28515625" style="227" customWidth="1"/>
    <col min="16132" max="16133" width="16.42578125" style="227" customWidth="1"/>
    <col min="16134" max="16134" width="5.140625" style="227" customWidth="1"/>
    <col min="16135" max="16136" width="16.42578125" style="227" customWidth="1"/>
    <col min="16137" max="16137" width="8" style="227" customWidth="1"/>
    <col min="16138" max="16139" width="16.42578125" style="227" customWidth="1"/>
    <col min="16140" max="16384" width="9.140625" style="227"/>
  </cols>
  <sheetData>
    <row r="1" spans="1:11" ht="28.5" customHeight="1" x14ac:dyDescent="0.2">
      <c r="B1" s="73"/>
      <c r="C1" s="73"/>
      <c r="D1" s="73"/>
      <c r="E1" s="73"/>
      <c r="F1" s="73"/>
      <c r="G1" s="73"/>
      <c r="H1" s="675" t="s">
        <v>780</v>
      </c>
      <c r="I1" s="675"/>
      <c r="J1" s="675"/>
      <c r="K1" s="675"/>
    </row>
    <row r="2" spans="1:11" x14ac:dyDescent="0.2">
      <c r="A2" s="676" t="s">
        <v>781</v>
      </c>
      <c r="B2" s="676"/>
      <c r="C2" s="676"/>
      <c r="D2" s="676"/>
      <c r="E2" s="676"/>
      <c r="F2" s="676"/>
      <c r="G2" s="676"/>
      <c r="H2" s="676"/>
      <c r="I2" s="676"/>
      <c r="J2" s="676"/>
      <c r="K2" s="676"/>
    </row>
    <row r="3" spans="1:11" x14ac:dyDescent="0.2">
      <c r="A3" s="449"/>
      <c r="B3" s="449"/>
      <c r="C3" s="449"/>
      <c r="D3" s="449"/>
      <c r="E3" s="449"/>
      <c r="F3" s="449"/>
      <c r="G3" s="449"/>
      <c r="H3" s="449"/>
      <c r="I3" s="449"/>
      <c r="J3" s="449"/>
      <c r="K3" s="449"/>
    </row>
    <row r="4" spans="1:11" x14ac:dyDescent="0.2">
      <c r="A4" s="677" t="s">
        <v>782</v>
      </c>
      <c r="B4" s="677"/>
      <c r="C4" s="677"/>
      <c r="D4" s="677"/>
      <c r="E4" s="677"/>
      <c r="F4" s="677"/>
      <c r="G4" s="677"/>
      <c r="H4" s="677"/>
      <c r="I4" s="677"/>
      <c r="J4" s="677"/>
      <c r="K4" s="677"/>
    </row>
    <row r="5" spans="1:11" x14ac:dyDescent="0.2">
      <c r="A5" s="673" t="s">
        <v>778</v>
      </c>
      <c r="B5" s="673"/>
      <c r="C5" s="673"/>
      <c r="D5" s="228"/>
      <c r="E5" s="450"/>
      <c r="F5" s="229"/>
      <c r="G5" s="73"/>
      <c r="H5" s="230"/>
      <c r="I5" s="230"/>
      <c r="J5" s="630" t="s">
        <v>741</v>
      </c>
      <c r="K5" s="630"/>
    </row>
    <row r="6" spans="1:11" x14ac:dyDescent="0.2">
      <c r="A6" s="450"/>
      <c r="B6" s="73"/>
      <c r="C6" s="73"/>
      <c r="D6" s="73"/>
      <c r="E6" s="73"/>
      <c r="F6" s="73"/>
      <c r="G6" s="73"/>
      <c r="H6" s="73"/>
      <c r="I6" s="73"/>
      <c r="J6" s="630" t="s">
        <v>279</v>
      </c>
      <c r="K6" s="630"/>
    </row>
    <row r="7" spans="1:11" ht="62.25" customHeight="1" x14ac:dyDescent="0.2">
      <c r="A7" s="231"/>
      <c r="B7" s="232" t="s">
        <v>229</v>
      </c>
      <c r="C7" s="233" t="s">
        <v>783</v>
      </c>
      <c r="D7" s="233" t="s">
        <v>230</v>
      </c>
      <c r="E7" s="233" t="s">
        <v>231</v>
      </c>
      <c r="F7" s="233" t="s">
        <v>784</v>
      </c>
      <c r="G7" s="233" t="s">
        <v>232</v>
      </c>
      <c r="H7" s="233" t="s">
        <v>785</v>
      </c>
      <c r="I7" s="233" t="s">
        <v>786</v>
      </c>
      <c r="J7" s="233" t="s">
        <v>233</v>
      </c>
      <c r="K7" s="233" t="s">
        <v>234</v>
      </c>
    </row>
    <row r="8" spans="1:11" x14ac:dyDescent="0.2">
      <c r="A8" s="231" t="s">
        <v>282</v>
      </c>
      <c r="B8" s="232" t="s">
        <v>283</v>
      </c>
      <c r="C8" s="232">
        <v>1</v>
      </c>
      <c r="D8" s="232">
        <v>2</v>
      </c>
      <c r="E8" s="232">
        <v>3</v>
      </c>
      <c r="F8" s="232">
        <v>4</v>
      </c>
      <c r="G8" s="232">
        <v>5</v>
      </c>
      <c r="H8" s="232">
        <v>6</v>
      </c>
      <c r="I8" s="232">
        <v>7</v>
      </c>
      <c r="J8" s="232">
        <v>8</v>
      </c>
      <c r="K8" s="232">
        <v>9</v>
      </c>
    </row>
    <row r="9" spans="1:11" ht="14.25" customHeight="1" x14ac:dyDescent="0.2">
      <c r="A9" s="278">
        <v>1</v>
      </c>
      <c r="B9" s="279" t="str">
        <f>"Банкны харилцах, хадгаламж "</f>
        <v xml:space="preserve">Банкны харилцах, хадгаламж </v>
      </c>
      <c r="C9" s="274">
        <v>0.9</v>
      </c>
      <c r="D9" s="234">
        <f>IF(i.04144a!C9&lt;=0.9*(i.04130!$E$46-i.04130!$E$39-i.04130!$E$40),i.04144a!C9,0.9*(i.04130!$E$46-i.04130!$E$39-i.04130!$E$40))</f>
        <v>0</v>
      </c>
      <c r="E9" s="234">
        <f>i.04144a!C9-i.04144!D9</f>
        <v>0</v>
      </c>
      <c r="F9" s="275">
        <v>0.35</v>
      </c>
      <c r="G9" s="235">
        <f>i.04144a!D9</f>
        <v>0</v>
      </c>
      <c r="H9" s="235">
        <f>i.04144a!E9</f>
        <v>0</v>
      </c>
      <c r="I9" s="275">
        <v>0</v>
      </c>
      <c r="J9" s="235">
        <f>D9*I9</f>
        <v>0</v>
      </c>
      <c r="K9" s="236">
        <f>J9+H9+E9</f>
        <v>0</v>
      </c>
    </row>
    <row r="10" spans="1:11" ht="21.75" customHeight="1" x14ac:dyDescent="0.2">
      <c r="A10" s="278">
        <v>2</v>
      </c>
      <c r="B10" s="279" t="str">
        <f>"Гадаадын банкин дахь харилцах, хадгаламж, хадгаламжийн сертификат "</f>
        <v xml:space="preserve">Гадаадын банкин дахь харилцах, хадгаламж, хадгаламжийн сертификат </v>
      </c>
      <c r="C10" s="237">
        <v>0.02</v>
      </c>
      <c r="D10" s="234">
        <f>IF(i.04144a!C30&lt;=0.02*(i.04130!$E$46-i.04130!$E$39-i.04130!$E$40),i.04144a!C30,0.02*(i.04130!$E$46-i.04130!$E$39-i.04130!$E$40))</f>
        <v>0</v>
      </c>
      <c r="E10" s="234">
        <f>i.04144a!C30-i.04144!D10</f>
        <v>0</v>
      </c>
      <c r="F10" s="238">
        <v>0.01</v>
      </c>
      <c r="G10" s="235">
        <f>i.04144a!D30</f>
        <v>0</v>
      </c>
      <c r="H10" s="235">
        <f>i.04144a!E30</f>
        <v>0</v>
      </c>
      <c r="I10" s="238">
        <v>0</v>
      </c>
      <c r="J10" s="235">
        <f t="shared" ref="J10:J20" si="0">D10*I10</f>
        <v>0</v>
      </c>
      <c r="K10" s="236">
        <f>J10+H10+E10</f>
        <v>0</v>
      </c>
    </row>
    <row r="11" spans="1:11" ht="21.75" customHeight="1" x14ac:dyDescent="0.2">
      <c r="A11" s="278">
        <v>3</v>
      </c>
      <c r="B11" s="279" t="str">
        <f>"Дотоодын банк бус санхүүгийн байгууллагад итгэлцлээр байршуулсан мөнгөн хөрөнгө "</f>
        <v xml:space="preserve">Дотоодын банк бус санхүүгийн байгууллагад итгэлцлээр байршуулсан мөнгөн хөрөнгө </v>
      </c>
      <c r="C11" s="237">
        <v>0.2</v>
      </c>
      <c r="D11" s="234">
        <f>IF(i.04144a!C42&lt;=0.2*(i.04130!$E$46-i.04130!$E$39-i.04130!$E$40),i.04144a!C42,0.2*(i.04130!$E$46-i.04130!$E$39-i.04130!$E$40))</f>
        <v>0</v>
      </c>
      <c r="E11" s="234">
        <f>i.04144a!C42-i.04144!D11</f>
        <v>0</v>
      </c>
      <c r="F11" s="238">
        <v>0.05</v>
      </c>
      <c r="G11" s="235">
        <f>i.04144a!D42</f>
        <v>0</v>
      </c>
      <c r="H11" s="235">
        <f>i.04144a!E42</f>
        <v>0</v>
      </c>
      <c r="I11" s="238">
        <v>0.05</v>
      </c>
      <c r="J11" s="235">
        <f t="shared" si="0"/>
        <v>0</v>
      </c>
      <c r="K11" s="236">
        <f t="shared" ref="K11:K20" si="1">J11+H11+E11</f>
        <v>0</v>
      </c>
    </row>
    <row r="12" spans="1:11" ht="13.5" customHeight="1" x14ac:dyDescent="0.2">
      <c r="A12" s="451">
        <v>4</v>
      </c>
      <c r="B12" s="279" t="str">
        <f>"Бэлэн мөнгө "</f>
        <v xml:space="preserve">Бэлэн мөнгө </v>
      </c>
      <c r="C12" s="274">
        <v>0.02</v>
      </c>
      <c r="D12" s="234">
        <f>IF(i.04144a!C54&lt;=0.02*(i.04130!$E$46-i.04130!$E$39-i.04130!$E$40),i.04144a!C54,0.02*(i.04130!$E$46-i.04130!$E$39-i.04130!$E$40))</f>
        <v>0</v>
      </c>
      <c r="E12" s="234">
        <f>i.04144a!C54-i.04144!D12</f>
        <v>0</v>
      </c>
      <c r="F12" s="275">
        <v>0.02</v>
      </c>
      <c r="G12" s="235">
        <f>i.04144a!D54</f>
        <v>0</v>
      </c>
      <c r="H12" s="235">
        <f>i.04144a!E54</f>
        <v>0</v>
      </c>
      <c r="I12" s="275">
        <v>0</v>
      </c>
      <c r="J12" s="235">
        <f t="shared" si="0"/>
        <v>0</v>
      </c>
      <c r="K12" s="236">
        <f t="shared" si="1"/>
        <v>0</v>
      </c>
    </row>
    <row r="13" spans="1:11" x14ac:dyDescent="0.2">
      <c r="A13" s="678">
        <v>5</v>
      </c>
      <c r="B13" s="279" t="str">
        <f>"Хэвийн авлага "</f>
        <v xml:space="preserve">Хэвийн авлага </v>
      </c>
      <c r="C13" s="274">
        <v>0.2</v>
      </c>
      <c r="D13" s="234">
        <f>IF(i.04144a!C55&lt;=0.2*(i.04130!$E$46-i.04130!$E$39-i.04130!$E$40),i.04144a!C55,0.2*(i.04130!$E$46-i.04130!$E$39-i.04130!$E$40))</f>
        <v>0</v>
      </c>
      <c r="E13" s="234">
        <f>i.04144a!C55-i.04144!D13</f>
        <v>0</v>
      </c>
      <c r="F13" s="275">
        <v>0.2</v>
      </c>
      <c r="G13" s="235">
        <f>i.04144a!D55</f>
        <v>0</v>
      </c>
      <c r="H13" s="235">
        <f>i.04144a!E55</f>
        <v>0</v>
      </c>
      <c r="I13" s="275">
        <v>0</v>
      </c>
      <c r="J13" s="235">
        <f t="shared" si="0"/>
        <v>0</v>
      </c>
      <c r="K13" s="236">
        <f t="shared" si="1"/>
        <v>0</v>
      </c>
    </row>
    <row r="14" spans="1:11" x14ac:dyDescent="0.2">
      <c r="A14" s="678"/>
      <c r="B14" s="279" t="str">
        <f>"Хугацаа хэтэрсэн авлага\ "</f>
        <v xml:space="preserve">Хугацаа хэтэрсэн авлага\ </v>
      </c>
      <c r="C14" s="274">
        <v>0.15</v>
      </c>
      <c r="D14" s="234">
        <f>IF(i.04144a!C62&lt;=0.15*(i.04130!$E$46-i.04130!$E$39-i.04130!$E$40),i.04144a!C62,0.15*(i.04130!$E$46-i.04130!$E$39-i.04130!$E$40))</f>
        <v>0</v>
      </c>
      <c r="E14" s="234">
        <f>i.04144a!C62-i.04144!D14</f>
        <v>0</v>
      </c>
      <c r="F14" s="275">
        <v>0.15</v>
      </c>
      <c r="G14" s="235">
        <f>i.04144a!D62</f>
        <v>0</v>
      </c>
      <c r="H14" s="235">
        <f>i.04144a!E62</f>
        <v>0</v>
      </c>
      <c r="I14" s="275">
        <v>0.25</v>
      </c>
      <c r="J14" s="235">
        <f t="shared" si="0"/>
        <v>0</v>
      </c>
      <c r="K14" s="236">
        <f t="shared" si="1"/>
        <v>0</v>
      </c>
    </row>
    <row r="15" spans="1:11" x14ac:dyDescent="0.2">
      <c r="A15" s="678"/>
      <c r="B15" s="279" t="str">
        <f>"Хэвийн бус авлага "</f>
        <v xml:space="preserve">Хэвийн бус авлага </v>
      </c>
      <c r="C15" s="274">
        <v>0.1</v>
      </c>
      <c r="D15" s="234">
        <f>IF(i.04144a!C69&lt;=0.1*(i.04130!$E$46-i.04130!$E$39-i.04130!$E$40),i.04144a!C69,0.1*(i.04130!$E$46-i.04130!$E$39-i.04130!$E$40))</f>
        <v>0</v>
      </c>
      <c r="E15" s="234">
        <f>i.04144a!C69-i.04144!D15</f>
        <v>0</v>
      </c>
      <c r="F15" s="275">
        <v>0.1</v>
      </c>
      <c r="G15" s="235">
        <f>i.04144a!D69</f>
        <v>0</v>
      </c>
      <c r="H15" s="235">
        <f>i.04144a!E69</f>
        <v>0</v>
      </c>
      <c r="I15" s="275">
        <v>0.5</v>
      </c>
      <c r="J15" s="235">
        <f t="shared" si="0"/>
        <v>0</v>
      </c>
      <c r="K15" s="236">
        <f t="shared" si="1"/>
        <v>0</v>
      </c>
    </row>
    <row r="16" spans="1:11" x14ac:dyDescent="0.2">
      <c r="A16" s="678"/>
      <c r="B16" s="279" t="str">
        <f>"Эргэлзээтэй авлага "</f>
        <v xml:space="preserve">Эргэлзээтэй авлага </v>
      </c>
      <c r="C16" s="274">
        <v>0</v>
      </c>
      <c r="D16" s="234">
        <f>IF(i.04144a!C76&lt;=0*(i.04130!$E$46-i.04130!$E$39-i.04130!$E$40),i.04144a!C76,0*(i.04130!$E$46-i.04130!$E$39-i.04130!$E$40))</f>
        <v>0</v>
      </c>
      <c r="E16" s="234">
        <f>i.04144a!C76-i.04144!D16</f>
        <v>0</v>
      </c>
      <c r="F16" s="275">
        <v>0</v>
      </c>
      <c r="G16" s="235">
        <f>i.04144a!D76</f>
        <v>0</v>
      </c>
      <c r="H16" s="235">
        <f>i.04144a!E76</f>
        <v>0</v>
      </c>
      <c r="I16" s="275">
        <v>1</v>
      </c>
      <c r="J16" s="235">
        <f t="shared" si="0"/>
        <v>0</v>
      </c>
      <c r="K16" s="236">
        <f>+E16</f>
        <v>0</v>
      </c>
    </row>
    <row r="17" spans="1:11" x14ac:dyDescent="0.2">
      <c r="A17" s="678"/>
      <c r="B17" s="279" t="str">
        <f>"Муу авлага "</f>
        <v xml:space="preserve">Муу авлага </v>
      </c>
      <c r="C17" s="274">
        <v>0</v>
      </c>
      <c r="D17" s="234">
        <f>IF(i.04144a!C83&lt;=0*(i.04130!$E$46-i.04130!$E$39-i.04130!$E$40),i.04144a!C83,0*(i.04130!$E$46-i.04130!$E$39-i.04130!$E$40))</f>
        <v>0</v>
      </c>
      <c r="E17" s="234">
        <f>i.04144a!C83-i.04144!D17</f>
        <v>0</v>
      </c>
      <c r="F17" s="275">
        <v>0</v>
      </c>
      <c r="G17" s="235">
        <f>i.04144a!D83</f>
        <v>0</v>
      </c>
      <c r="H17" s="235">
        <f>i.04144a!E83</f>
        <v>0</v>
      </c>
      <c r="I17" s="275">
        <v>1</v>
      </c>
      <c r="J17" s="235">
        <f t="shared" si="0"/>
        <v>0</v>
      </c>
      <c r="K17" s="236">
        <f>+E17</f>
        <v>0</v>
      </c>
    </row>
    <row r="18" spans="1:11" ht="12" customHeight="1" x14ac:dyDescent="0.2">
      <c r="A18" s="278">
        <v>6</v>
      </c>
      <c r="B18" s="279" t="str">
        <f>"Банкны хадгаламжийн сертификат "</f>
        <v xml:space="preserve">Банкны хадгаламжийн сертификат </v>
      </c>
      <c r="C18" s="274">
        <v>0.5</v>
      </c>
      <c r="D18" s="234">
        <f>IF(i.04144a!C90&lt;=0.5*(i.04130!$E$46-i.04130!$E$39-i.04130!$E$40),i.04144a!C90,0.5*(i.04130!$E$46-i.04130!$E$39-i.04130!$E$40))</f>
        <v>0</v>
      </c>
      <c r="E18" s="234">
        <f>i.04144a!C90-i.04144!D18</f>
        <v>0</v>
      </c>
      <c r="F18" s="275">
        <v>0.2</v>
      </c>
      <c r="G18" s="235">
        <f>i.04144a!D90</f>
        <v>0</v>
      </c>
      <c r="H18" s="235">
        <f>i.04144a!E90</f>
        <v>0</v>
      </c>
      <c r="I18" s="275">
        <v>0</v>
      </c>
      <c r="J18" s="235">
        <f t="shared" si="0"/>
        <v>0</v>
      </c>
      <c r="K18" s="236">
        <f t="shared" si="1"/>
        <v>0</v>
      </c>
    </row>
    <row r="19" spans="1:11" ht="12" customHeight="1" x14ac:dyDescent="0.2">
      <c r="A19" s="451">
        <v>7</v>
      </c>
      <c r="B19" s="279" t="str">
        <f>"Засгийн газраас гаргасан өрийн хэрэгсэл"</f>
        <v>Засгийн газраас гаргасан өрийн хэрэгсэл</v>
      </c>
      <c r="C19" s="274">
        <v>1</v>
      </c>
      <c r="D19" s="234">
        <f>IF(i.04144a!C102&lt;=1*(i.04130!$E$46-i.04130!$E$39-i.04130!$E$40),i.04144a!C102,1*(i.04130!$E$46-i.04130!$E$39-i.04130!$E$40))</f>
        <v>0</v>
      </c>
      <c r="E19" s="234">
        <f>i.04144a!C102-i.04144!D19</f>
        <v>0</v>
      </c>
      <c r="F19" s="275">
        <v>1</v>
      </c>
      <c r="G19" s="235">
        <f>i.04144a!D102</f>
        <v>0</v>
      </c>
      <c r="H19" s="235">
        <f>i.04144a!E102</f>
        <v>0</v>
      </c>
      <c r="I19" s="275">
        <v>0</v>
      </c>
      <c r="J19" s="235">
        <f t="shared" si="0"/>
        <v>0</v>
      </c>
      <c r="K19" s="236">
        <f t="shared" si="1"/>
        <v>0</v>
      </c>
    </row>
    <row r="20" spans="1:11" ht="12" customHeight="1" x14ac:dyDescent="0.2">
      <c r="A20" s="392">
        <v>8</v>
      </c>
      <c r="B20" s="279" t="str">
        <f>"Төв банкны үнэт цаас "</f>
        <v xml:space="preserve">Төв банкны үнэт цаас </v>
      </c>
      <c r="C20" s="274">
        <v>0.6</v>
      </c>
      <c r="D20" s="234">
        <f>IF(i.04144a!C103&lt;=0.6*(i.04130!$E$46-i.04130!$E$39-i.04130!$E$40),i.04144a!C103,0.6*(i.04130!$E$46-i.04130!$E$39-i.04130!$E$40))</f>
        <v>0</v>
      </c>
      <c r="E20" s="234">
        <f>i.04144a!C103-i.04144!D20</f>
        <v>0</v>
      </c>
      <c r="F20" s="275">
        <v>0.6</v>
      </c>
      <c r="G20" s="235">
        <f>i.04144a!D103</f>
        <v>0</v>
      </c>
      <c r="H20" s="235">
        <f>i.04144a!E103</f>
        <v>0</v>
      </c>
      <c r="I20" s="275">
        <v>0</v>
      </c>
      <c r="J20" s="235">
        <f t="shared" si="0"/>
        <v>0</v>
      </c>
      <c r="K20" s="236">
        <f t="shared" si="1"/>
        <v>0</v>
      </c>
    </row>
    <row r="21" spans="1:11" x14ac:dyDescent="0.2">
      <c r="A21" s="387">
        <v>9</v>
      </c>
      <c r="B21" s="393" t="str">
        <f>"Хөрөнгөөр баталгаажсан үнэт цаас "</f>
        <v xml:space="preserve">Хөрөнгөөр баталгаажсан үнэт цаас </v>
      </c>
      <c r="C21" s="389">
        <v>0.6</v>
      </c>
      <c r="D21" s="234">
        <f>IF(i.04144a!C104&lt;=0.6*(i.04130!$E$46-i.04130!$E$39-i.04130!$E$40),i.04144a!C104,0.6*(i.04130!$E$46-i.04130!$E$39-i.04130!$E$40))</f>
        <v>0</v>
      </c>
      <c r="E21" s="234">
        <f>i.04144a!C104-i.04144!D21</f>
        <v>0</v>
      </c>
      <c r="F21" s="275">
        <v>0.2</v>
      </c>
      <c r="G21" s="235">
        <f>i.04144a!D104</f>
        <v>0</v>
      </c>
      <c r="H21" s="235">
        <f>i.04144a!E104</f>
        <v>0</v>
      </c>
      <c r="I21" s="275">
        <v>0</v>
      </c>
      <c r="J21" s="514"/>
      <c r="K21" s="236">
        <f>J21+J22+J23+J24+J25+H21+E21</f>
        <v>0</v>
      </c>
    </row>
    <row r="22" spans="1:11" x14ac:dyDescent="0.2">
      <c r="A22" s="381"/>
      <c r="B22" s="390"/>
      <c r="C22" s="383"/>
      <c r="D22" s="234"/>
      <c r="E22" s="234"/>
      <c r="F22" s="275">
        <v>0.2</v>
      </c>
      <c r="G22" s="235"/>
      <c r="H22" s="235"/>
      <c r="I22" s="275">
        <v>0.25</v>
      </c>
      <c r="J22" s="514"/>
      <c r="K22" s="235"/>
    </row>
    <row r="23" spans="1:11" x14ac:dyDescent="0.2">
      <c r="A23" s="381"/>
      <c r="B23" s="390"/>
      <c r="C23" s="383"/>
      <c r="D23" s="234"/>
      <c r="E23" s="234"/>
      <c r="F23" s="275">
        <v>0.2</v>
      </c>
      <c r="G23" s="235"/>
      <c r="H23" s="235"/>
      <c r="I23" s="275">
        <v>0.5</v>
      </c>
      <c r="J23" s="514"/>
      <c r="K23" s="236" t="str">
        <f>""</f>
        <v/>
      </c>
    </row>
    <row r="24" spans="1:11" x14ac:dyDescent="0.2">
      <c r="A24" s="381"/>
      <c r="B24" s="390"/>
      <c r="C24" s="383"/>
      <c r="D24" s="234"/>
      <c r="E24" s="234"/>
      <c r="F24" s="275">
        <v>0.2</v>
      </c>
      <c r="G24" s="235"/>
      <c r="H24" s="235"/>
      <c r="I24" s="275">
        <v>0.75</v>
      </c>
      <c r="J24" s="514"/>
      <c r="K24" s="236" t="str">
        <f>""</f>
        <v/>
      </c>
    </row>
    <row r="25" spans="1:11" x14ac:dyDescent="0.2">
      <c r="A25" s="384"/>
      <c r="B25" s="391"/>
      <c r="C25" s="386"/>
      <c r="D25" s="234"/>
      <c r="E25" s="234"/>
      <c r="F25" s="275">
        <v>0.2</v>
      </c>
      <c r="G25" s="235"/>
      <c r="H25" s="235"/>
      <c r="I25" s="275">
        <v>1</v>
      </c>
      <c r="J25" s="514"/>
      <c r="K25" s="236" t="str">
        <f>""</f>
        <v/>
      </c>
    </row>
    <row r="26" spans="1:11" x14ac:dyDescent="0.2">
      <c r="A26" s="387">
        <v>10</v>
      </c>
      <c r="B26" s="388" t="str">
        <f>"Аймаг нийслэлийн гаргасан өрийн хэрэгсэл"</f>
        <v>Аймаг нийслэлийн гаргасан өрийн хэрэгсэл</v>
      </c>
      <c r="C26" s="389">
        <v>0.6</v>
      </c>
      <c r="D26" s="234">
        <f>IF(i.04144a!C111&lt;=0.6*(i.04130!$E$46-i.04130!$E$39-i.04130!$E$40),i.04144a!C111,0.6*(i.04130!$E$46-i.04130!$E$39-i.04130!$E$40))</f>
        <v>0</v>
      </c>
      <c r="E26" s="234">
        <f>i.04144a!C111-i.04144!D26</f>
        <v>0</v>
      </c>
      <c r="F26" s="380">
        <v>0.2</v>
      </c>
      <c r="G26" s="235">
        <f>i.04144a!D111</f>
        <v>0</v>
      </c>
      <c r="H26" s="235">
        <f>i.04144a!E111</f>
        <v>0</v>
      </c>
      <c r="I26" s="275">
        <v>0</v>
      </c>
      <c r="J26" s="514"/>
      <c r="K26" s="236">
        <f>J26+J27+J28+J29+J30+H26+E26</f>
        <v>0</v>
      </c>
    </row>
    <row r="27" spans="1:11" x14ac:dyDescent="0.2">
      <c r="A27" s="381"/>
      <c r="B27" s="382"/>
      <c r="C27" s="383"/>
      <c r="D27" s="234"/>
      <c r="E27" s="234" t="str">
        <f>""</f>
        <v/>
      </c>
      <c r="F27" s="380">
        <v>0.2</v>
      </c>
      <c r="G27" s="235" t="str">
        <f>""</f>
        <v/>
      </c>
      <c r="H27" s="235" t="str">
        <f>""</f>
        <v/>
      </c>
      <c r="I27" s="275">
        <v>0.25</v>
      </c>
      <c r="J27" s="514"/>
      <c r="K27" s="236" t="str">
        <f>""</f>
        <v/>
      </c>
    </row>
    <row r="28" spans="1:11" x14ac:dyDescent="0.2">
      <c r="A28" s="381"/>
      <c r="B28" s="382"/>
      <c r="C28" s="383"/>
      <c r="D28" s="234"/>
      <c r="E28" s="234" t="str">
        <f>""</f>
        <v/>
      </c>
      <c r="F28" s="380">
        <v>0.2</v>
      </c>
      <c r="G28" s="235" t="str">
        <f>""</f>
        <v/>
      </c>
      <c r="H28" s="235" t="str">
        <f>""</f>
        <v/>
      </c>
      <c r="I28" s="275">
        <v>0.5</v>
      </c>
      <c r="J28" s="514"/>
      <c r="K28" s="236" t="str">
        <f>""</f>
        <v/>
      </c>
    </row>
    <row r="29" spans="1:11" x14ac:dyDescent="0.2">
      <c r="A29" s="381"/>
      <c r="B29" s="382"/>
      <c r="C29" s="383"/>
      <c r="D29" s="234"/>
      <c r="E29" s="234" t="str">
        <f>""</f>
        <v/>
      </c>
      <c r="F29" s="380">
        <v>0.2</v>
      </c>
      <c r="G29" s="235" t="str">
        <f>""</f>
        <v/>
      </c>
      <c r="H29" s="235" t="str">
        <f>""</f>
        <v/>
      </c>
      <c r="I29" s="275">
        <v>0.75</v>
      </c>
      <c r="J29" s="514"/>
      <c r="K29" s="236" t="str">
        <f>""</f>
        <v/>
      </c>
    </row>
    <row r="30" spans="1:11" x14ac:dyDescent="0.2">
      <c r="A30" s="384"/>
      <c r="B30" s="385"/>
      <c r="C30" s="386"/>
      <c r="D30" s="234"/>
      <c r="E30" s="234" t="str">
        <f>""</f>
        <v/>
      </c>
      <c r="F30" s="380">
        <v>0.2</v>
      </c>
      <c r="G30" s="235" t="str">
        <f>""</f>
        <v/>
      </c>
      <c r="H30" s="235" t="str">
        <f>""</f>
        <v/>
      </c>
      <c r="I30" s="275">
        <v>1</v>
      </c>
      <c r="J30" s="514"/>
      <c r="K30" s="236" t="str">
        <f>""</f>
        <v/>
      </c>
    </row>
    <row r="31" spans="1:11" x14ac:dyDescent="0.2">
      <c r="A31" s="387">
        <v>11</v>
      </c>
      <c r="B31" s="388" t="str">
        <f>"Компанийн өрийн хэрэгсэл  "</f>
        <v xml:space="preserve">Компанийн өрийн хэрэгсэл  </v>
      </c>
      <c r="C31" s="389">
        <v>0.3</v>
      </c>
      <c r="D31" s="234">
        <f>IF(i.04144a!C123&lt;=0.3*(i.04130!$E$46-i.04130!$E$39-i.04130!$E$40),i.04144a!C123,0.3*(i.04130!$E$46-i.04130!$E$39-i.04130!$E$40))</f>
        <v>0</v>
      </c>
      <c r="E31" s="234">
        <f>i.04144a!C123-i.04144!D31</f>
        <v>0</v>
      </c>
      <c r="F31" s="380">
        <v>0.1</v>
      </c>
      <c r="G31" s="235">
        <f>i.04144a!D123</f>
        <v>0</v>
      </c>
      <c r="H31" s="235">
        <f>i.04144a!E123</f>
        <v>0</v>
      </c>
      <c r="I31" s="275">
        <v>0</v>
      </c>
      <c r="J31" s="514"/>
      <c r="K31" s="236">
        <f>J31+J32+J33+J34+J35+H31+E31</f>
        <v>0</v>
      </c>
    </row>
    <row r="32" spans="1:11" x14ac:dyDescent="0.2">
      <c r="A32" s="381"/>
      <c r="B32" s="382"/>
      <c r="C32" s="383"/>
      <c r="D32" s="234"/>
      <c r="E32" s="234" t="str">
        <f>""</f>
        <v/>
      </c>
      <c r="F32" s="380">
        <v>0.1</v>
      </c>
      <c r="G32" s="235" t="str">
        <f>""</f>
        <v/>
      </c>
      <c r="H32" s="235" t="str">
        <f>""</f>
        <v/>
      </c>
      <c r="I32" s="275">
        <v>0.25</v>
      </c>
      <c r="J32" s="514"/>
      <c r="K32" s="236" t="str">
        <f>""</f>
        <v/>
      </c>
    </row>
    <row r="33" spans="1:11" x14ac:dyDescent="0.2">
      <c r="A33" s="381"/>
      <c r="B33" s="382"/>
      <c r="C33" s="383"/>
      <c r="D33" s="234"/>
      <c r="E33" s="234" t="str">
        <f>""</f>
        <v/>
      </c>
      <c r="F33" s="380">
        <v>0.1</v>
      </c>
      <c r="G33" s="235" t="str">
        <f>""</f>
        <v/>
      </c>
      <c r="H33" s="235" t="str">
        <f>""</f>
        <v/>
      </c>
      <c r="I33" s="275">
        <v>0.5</v>
      </c>
      <c r="J33" s="514"/>
      <c r="K33" s="236" t="str">
        <f>""</f>
        <v/>
      </c>
    </row>
    <row r="34" spans="1:11" x14ac:dyDescent="0.2">
      <c r="A34" s="381"/>
      <c r="B34" s="382"/>
      <c r="C34" s="383"/>
      <c r="D34" s="234"/>
      <c r="E34" s="234" t="str">
        <f>""</f>
        <v/>
      </c>
      <c r="F34" s="380">
        <v>0.1</v>
      </c>
      <c r="G34" s="235" t="str">
        <f>""</f>
        <v/>
      </c>
      <c r="H34" s="235" t="str">
        <f>""</f>
        <v/>
      </c>
      <c r="I34" s="275">
        <v>0.75</v>
      </c>
      <c r="J34" s="514"/>
      <c r="K34" s="236" t="str">
        <f>""</f>
        <v/>
      </c>
    </row>
    <row r="35" spans="1:11" x14ac:dyDescent="0.2">
      <c r="A35" s="384"/>
      <c r="B35" s="385"/>
      <c r="C35" s="386"/>
      <c r="D35" s="234"/>
      <c r="E35" s="234" t="str">
        <f>""</f>
        <v/>
      </c>
      <c r="F35" s="380">
        <v>0.1</v>
      </c>
      <c r="G35" s="235" t="str">
        <f>""</f>
        <v/>
      </c>
      <c r="H35" s="235" t="str">
        <f>""</f>
        <v/>
      </c>
      <c r="I35" s="275">
        <v>1</v>
      </c>
      <c r="J35" s="514"/>
      <c r="K35" s="236" t="str">
        <f>""</f>
        <v/>
      </c>
    </row>
    <row r="36" spans="1:11" ht="23.25" customHeight="1" x14ac:dyDescent="0.2">
      <c r="A36" s="379">
        <v>12</v>
      </c>
      <c r="B36" s="279" t="str">
        <f>"Монголын хөрөнгийн биржийн хувьцаат компанийн хувьцаа – 1 ангилал "</f>
        <v xml:space="preserve">Монголын хөрөнгийн биржийн хувьцаат компанийн хувьцаа – 1 ангилал </v>
      </c>
      <c r="C36" s="277">
        <v>0.2</v>
      </c>
      <c r="D36" s="234">
        <f>IF(i.04144a!C135&lt;=0.2*(i.04130!$E$46-i.04130!$E$39-i.04130!$E$40),i.04144a!C135,0.2*(i.04130!$E$46-i.04130!$E$39-i.04130!$E$40))</f>
        <v>0</v>
      </c>
      <c r="E36" s="234">
        <f>i.04144a!C135-i.04144!D36</f>
        <v>0</v>
      </c>
      <c r="F36" s="275">
        <v>0.05</v>
      </c>
      <c r="G36" s="235">
        <f>i.04144a!D135</f>
        <v>0</v>
      </c>
      <c r="H36" s="235">
        <f>i.04144a!E135</f>
        <v>0</v>
      </c>
      <c r="I36" s="275">
        <v>0.2</v>
      </c>
      <c r="J36" s="235">
        <f>D36*I36</f>
        <v>0</v>
      </c>
      <c r="K36" s="236">
        <f>J36+H36+E36</f>
        <v>0</v>
      </c>
    </row>
    <row r="37" spans="1:11" ht="23.25" customHeight="1" x14ac:dyDescent="0.2">
      <c r="A37" s="278">
        <v>13</v>
      </c>
      <c r="B37" s="279" t="str">
        <f>"Монголын хөрөнгийн биржийн хувьцаат компанийн хувьцаа – 2 ангилал "</f>
        <v xml:space="preserve">Монголын хөрөнгийн биржийн хувьцаат компанийн хувьцаа – 2 ангилал </v>
      </c>
      <c r="C37" s="274">
        <v>0.05</v>
      </c>
      <c r="D37" s="234">
        <f>IF(i.04144a!C147&lt;=0.05*(i.04130!$E$46-i.04130!$E$39-i.04130!$E$40),i.04144a!C147,0.05*(i.04130!$E$46-i.04130!$E$39-i.04130!$E$40))</f>
        <v>0</v>
      </c>
      <c r="E37" s="234">
        <f>i.04144a!C147-i.04144!D37</f>
        <v>0</v>
      </c>
      <c r="F37" s="275">
        <v>0.05</v>
      </c>
      <c r="G37" s="235">
        <f>i.04144a!D147</f>
        <v>0</v>
      </c>
      <c r="H37" s="235">
        <f>i.04144a!E147</f>
        <v>0</v>
      </c>
      <c r="I37" s="275">
        <v>0.3</v>
      </c>
      <c r="J37" s="235">
        <f t="shared" ref="J37:J56" si="2">D37*I37</f>
        <v>0</v>
      </c>
      <c r="K37" s="236">
        <f t="shared" ref="K37:K49" si="3">J37+H37+E37</f>
        <v>0</v>
      </c>
    </row>
    <row r="38" spans="1:11" ht="13.5" customHeight="1" x14ac:dyDescent="0.2">
      <c r="A38" s="278">
        <v>14</v>
      </c>
      <c r="B38" s="279" t="str">
        <f>"Хөрөнгө оруулалтын нээлттэй сан"</f>
        <v>Хөрөнгө оруулалтын нээлттэй сан</v>
      </c>
      <c r="C38" s="274">
        <v>0.2</v>
      </c>
      <c r="D38" s="234">
        <f>IF(i.04144a!C159&lt;=0.2*(i.04130!$E$46-i.04130!$E$39-i.04130!$E$40),i.04144a!C159,0.2*(i.04130!$E$46-i.04130!$E$39-i.04130!$E$40))</f>
        <v>0</v>
      </c>
      <c r="E38" s="234">
        <f>i.04144a!C159-i.04144!D38</f>
        <v>0</v>
      </c>
      <c r="F38" s="275">
        <v>0.1</v>
      </c>
      <c r="G38" s="235">
        <f>i.04144a!D159</f>
        <v>0</v>
      </c>
      <c r="H38" s="235">
        <f>i.04144a!E159</f>
        <v>0</v>
      </c>
      <c r="I38" s="275">
        <v>0.05</v>
      </c>
      <c r="J38" s="235">
        <f t="shared" si="2"/>
        <v>0</v>
      </c>
      <c r="K38" s="236">
        <f t="shared" si="3"/>
        <v>0</v>
      </c>
    </row>
    <row r="39" spans="1:11" ht="13.5" customHeight="1" x14ac:dyDescent="0.2">
      <c r="A39" s="278">
        <v>15</v>
      </c>
      <c r="B39" s="279" t="str">
        <f>"Хөрөнгө оруулалтын хаалттай сан "</f>
        <v xml:space="preserve">Хөрөнгө оруулалтын хаалттай сан </v>
      </c>
      <c r="C39" s="274">
        <v>0.2</v>
      </c>
      <c r="D39" s="234">
        <f>IF(i.04144a!C171&lt;=0.2*(i.04130!$E$46-i.04130!$E$39-i.04130!$E$40),i.04144a!C171,0.2*(i.04130!$E$46-i.04130!$E$39-i.04130!$E$40))</f>
        <v>0</v>
      </c>
      <c r="E39" s="234">
        <f>i.04144a!C171-i.04144!D39</f>
        <v>0</v>
      </c>
      <c r="F39" s="275">
        <v>0.1</v>
      </c>
      <c r="G39" s="235">
        <f>i.04144a!D171</f>
        <v>0</v>
      </c>
      <c r="H39" s="235">
        <f>i.04144a!E171</f>
        <v>0</v>
      </c>
      <c r="I39" s="275">
        <v>0.1</v>
      </c>
      <c r="J39" s="235">
        <f t="shared" si="2"/>
        <v>0</v>
      </c>
      <c r="K39" s="236">
        <f t="shared" si="3"/>
        <v>0</v>
      </c>
    </row>
    <row r="40" spans="1:11" ht="21.75" customHeight="1" x14ac:dyDescent="0.2">
      <c r="A40" s="278">
        <v>16</v>
      </c>
      <c r="B40" s="279" t="str">
        <f>"Гадаадын Засгийн газраас гаргасан өрийн хэрэгсэл "</f>
        <v xml:space="preserve">Гадаадын Засгийн газраас гаргасан өрийн хэрэгсэл </v>
      </c>
      <c r="C40" s="274">
        <v>0.02</v>
      </c>
      <c r="D40" s="234">
        <f>IF(i.04144a!C183&lt;=0.02*(i.04130!$E$46-i.04130!$E$39-i.04130!$E$40),i.04144a!C183,0.02*(i.04130!$E$46-i.04130!$E$39-i.04130!$E$40))</f>
        <v>0</v>
      </c>
      <c r="E40" s="234">
        <f>i.04144a!C183-i.04144!D40</f>
        <v>0</v>
      </c>
      <c r="F40" s="275">
        <v>0.01</v>
      </c>
      <c r="G40" s="235">
        <f>i.04144a!D183</f>
        <v>0</v>
      </c>
      <c r="H40" s="235">
        <f>i.04144a!E183</f>
        <v>0</v>
      </c>
      <c r="I40" s="275">
        <v>0</v>
      </c>
      <c r="J40" s="235">
        <f t="shared" si="2"/>
        <v>0</v>
      </c>
      <c r="K40" s="236">
        <f t="shared" si="3"/>
        <v>0</v>
      </c>
    </row>
    <row r="41" spans="1:11" ht="17.25" customHeight="1" x14ac:dyDescent="0.2">
      <c r="A41" s="278">
        <v>17</v>
      </c>
      <c r="B41" s="279" t="str">
        <f>"Гадаадын Төв банкны үнэт цаас "</f>
        <v xml:space="preserve">Гадаадын Төв банкны үнэт цаас </v>
      </c>
      <c r="C41" s="274">
        <v>0.02</v>
      </c>
      <c r="D41" s="234">
        <f>IF(i.04144a!C195&lt;=0.02*(i.04130!$E$46-i.04130!$E$39-i.04130!$E$40),i.04144a!C195,0.02*(i.04130!$E$46-i.04130!$E$39-i.04130!$E$40))</f>
        <v>0</v>
      </c>
      <c r="E41" s="234">
        <f>i.04144a!C195-i.04144!D41</f>
        <v>0</v>
      </c>
      <c r="F41" s="275">
        <v>0.01</v>
      </c>
      <c r="G41" s="235">
        <f>i.04144a!D195</f>
        <v>0</v>
      </c>
      <c r="H41" s="235">
        <f>i.04144a!E195</f>
        <v>0</v>
      </c>
      <c r="I41" s="275">
        <v>0</v>
      </c>
      <c r="J41" s="235">
        <f t="shared" si="2"/>
        <v>0</v>
      </c>
      <c r="K41" s="236">
        <f t="shared" si="3"/>
        <v>0</v>
      </c>
    </row>
    <row r="42" spans="1:11" ht="17.25" customHeight="1" x14ac:dyDescent="0.2">
      <c r="A42" s="278">
        <v>18</v>
      </c>
      <c r="B42" s="279" t="str">
        <f>"Гадаадын компанийн өрийн хэрэгсэл "</f>
        <v xml:space="preserve">Гадаадын компанийн өрийн хэрэгсэл </v>
      </c>
      <c r="C42" s="274">
        <v>0.01</v>
      </c>
      <c r="D42" s="234">
        <f>IF(i.04144a!C207&lt;=0.01*(i.04130!$E$46-i.04130!$E$39-i.04130!$E$40),i.04144a!C207,0.01*(i.04130!$E$46-i.04130!$E$39-i.04130!$E$40))</f>
        <v>0</v>
      </c>
      <c r="E42" s="234">
        <f>i.04144a!C207-i.04144!D42</f>
        <v>0</v>
      </c>
      <c r="F42" s="275">
        <v>5.0000000000000001E-3</v>
      </c>
      <c r="G42" s="235">
        <f>i.04144a!D207</f>
        <v>0</v>
      </c>
      <c r="H42" s="235">
        <f>i.04144a!E207</f>
        <v>0</v>
      </c>
      <c r="I42" s="275">
        <v>0.3</v>
      </c>
      <c r="J42" s="235">
        <f t="shared" si="2"/>
        <v>0</v>
      </c>
      <c r="K42" s="236">
        <f t="shared" si="3"/>
        <v>0</v>
      </c>
    </row>
    <row r="43" spans="1:11" ht="17.25" customHeight="1" x14ac:dyDescent="0.2">
      <c r="A43" s="278">
        <v>19</v>
      </c>
      <c r="B43" s="279" t="str">
        <f>"Гадаадын компанийн хувьцаа "</f>
        <v xml:space="preserve">Гадаадын компанийн хувьцаа </v>
      </c>
      <c r="C43" s="274">
        <v>0.01</v>
      </c>
      <c r="D43" s="234">
        <f>IF(i.04144a!C219&lt;=0.01*(i.04130!$E$46-i.04130!$E$39-i.04130!$E$40),i.04144a!C219,0.01*(i.04130!$E$46-i.04130!$E$39-i.04130!$E$40))</f>
        <v>0</v>
      </c>
      <c r="E43" s="234">
        <f>i.04144a!C219-i.04144!D43</f>
        <v>0</v>
      </c>
      <c r="F43" s="275">
        <v>5.0000000000000001E-3</v>
      </c>
      <c r="G43" s="235">
        <f>i.04144a!D219</f>
        <v>0</v>
      </c>
      <c r="H43" s="235">
        <f>i.04144a!E219</f>
        <v>0</v>
      </c>
      <c r="I43" s="275">
        <v>0.5</v>
      </c>
      <c r="J43" s="235">
        <f t="shared" si="2"/>
        <v>0</v>
      </c>
      <c r="K43" s="236">
        <f t="shared" si="3"/>
        <v>0</v>
      </c>
    </row>
    <row r="44" spans="1:11" ht="15.75" customHeight="1" x14ac:dyDescent="0.2">
      <c r="A44" s="448">
        <v>20</v>
      </c>
      <c r="B44" s="279" t="str">
        <f>"Давхар даатгалын хойшлогдсон хураамж "</f>
        <v xml:space="preserve">Давхар даатгалын хойшлогдсон хураамж </v>
      </c>
      <c r="C44" s="274">
        <v>1</v>
      </c>
      <c r="D44" s="234">
        <f>IF(i.04144a!C231&lt;=1*i.04130!E46,i.04144a!C231,1*i.04130!E46)</f>
        <v>0</v>
      </c>
      <c r="E44" s="234">
        <f>i.04144a!C231-i.04144!D44</f>
        <v>0</v>
      </c>
      <c r="F44" s="275">
        <v>1</v>
      </c>
      <c r="G44" s="235">
        <f>i.04144a!D231</f>
        <v>0</v>
      </c>
      <c r="H44" s="235">
        <f>i.04144a!E231</f>
        <v>0</v>
      </c>
      <c r="I44" s="275">
        <v>0</v>
      </c>
      <c r="J44" s="235">
        <f t="shared" si="2"/>
        <v>0</v>
      </c>
      <c r="K44" s="236">
        <f t="shared" si="3"/>
        <v>0</v>
      </c>
    </row>
    <row r="45" spans="1:11" ht="21.75" customHeight="1" x14ac:dyDescent="0.2">
      <c r="A45" s="448">
        <v>21</v>
      </c>
      <c r="B45" s="279" t="str">
        <f>"Нөхөн төлбөрийн нөөцийн давхар даатгагчид ногдох хэсэг "</f>
        <v xml:space="preserve">Нөхөн төлбөрийн нөөцийн давхар даатгагчид ногдох хэсэг </v>
      </c>
      <c r="C45" s="274">
        <v>1</v>
      </c>
      <c r="D45" s="234">
        <f>IF(i.04144a!C243&lt;=1*i.04130!E46,i.04144a!C243,1*i.04130!E46)</f>
        <v>0</v>
      </c>
      <c r="E45" s="234">
        <f>i.04144a!C243-i.04144!D45</f>
        <v>0</v>
      </c>
      <c r="F45" s="275">
        <v>1</v>
      </c>
      <c r="G45" s="235">
        <f>i.04144a!D243</f>
        <v>0</v>
      </c>
      <c r="H45" s="235">
        <f>i.04144a!E243</f>
        <v>0</v>
      </c>
      <c r="I45" s="275">
        <v>0</v>
      </c>
      <c r="J45" s="235">
        <f t="shared" si="2"/>
        <v>0</v>
      </c>
      <c r="K45" s="236">
        <f t="shared" si="3"/>
        <v>0</v>
      </c>
    </row>
    <row r="46" spans="1:11" ht="21.75" customHeight="1" x14ac:dyDescent="0.2">
      <c r="A46" s="278">
        <v>22</v>
      </c>
      <c r="B46" s="279" t="str">
        <f>"Даатгалын орлогын шимтгэлийн хойшлогдсон зардал "</f>
        <v xml:space="preserve">Даатгалын орлогын шимтгэлийн хойшлогдсон зардал </v>
      </c>
      <c r="C46" s="274">
        <v>0.1</v>
      </c>
      <c r="D46" s="234">
        <f>IF(i.04144a!C255&lt;=0.1*(i.04130!$E$46-i.04130!$E$39-i.04130!$E$40),i.04144a!C255,0.1*(i.04130!$E$46-i.04130!$E$39-i.04130!$E$40))</f>
        <v>0</v>
      </c>
      <c r="E46" s="234">
        <f>i.04144a!C255-i.04144!D46</f>
        <v>0</v>
      </c>
      <c r="F46" s="275">
        <v>0.05</v>
      </c>
      <c r="G46" s="235">
        <f>i.04144a!D255</f>
        <v>0</v>
      </c>
      <c r="H46" s="235">
        <f>i.04144a!E255</f>
        <v>0</v>
      </c>
      <c r="I46" s="275">
        <v>0.8</v>
      </c>
      <c r="J46" s="235">
        <f t="shared" si="2"/>
        <v>0</v>
      </c>
      <c r="K46" s="236">
        <f t="shared" si="3"/>
        <v>0</v>
      </c>
    </row>
    <row r="47" spans="1:11" x14ac:dyDescent="0.2">
      <c r="A47" s="674">
        <v>23</v>
      </c>
      <c r="B47" s="279" t="str">
        <f>"Хэвийн өмчлөх бусад хөрөнгө "</f>
        <v xml:space="preserve">Хэвийн өмчлөх бусад хөрөнгө </v>
      </c>
      <c r="C47" s="274">
        <v>0.1</v>
      </c>
      <c r="D47" s="234">
        <f>IF(i.04144a!C267&lt;=0.1*(i.04130!$E$46-i.04130!$E$39-i.04130!$E$40),i.04144a!C267,0.1*(i.04130!$E$46-i.04130!$E$39-i.04130!$E$40))</f>
        <v>0</v>
      </c>
      <c r="E47" s="234">
        <f>i.04144a!C267-i.04144!D47</f>
        <v>0</v>
      </c>
      <c r="F47" s="275">
        <v>0.05</v>
      </c>
      <c r="G47" s="235">
        <f>i.04144a!D267</f>
        <v>0</v>
      </c>
      <c r="H47" s="235">
        <f>i.04144a!E267</f>
        <v>0</v>
      </c>
      <c r="I47" s="275">
        <v>0</v>
      </c>
      <c r="J47" s="235">
        <f t="shared" si="2"/>
        <v>0</v>
      </c>
      <c r="K47" s="236">
        <f t="shared" si="3"/>
        <v>0</v>
      </c>
    </row>
    <row r="48" spans="1:11" x14ac:dyDescent="0.2">
      <c r="A48" s="674"/>
      <c r="B48" s="279" t="str">
        <f>"Хугацаа хэтэрсэн өмчлөх бусад хөрөнгө"</f>
        <v>Хугацаа хэтэрсэн өмчлөх бусад хөрөнгө</v>
      </c>
      <c r="C48" s="274">
        <v>0.05</v>
      </c>
      <c r="D48" s="234">
        <f>IF(i.04144a!C274&lt;=0.05*(i.04130!$E$46-i.04130!$E$39-i.04130!$E$40),i.04144a!C274,0.05*(i.04130!$E$46-i.04130!$E$39-i.04130!$E$40))</f>
        <v>0</v>
      </c>
      <c r="E48" s="234">
        <f>i.04144a!C274-i.04144!D48</f>
        <v>0</v>
      </c>
      <c r="F48" s="275">
        <v>2.5000000000000001E-2</v>
      </c>
      <c r="G48" s="235">
        <f>i.04144a!D274</f>
        <v>0</v>
      </c>
      <c r="H48" s="235">
        <f>i.04144a!E274</f>
        <v>0</v>
      </c>
      <c r="I48" s="275">
        <v>0.25</v>
      </c>
      <c r="J48" s="235">
        <f t="shared" si="2"/>
        <v>0</v>
      </c>
      <c r="K48" s="236">
        <f t="shared" si="3"/>
        <v>0</v>
      </c>
    </row>
    <row r="49" spans="1:11" x14ac:dyDescent="0.2">
      <c r="A49" s="674"/>
      <c r="B49" s="279" t="str">
        <f>"Хэвийн бус өмчлөх бусад хөрөнгө "</f>
        <v xml:space="preserve">Хэвийн бус өмчлөх бусад хөрөнгө </v>
      </c>
      <c r="C49" s="274">
        <v>2.5000000000000001E-2</v>
      </c>
      <c r="D49" s="234">
        <f>IF(i.04144a!C281&lt;=0.025*(i.04130!$E$46-i.04130!$E$39-i.04130!$E$40),i.04144a!C281,0.025*(i.04130!$E$46-i.04130!$E$39-i.04130!$E$40))</f>
        <v>0</v>
      </c>
      <c r="E49" s="234">
        <f>i.04144a!C281-i.04144!D49</f>
        <v>0</v>
      </c>
      <c r="F49" s="275">
        <v>2.5000000000000001E-2</v>
      </c>
      <c r="G49" s="235">
        <f>i.04144a!D281</f>
        <v>0</v>
      </c>
      <c r="H49" s="235">
        <f>i.04144a!E281</f>
        <v>0</v>
      </c>
      <c r="I49" s="275">
        <v>0.5</v>
      </c>
      <c r="J49" s="235">
        <f t="shared" si="2"/>
        <v>0</v>
      </c>
      <c r="K49" s="236">
        <f t="shared" si="3"/>
        <v>0</v>
      </c>
    </row>
    <row r="50" spans="1:11" x14ac:dyDescent="0.2">
      <c r="A50" s="674"/>
      <c r="B50" s="279" t="str">
        <f>"Эргэлзээтэй өмчлөх бусад хөрөнгө "</f>
        <v xml:space="preserve">Эргэлзээтэй өмчлөх бусад хөрөнгө </v>
      </c>
      <c r="C50" s="274">
        <v>0</v>
      </c>
      <c r="D50" s="234">
        <f>IF(i.04144a!C288&lt;=0*(i.04130!$E$46-i.04130!$E$39-i.04130!$E$40),i.04144a!C288,0*(i.04130!$E$46-i.04130!$E$39-i.04130!$E$40))</f>
        <v>0</v>
      </c>
      <c r="E50" s="234">
        <f>i.04144a!C288-i.04144!D50</f>
        <v>0</v>
      </c>
      <c r="F50" s="275">
        <v>0</v>
      </c>
      <c r="G50" s="235">
        <f>i.04144a!D288</f>
        <v>0</v>
      </c>
      <c r="H50" s="235">
        <f>i.04144a!E288</f>
        <v>0</v>
      </c>
      <c r="I50" s="275">
        <v>1</v>
      </c>
      <c r="J50" s="235">
        <f t="shared" si="2"/>
        <v>0</v>
      </c>
      <c r="K50" s="236">
        <f>E50</f>
        <v>0</v>
      </c>
    </row>
    <row r="51" spans="1:11" x14ac:dyDescent="0.2">
      <c r="A51" s="674"/>
      <c r="B51" s="279" t="str">
        <f>"Муу өмчлөх бусад хөрөнгө "</f>
        <v xml:space="preserve">Муу өмчлөх бусад хөрөнгө </v>
      </c>
      <c r="C51" s="274">
        <v>0</v>
      </c>
      <c r="D51" s="234">
        <f>IF(i.04144a!C295&lt;=0*(i.04130!$E$46-i.04130!$E$39-i.04130!$E$40),i.04144a!C295,0*(i.04130!$E$46-i.04130!$E$39-i.04130!$E$40))</f>
        <v>0</v>
      </c>
      <c r="E51" s="234">
        <f>i.04144a!C295-i.04144!D51</f>
        <v>0</v>
      </c>
      <c r="F51" s="275">
        <v>0</v>
      </c>
      <c r="G51" s="235">
        <f>i.04144a!D295</f>
        <v>0</v>
      </c>
      <c r="H51" s="235">
        <f>i.04144a!E295</f>
        <v>0</v>
      </c>
      <c r="I51" s="275">
        <v>1</v>
      </c>
      <c r="J51" s="235">
        <f t="shared" si="2"/>
        <v>0</v>
      </c>
      <c r="K51" s="236">
        <f>E51</f>
        <v>0</v>
      </c>
    </row>
    <row r="52" spans="1:11" ht="14.25" customHeight="1" x14ac:dyDescent="0.2">
      <c r="A52" s="278">
        <v>24</v>
      </c>
      <c r="B52" s="279" t="str">
        <f>"Санхүүгийн түрээс "</f>
        <v xml:space="preserve">Санхүүгийн түрээс </v>
      </c>
      <c r="C52" s="274">
        <v>0.1</v>
      </c>
      <c r="D52" s="234">
        <f>IF(i.04144a!C302&lt;=0.1*(i.04130!$E$46-i.04130!$E$39-i.04130!$E$40),i.04144a!C302,0.1*(i.04130!$E$46-i.04130!$E$39-i.04130!$E$40))</f>
        <v>0</v>
      </c>
      <c r="E52" s="234">
        <f>i.04144a!C302-i.04144!D52</f>
        <v>0</v>
      </c>
      <c r="F52" s="275">
        <v>0.05</v>
      </c>
      <c r="G52" s="235">
        <f>i.04144a!D302</f>
        <v>0</v>
      </c>
      <c r="H52" s="235">
        <f>i.04144a!E302</f>
        <v>0</v>
      </c>
      <c r="I52" s="275">
        <v>0.05</v>
      </c>
      <c r="J52" s="235">
        <f t="shared" si="2"/>
        <v>0</v>
      </c>
      <c r="K52" s="236">
        <f>J52+H52+E52</f>
        <v>0</v>
      </c>
    </row>
    <row r="53" spans="1:11" ht="14.25" customHeight="1" x14ac:dyDescent="0.2">
      <c r="A53" s="448">
        <v>25</v>
      </c>
      <c r="B53" s="279" t="str">
        <f>"Үл хөдлөх хөрөнгө "</f>
        <v xml:space="preserve">Үл хөдлөх хөрөнгө </v>
      </c>
      <c r="C53" s="274">
        <v>0.25</v>
      </c>
      <c r="D53" s="234">
        <f>IF(i.04144a!C314&lt;=0.25*(i.04130!$E$46-i.04130!$E$39-i.04130!$E$40),i.04144a!C314,0.25*(i.04130!$E$46-i.04130!$E$39-i.04130!$E$40))</f>
        <v>0</v>
      </c>
      <c r="E53" s="234">
        <f>i.04144a!C314-i.04144!D53</f>
        <v>0</v>
      </c>
      <c r="F53" s="275">
        <v>0.25</v>
      </c>
      <c r="G53" s="235">
        <f>i.04144a!D314</f>
        <v>0</v>
      </c>
      <c r="H53" s="235">
        <f>i.04144a!E314</f>
        <v>0</v>
      </c>
      <c r="I53" s="275">
        <v>0.05</v>
      </c>
      <c r="J53" s="235">
        <f t="shared" si="2"/>
        <v>0</v>
      </c>
      <c r="K53" s="236">
        <f>J53+H53+E53</f>
        <v>0</v>
      </c>
    </row>
    <row r="54" spans="1:11" ht="14.25" customHeight="1" x14ac:dyDescent="0.2">
      <c r="A54" s="448">
        <v>26</v>
      </c>
      <c r="B54" s="279" t="str">
        <f>"Хөдлөх хөрөнгө "</f>
        <v xml:space="preserve">Хөдлөх хөрөнгө </v>
      </c>
      <c r="C54" s="274">
        <v>0.1</v>
      </c>
      <c r="D54" s="234">
        <f>IF(i.04144a!C326&lt;=0.1*(i.04130!$E$46-i.04130!$E$39-i.04130!$E$40),i.04144a!C326,0.1*(i.04130!$E$46-i.04130!$E$39-i.04130!$E$40))</f>
        <v>0</v>
      </c>
      <c r="E54" s="234">
        <f>i.04144a!C326-i.04144!D54</f>
        <v>0</v>
      </c>
      <c r="F54" s="275">
        <v>0.05</v>
      </c>
      <c r="G54" s="235">
        <f>i.04144a!D326</f>
        <v>0</v>
      </c>
      <c r="H54" s="235">
        <f>i.04144a!E326</f>
        <v>0</v>
      </c>
      <c r="I54" s="275">
        <v>0.7</v>
      </c>
      <c r="J54" s="235">
        <f t="shared" si="2"/>
        <v>0</v>
      </c>
      <c r="K54" s="236">
        <f>J54+H54+E54</f>
        <v>0</v>
      </c>
    </row>
    <row r="55" spans="1:11" ht="22.5" customHeight="1" x14ac:dyDescent="0.2">
      <c r="A55" s="448">
        <v>27</v>
      </c>
      <c r="B55" s="279" t="str">
        <f>"Даатгалын үндсэн үйл ажиллагаанд зориулан авсан биет бус хөрөнгө "</f>
        <v xml:space="preserve">Даатгалын үндсэн үйл ажиллагаанд зориулан авсан биет бус хөрөнгө </v>
      </c>
      <c r="C55" s="274">
        <v>0.1</v>
      </c>
      <c r="D55" s="234">
        <f>IF(i.04144a!C338&lt;=0.1*(i.04130!$E$46-i.04130!$E$39-i.04130!$E$40),i.04144a!C338,0.1*(i.04130!$E$46-i.04130!$E$39-i.04130!$E$40))</f>
        <v>0</v>
      </c>
      <c r="E55" s="234">
        <f>i.04144a!C338-i.04144!D55</f>
        <v>0</v>
      </c>
      <c r="F55" s="275">
        <v>0.1</v>
      </c>
      <c r="G55" s="235">
        <f>i.04144a!D338</f>
        <v>0</v>
      </c>
      <c r="H55" s="235">
        <f>i.04144a!E338</f>
        <v>0</v>
      </c>
      <c r="I55" s="275">
        <v>0.7</v>
      </c>
      <c r="J55" s="235">
        <f t="shared" si="2"/>
        <v>0</v>
      </c>
      <c r="K55" s="236">
        <f>J55+H55+E55</f>
        <v>0</v>
      </c>
    </row>
    <row r="56" spans="1:11" ht="17.25" customHeight="1" x14ac:dyDescent="0.2">
      <c r="A56" s="451">
        <v>28</v>
      </c>
      <c r="B56" s="279" t="str">
        <f>"Бусад хөрөнгө  "</f>
        <v xml:space="preserve">Бусад хөрөнгө  </v>
      </c>
      <c r="C56" s="274">
        <v>0</v>
      </c>
      <c r="D56" s="234">
        <f>IF(i.04144a!C350&lt;=0*(i.04130!$E$46-i.04130!$E$39-i.04130!$E$40),i.04144a!C350,0*(i.04130!$E$46-i.04130!$E$39-i.04130!$E$40))</f>
        <v>0</v>
      </c>
      <c r="E56" s="234">
        <f>i.04144a!C350-i.04144!D56</f>
        <v>0</v>
      </c>
      <c r="F56" s="275">
        <v>0</v>
      </c>
      <c r="G56" s="235">
        <f>i.04144a!D350</f>
        <v>0</v>
      </c>
      <c r="H56" s="235">
        <f>i.04144a!E350</f>
        <v>0</v>
      </c>
      <c r="I56" s="275">
        <v>1</v>
      </c>
      <c r="J56" s="235">
        <f t="shared" si="2"/>
        <v>0</v>
      </c>
      <c r="K56" s="236">
        <f>E56</f>
        <v>0</v>
      </c>
    </row>
    <row r="57" spans="1:11" x14ac:dyDescent="0.2">
      <c r="A57" s="239"/>
      <c r="B57" s="231" t="str">
        <f>"Нийт хөрөнгийн дүн "</f>
        <v xml:space="preserve">Нийт хөрөнгийн дүн </v>
      </c>
      <c r="C57" s="240"/>
      <c r="D57" s="241">
        <f>D9+D10+D11+D12+D13+D14+D15+D16+D17+D18+D19+D20+D21+D26+D31+D36+D37+D38+D39+D40+D41+D42+D43+D44+D45+D46+D47+D48+D49+D50+D51+D53+D54+D55+D56</f>
        <v>0</v>
      </c>
      <c r="E57" s="242">
        <f>E9+E10+E11+E12+E13+E14+E15+E16+E17+E18+E19+E20+E21+E26+E31+E36+E37+E38+E39+E40+E41+E42+E43+E44+E45+E46+E47+E48+E49+E50+E51+E53+E54+E55+E56</f>
        <v>0</v>
      </c>
      <c r="F57" s="243"/>
      <c r="G57" s="242">
        <f>G9+G10+G11+G12+G13+G14+G15+G16+G17+G18+G19+G20+G21+G26+G31+G36+G37+G38+G39+G40+G41+G42+G43+G44+G45+G46+G47+G48+G49+G50+G51+G53+G54+G55+G56</f>
        <v>0</v>
      </c>
      <c r="H57" s="242">
        <f>H9+H10+H11+H12+H13+H14+H15+H16+H17+H18+H19+H20+H21+H26+H31+H36+H37+H38+H39+H40+H41+H42+H43+H44+H45+H46+H47+H48+H49+H50+H51+H53+H54+H55+H56</f>
        <v>0</v>
      </c>
      <c r="I57" s="244"/>
      <c r="J57" s="242">
        <f>J9+J10+J11+J12+J13+J14+J15+J16+J17+J18+J19+J20+J21+J26+J31+J36+J37+J38+J39+J40+J41+J42+J43+J44+J45+J46+J47+J48+J49+J50+J51+J53+J54+J55+J56</f>
        <v>0</v>
      </c>
      <c r="K57" s="245">
        <f>K9+K10+K11+K12+K13+K14+K15+K16+K17+K18+K19+K20+K21+K26+K31+K36+K37+K38+K39+K40+K41+K42+K43+K44+K45+K46+K47+K48+K49+K50+K51+K53+K54+K55+K56</f>
        <v>0</v>
      </c>
    </row>
    <row r="58" spans="1:11" x14ac:dyDescent="0.2">
      <c r="A58" s="73"/>
      <c r="B58" s="73"/>
      <c r="C58" s="73"/>
      <c r="D58" s="73"/>
      <c r="E58" s="73"/>
      <c r="F58" s="73"/>
      <c r="G58" s="73"/>
      <c r="H58" s="73"/>
      <c r="I58" s="73"/>
      <c r="J58" s="73"/>
      <c r="K58" s="73"/>
    </row>
    <row r="59" spans="1:11" s="246" customFormat="1" x14ac:dyDescent="0.2">
      <c r="A59" s="226"/>
      <c r="B59" s="2" t="s">
        <v>285</v>
      </c>
      <c r="C59" s="447"/>
      <c r="D59" s="4"/>
      <c r="E59" s="4"/>
      <c r="F59" s="226"/>
      <c r="G59" s="226"/>
      <c r="H59" s="226"/>
      <c r="I59" s="226"/>
      <c r="J59" s="226"/>
      <c r="K59" s="226"/>
    </row>
    <row r="60" spans="1:11" s="246" customFormat="1" x14ac:dyDescent="0.2">
      <c r="A60" s="226"/>
      <c r="B60" s="5"/>
      <c r="C60" s="447"/>
      <c r="D60" s="4"/>
      <c r="E60" s="4"/>
      <c r="F60" s="226"/>
      <c r="G60" s="226"/>
      <c r="H60" s="226"/>
      <c r="I60" s="226"/>
      <c r="J60" s="226"/>
      <c r="K60" s="226"/>
    </row>
    <row r="61" spans="1:11" s="246" customFormat="1" x14ac:dyDescent="0.2">
      <c r="A61" s="226"/>
      <c r="B61" s="5" t="s">
        <v>286</v>
      </c>
      <c r="C61" s="447"/>
      <c r="D61" s="4"/>
      <c r="E61" s="4"/>
      <c r="F61" s="226"/>
      <c r="G61" s="226"/>
      <c r="H61" s="226"/>
      <c r="I61" s="226"/>
      <c r="J61" s="226"/>
      <c r="K61" s="226"/>
    </row>
    <row r="62" spans="1:11" s="246" customFormat="1" x14ac:dyDescent="0.2">
      <c r="A62" s="226"/>
      <c r="B62" s="5"/>
      <c r="C62" s="447"/>
      <c r="D62" s="4"/>
      <c r="E62" s="4"/>
      <c r="F62" s="226"/>
      <c r="G62" s="226"/>
      <c r="H62" s="226"/>
      <c r="I62" s="226"/>
      <c r="J62" s="226"/>
      <c r="K62" s="226"/>
    </row>
    <row r="63" spans="1:11" s="246" customFormat="1" x14ac:dyDescent="0.2">
      <c r="A63" s="226"/>
      <c r="B63" s="6" t="s">
        <v>287</v>
      </c>
      <c r="C63" s="576" t="s">
        <v>288</v>
      </c>
      <c r="D63" s="576"/>
      <c r="E63" s="4" t="s">
        <v>289</v>
      </c>
      <c r="F63" s="226"/>
      <c r="G63" s="226"/>
      <c r="H63" s="226"/>
      <c r="I63" s="226"/>
      <c r="J63" s="226"/>
      <c r="K63" s="226"/>
    </row>
    <row r="64" spans="1:11" s="246" customFormat="1" x14ac:dyDescent="0.2">
      <c r="A64" s="226"/>
      <c r="B64" s="5"/>
      <c r="C64" s="576"/>
      <c r="D64" s="576"/>
      <c r="E64" s="4"/>
      <c r="F64" s="226"/>
      <c r="G64" s="226"/>
      <c r="H64" s="226"/>
      <c r="I64" s="226"/>
      <c r="J64" s="226"/>
      <c r="K64" s="226"/>
    </row>
    <row r="65" spans="1:11" x14ac:dyDescent="0.2">
      <c r="A65" s="73"/>
      <c r="B65" s="6" t="s">
        <v>290</v>
      </c>
      <c r="C65" s="576" t="s">
        <v>291</v>
      </c>
      <c r="D65" s="576"/>
      <c r="E65" s="4" t="s">
        <v>292</v>
      </c>
      <c r="F65" s="73"/>
      <c r="G65" s="73"/>
      <c r="H65" s="73"/>
      <c r="I65" s="73"/>
      <c r="J65" s="73"/>
      <c r="K65" s="73"/>
    </row>
    <row r="66" spans="1:11" x14ac:dyDescent="0.2">
      <c r="A66" s="73"/>
      <c r="B66" s="5"/>
      <c r="C66" s="576"/>
      <c r="D66" s="576"/>
      <c r="E66" s="4"/>
      <c r="F66" s="73"/>
      <c r="G66" s="73"/>
      <c r="H66" s="73"/>
      <c r="I66" s="73"/>
      <c r="J66" s="73"/>
      <c r="K66" s="73"/>
    </row>
    <row r="67" spans="1:11" x14ac:dyDescent="0.2">
      <c r="A67" s="73"/>
      <c r="B67" s="6" t="s">
        <v>293</v>
      </c>
      <c r="C67" s="576" t="s">
        <v>288</v>
      </c>
      <c r="D67" s="576"/>
      <c r="E67" s="4" t="s">
        <v>292</v>
      </c>
      <c r="F67" s="73"/>
      <c r="G67" s="73"/>
      <c r="H67" s="73"/>
      <c r="I67" s="73"/>
      <c r="J67" s="73"/>
      <c r="K67" s="73"/>
    </row>
    <row r="68" spans="1:11" x14ac:dyDescent="0.2">
      <c r="A68" s="73"/>
      <c r="B68" s="73"/>
      <c r="C68" s="73"/>
      <c r="D68" s="73"/>
      <c r="E68" s="73"/>
      <c r="F68" s="73"/>
      <c r="G68" s="73"/>
      <c r="H68" s="73"/>
      <c r="I68" s="73"/>
      <c r="J68" s="73"/>
      <c r="K68" s="73"/>
    </row>
    <row r="69" spans="1:11" x14ac:dyDescent="0.2">
      <c r="A69" s="73"/>
      <c r="B69" s="73"/>
      <c r="C69" s="73"/>
      <c r="D69" s="73"/>
      <c r="E69" s="73"/>
      <c r="F69" s="73"/>
      <c r="G69" s="73"/>
      <c r="H69" s="73"/>
      <c r="I69" s="73"/>
      <c r="J69" s="73"/>
      <c r="K69" s="73"/>
    </row>
    <row r="70" spans="1:11" x14ac:dyDescent="0.2">
      <c r="A70" s="73"/>
      <c r="B70" s="73"/>
      <c r="C70" s="73"/>
      <c r="D70" s="73"/>
      <c r="E70" s="73"/>
      <c r="F70" s="73"/>
      <c r="G70" s="73"/>
      <c r="H70" s="73"/>
      <c r="I70" s="73"/>
      <c r="J70" s="73"/>
      <c r="K70" s="73"/>
    </row>
    <row r="71" spans="1:11" x14ac:dyDescent="0.2">
      <c r="A71" s="73"/>
      <c r="B71" s="73"/>
      <c r="C71" s="73"/>
      <c r="D71" s="73"/>
      <c r="E71" s="73"/>
      <c r="F71" s="73"/>
      <c r="G71" s="73"/>
      <c r="H71" s="73"/>
      <c r="I71" s="73"/>
      <c r="J71" s="73"/>
      <c r="K71" s="73"/>
    </row>
    <row r="72" spans="1:11" x14ac:dyDescent="0.2">
      <c r="A72" s="73"/>
      <c r="B72" s="73"/>
      <c r="C72" s="73"/>
      <c r="D72" s="73"/>
      <c r="E72" s="73"/>
      <c r="F72" s="73"/>
      <c r="G72" s="73"/>
      <c r="H72" s="73"/>
      <c r="I72" s="73"/>
      <c r="J72" s="73"/>
      <c r="K72" s="73"/>
    </row>
    <row r="73" spans="1:11" x14ac:dyDescent="0.2">
      <c r="A73" s="73"/>
      <c r="B73" s="73"/>
      <c r="C73" s="73"/>
      <c r="D73" s="73"/>
      <c r="E73" s="73"/>
      <c r="F73" s="73"/>
      <c r="G73" s="73"/>
      <c r="H73" s="73"/>
      <c r="I73" s="73"/>
      <c r="J73" s="73"/>
      <c r="K73" s="73"/>
    </row>
    <row r="74" spans="1:11" x14ac:dyDescent="0.2">
      <c r="A74" s="73"/>
      <c r="B74" s="73"/>
      <c r="C74" s="73"/>
      <c r="D74" s="73"/>
      <c r="E74" s="73"/>
      <c r="F74" s="73"/>
      <c r="G74" s="73"/>
      <c r="H74" s="73"/>
      <c r="I74" s="73"/>
      <c r="J74" s="73"/>
      <c r="K74" s="73"/>
    </row>
    <row r="75" spans="1:11" x14ac:dyDescent="0.2">
      <c r="A75" s="73"/>
      <c r="B75" s="73"/>
      <c r="C75" s="73"/>
      <c r="D75" s="73"/>
      <c r="E75" s="73"/>
      <c r="F75" s="73"/>
      <c r="G75" s="73"/>
      <c r="H75" s="73"/>
      <c r="I75" s="73"/>
      <c r="J75" s="73"/>
      <c r="K75" s="73"/>
    </row>
    <row r="76" spans="1:11" x14ac:dyDescent="0.2">
      <c r="A76" s="73"/>
      <c r="B76" s="73"/>
      <c r="C76" s="73"/>
      <c r="D76" s="73"/>
      <c r="E76" s="73"/>
      <c r="F76" s="73"/>
      <c r="G76" s="73"/>
      <c r="H76" s="73"/>
      <c r="I76" s="73"/>
      <c r="J76" s="73"/>
      <c r="K76" s="73"/>
    </row>
    <row r="77" spans="1:11" x14ac:dyDescent="0.2">
      <c r="A77" s="73"/>
      <c r="B77" s="73"/>
      <c r="C77" s="73"/>
      <c r="D77" s="73"/>
      <c r="E77" s="73"/>
      <c r="F77" s="73"/>
      <c r="G77" s="73"/>
      <c r="H77" s="73"/>
      <c r="I77" s="73"/>
      <c r="J77" s="73"/>
      <c r="K77" s="73"/>
    </row>
    <row r="78" spans="1:11" x14ac:dyDescent="0.2">
      <c r="A78" s="73"/>
      <c r="B78" s="73"/>
      <c r="C78" s="73"/>
      <c r="D78" s="73"/>
      <c r="E78" s="73"/>
      <c r="F78" s="73"/>
      <c r="G78" s="73"/>
      <c r="H78" s="73"/>
      <c r="I78" s="73"/>
      <c r="J78" s="73"/>
      <c r="K78" s="73"/>
    </row>
    <row r="79" spans="1:11" x14ac:dyDescent="0.2">
      <c r="A79" s="73"/>
      <c r="B79" s="73"/>
      <c r="C79" s="73"/>
      <c r="D79" s="73"/>
      <c r="E79" s="73"/>
      <c r="F79" s="73"/>
      <c r="G79" s="73"/>
      <c r="H79" s="73"/>
      <c r="I79" s="73"/>
      <c r="J79" s="73"/>
      <c r="K79" s="73"/>
    </row>
    <row r="80" spans="1:11" x14ac:dyDescent="0.2">
      <c r="A80" s="73"/>
      <c r="B80" s="73"/>
      <c r="C80" s="73"/>
      <c r="D80" s="73"/>
      <c r="E80" s="73"/>
      <c r="F80" s="73"/>
      <c r="G80" s="73"/>
      <c r="H80" s="73"/>
      <c r="I80" s="73"/>
      <c r="J80" s="73"/>
      <c r="K80" s="73"/>
    </row>
    <row r="81" spans="1:11" x14ac:dyDescent="0.2">
      <c r="A81" s="73"/>
      <c r="B81" s="73"/>
      <c r="C81" s="73"/>
      <c r="D81" s="73"/>
      <c r="E81" s="73"/>
      <c r="F81" s="73"/>
      <c r="G81" s="73"/>
      <c r="H81" s="73"/>
      <c r="I81" s="73"/>
      <c r="J81" s="73"/>
      <c r="K81" s="73"/>
    </row>
    <row r="82" spans="1:11" x14ac:dyDescent="0.2">
      <c r="A82" s="73"/>
      <c r="B82" s="73"/>
      <c r="C82" s="73"/>
      <c r="D82" s="73"/>
      <c r="E82" s="73"/>
      <c r="F82" s="73"/>
      <c r="G82" s="73"/>
      <c r="H82" s="73"/>
      <c r="I82" s="73"/>
      <c r="J82" s="73"/>
      <c r="K82" s="73"/>
    </row>
    <row r="83" spans="1:11" x14ac:dyDescent="0.2">
      <c r="A83" s="73"/>
      <c r="B83" s="73"/>
      <c r="C83" s="73"/>
      <c r="D83" s="73"/>
      <c r="E83" s="73"/>
      <c r="F83" s="73"/>
      <c r="G83" s="73"/>
      <c r="H83" s="73"/>
      <c r="I83" s="73"/>
      <c r="J83" s="73"/>
      <c r="K83" s="73"/>
    </row>
  </sheetData>
  <sheetProtection password="CA9F" sheet="1" objects="1" scenarios="1"/>
  <mergeCells count="13">
    <mergeCell ref="C63:D63"/>
    <mergeCell ref="C64:D64"/>
    <mergeCell ref="C65:D65"/>
    <mergeCell ref="C66:D66"/>
    <mergeCell ref="C67:D67"/>
    <mergeCell ref="A47:A51"/>
    <mergeCell ref="H1:K1"/>
    <mergeCell ref="A2:K2"/>
    <mergeCell ref="A4:K4"/>
    <mergeCell ref="A13:A17"/>
    <mergeCell ref="J5:K5"/>
    <mergeCell ref="J6:K6"/>
    <mergeCell ref="A5:C5"/>
  </mergeCells>
  <dataValidations count="1">
    <dataValidation type="whole" allowBlank="1" showInputMessage="1" showErrorMessage="1" sqref="WVS98304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K6" xr:uid="{B0FFE1D3-8B6B-4043-ABC6-ECA8B6E433E9}">
      <formula1>1</formula1>
      <formula2>100000000000</formula2>
    </dataValidation>
  </dataValidations>
  <pageMargins left="0.7" right="0.7" top="0.75" bottom="0.75" header="0.3" footer="0.3"/>
  <pageSetup scale="79"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48"/>
  <sheetViews>
    <sheetView zoomScaleNormal="100" zoomScalePageLayoutView="60" workbookViewId="0">
      <selection activeCell="E22" sqref="E22"/>
    </sheetView>
  </sheetViews>
  <sheetFormatPr defaultRowHeight="12.75" x14ac:dyDescent="0.2"/>
  <cols>
    <col min="1" max="1" width="6" style="286" customWidth="1"/>
    <col min="2" max="2" width="112.28515625" style="286" bestFit="1" customWidth="1"/>
    <col min="3" max="3" width="16" style="286" bestFit="1" customWidth="1"/>
    <col min="4" max="4" width="18.7109375" style="286" bestFit="1" customWidth="1"/>
    <col min="5" max="5" width="15.5703125" style="286" bestFit="1" customWidth="1"/>
    <col min="6" max="1023" width="11.5703125" style="286"/>
    <col min="1024" max="16384" width="9.140625" style="286"/>
  </cols>
  <sheetData>
    <row r="1" spans="1:5" x14ac:dyDescent="0.2">
      <c r="A1" s="248"/>
      <c r="B1" s="249"/>
      <c r="C1" s="679" t="s">
        <v>877</v>
      </c>
      <c r="D1" s="679"/>
      <c r="E1" s="679"/>
    </row>
    <row r="2" spans="1:5" x14ac:dyDescent="0.2">
      <c r="A2" s="248"/>
      <c r="B2" s="250"/>
      <c r="C2" s="679"/>
      <c r="D2" s="679"/>
      <c r="E2" s="679"/>
    </row>
    <row r="3" spans="1:5" x14ac:dyDescent="0.2">
      <c r="A3" s="686" t="s">
        <v>878</v>
      </c>
      <c r="B3" s="686"/>
      <c r="C3" s="686"/>
      <c r="D3" s="686"/>
      <c r="E3" s="686"/>
    </row>
    <row r="4" spans="1:5" x14ac:dyDescent="0.2">
      <c r="A4" s="248"/>
      <c r="B4" s="250"/>
      <c r="C4" s="250"/>
      <c r="D4" s="250"/>
      <c r="E4" s="250"/>
    </row>
    <row r="5" spans="1:5" x14ac:dyDescent="0.2">
      <c r="A5" s="687"/>
      <c r="B5" s="687"/>
      <c r="C5" s="688"/>
      <c r="D5" s="688"/>
      <c r="E5" s="688"/>
    </row>
    <row r="6" spans="1:5" x14ac:dyDescent="0.2">
      <c r="A6" s="673" t="s">
        <v>778</v>
      </c>
      <c r="B6" s="673"/>
      <c r="C6" s="673"/>
      <c r="D6" s="630" t="s">
        <v>741</v>
      </c>
      <c r="E6" s="630"/>
    </row>
    <row r="7" spans="1:5" x14ac:dyDescent="0.2">
      <c r="A7" s="248"/>
      <c r="B7" s="452"/>
      <c r="C7" s="250"/>
      <c r="D7" s="630" t="s">
        <v>279</v>
      </c>
      <c r="E7" s="630"/>
    </row>
    <row r="8" spans="1:5" x14ac:dyDescent="0.2">
      <c r="A8" s="251"/>
      <c r="B8" s="252" t="s">
        <v>464</v>
      </c>
      <c r="C8" s="253" t="s">
        <v>22</v>
      </c>
      <c r="D8" s="253" t="s">
        <v>879</v>
      </c>
      <c r="E8" s="253" t="s">
        <v>275</v>
      </c>
    </row>
    <row r="9" spans="1:5" x14ac:dyDescent="0.2">
      <c r="A9" s="251" t="s">
        <v>282</v>
      </c>
      <c r="B9" s="253" t="s">
        <v>283</v>
      </c>
      <c r="C9" s="253">
        <v>1</v>
      </c>
      <c r="D9" s="253">
        <v>2</v>
      </c>
      <c r="E9" s="253">
        <v>3</v>
      </c>
    </row>
    <row r="10" spans="1:5" x14ac:dyDescent="0.2">
      <c r="A10" s="251">
        <v>1</v>
      </c>
      <c r="B10" s="254" t="str">
        <f>"Зайлшгүй байх хөрөнгө / 1=max(1.1,1.2,1.3) /"</f>
        <v>Зайлшгүй байх хөрөнгө / 1=max(1.1,1.2,1.3) /</v>
      </c>
      <c r="C10" s="254" t="str">
        <f>""</f>
        <v/>
      </c>
      <c r="D10" s="254"/>
      <c r="E10" s="255">
        <f>MAX(E11,E14,E17)</f>
        <v>0</v>
      </c>
    </row>
    <row r="11" spans="1:5" x14ac:dyDescent="0.2">
      <c r="A11" s="256">
        <v>1.1000000000000001</v>
      </c>
      <c r="B11" s="257" t="str">
        <f>"Даатгалын хураамжид үндэслэх /Тухай тайлант хугацааны нийт орлогод тооцсон хураамж /(1.1.1 (4)+1.1.2 (4))"</f>
        <v>Даатгалын хураамжид үндэслэх /Тухай тайлант хугацааны нийт орлогод тооцсон хураамж /(1.1.1 (4)+1.1.2 (4))</v>
      </c>
      <c r="C11" s="258">
        <f>+C12+C13</f>
        <v>0</v>
      </c>
      <c r="D11" s="259"/>
      <c r="E11" s="258">
        <f>E12+E13</f>
        <v>0</v>
      </c>
    </row>
    <row r="12" spans="1:5" x14ac:dyDescent="0.2">
      <c r="A12" s="256" t="s">
        <v>300</v>
      </c>
      <c r="B12" s="257" t="str">
        <f>"Агаарын хөлөг, авто тээврийн хэрэгсэл, бүх төрлийн хариуцлагын даатгалын хэлбэрийн орлогод тооцсон хураамж"</f>
        <v>Агаарын хөлөг, авто тээврийн хэрэгсэл, бүх төрлийн хариуцлагын даатгалын хэлбэрийн орлогод тооцсон хураамж</v>
      </c>
      <c r="C12" s="260"/>
      <c r="D12" s="261">
        <v>0.4</v>
      </c>
      <c r="E12" s="258">
        <f>C12*0.4</f>
        <v>0</v>
      </c>
    </row>
    <row r="13" spans="1:5" x14ac:dyDescent="0.2">
      <c r="A13" s="256" t="s">
        <v>302</v>
      </c>
      <c r="B13" s="257" t="str">
        <f>"Бусад хэлбэрийн орлогод тооцсон хураамж"</f>
        <v>Бусад хэлбэрийн орлогод тооцсон хураамж</v>
      </c>
      <c r="C13" s="260"/>
      <c r="D13" s="261">
        <v>0.2</v>
      </c>
      <c r="E13" s="258">
        <f>C13*0.2</f>
        <v>0</v>
      </c>
    </row>
    <row r="14" spans="1:5" x14ac:dyDescent="0.2">
      <c r="A14" s="256">
        <v>1.2</v>
      </c>
      <c r="B14" s="257" t="str">
        <f>"Даатгалын нэхэмжлэлд үндэслэх /Сүүлийн 3 жилийн дунджид үндэслэн/    (1.2.1 (4)+1.2.2 (4))"</f>
        <v>Даатгалын нэхэмжлэлд үндэслэх /Сүүлийн 3 жилийн дунджид үндэслэн/    (1.2.1 (4)+1.2.2 (4))</v>
      </c>
      <c r="C14" s="258">
        <f>+C15+C16</f>
        <v>0</v>
      </c>
      <c r="D14" s="259"/>
      <c r="E14" s="258">
        <f>E15+E16</f>
        <v>0</v>
      </c>
    </row>
    <row r="15" spans="1:5" x14ac:dyDescent="0.2">
      <c r="A15" s="256" t="s">
        <v>315</v>
      </c>
      <c r="B15" s="257" t="str">
        <f>"Агаарын хөлөг, авто тээврийн хэрэгсэл, бүх төрлийн хариуцлагын даатгалын хэлбэрийн нэхэмжилсэн хохирлын дундаж дүн"</f>
        <v>Агаарын хөлөг, авто тээврийн хэрэгсэл, бүх төрлийн хариуцлагын даатгалын хэлбэрийн нэхэмжилсэн хохирлын дундаж дүн</v>
      </c>
      <c r="C15" s="260"/>
      <c r="D15" s="261">
        <v>0.5</v>
      </c>
      <c r="E15" s="258">
        <f>C15*0.5</f>
        <v>0</v>
      </c>
    </row>
    <row r="16" spans="1:5" x14ac:dyDescent="0.2">
      <c r="A16" s="256" t="s">
        <v>317</v>
      </c>
      <c r="B16" s="257" t="str">
        <f>"Бусад хэлбэрийн нэхэмжилсэн хохирлын дундаж дүн "</f>
        <v xml:space="preserve">Бусад хэлбэрийн нэхэмжилсэн хохирлын дундаж дүн </v>
      </c>
      <c r="C16" s="260"/>
      <c r="D16" s="261">
        <v>0.2</v>
      </c>
      <c r="E16" s="258">
        <f>C16*0.2</f>
        <v>0</v>
      </c>
    </row>
    <row r="17" spans="1:5" x14ac:dyDescent="0.2">
      <c r="A17" s="256">
        <v>1.3</v>
      </c>
      <c r="B17" s="257" t="str">
        <f>"Хорооноос тогтоосон дүрмийн сангийн доод хэмжээ"</f>
        <v>Хорооноос тогтоосон дүрмийн сангийн доод хэмжээ</v>
      </c>
      <c r="C17" s="262" t="str">
        <f>""</f>
        <v/>
      </c>
      <c r="D17" s="263"/>
      <c r="E17" s="260"/>
    </row>
    <row r="18" spans="1:5" x14ac:dyDescent="0.2">
      <c r="A18" s="251">
        <v>2</v>
      </c>
      <c r="B18" s="254" t="str">
        <f>"Нийт хөрөнгө"</f>
        <v>Нийт хөрөнгө</v>
      </c>
      <c r="C18" s="680" t="str">
        <f>""</f>
        <v/>
      </c>
      <c r="D18" s="681"/>
      <c r="E18" s="264">
        <f>(i.04130!$E$46-i.04130!$E$39-i.04130!$E$40)</f>
        <v>0</v>
      </c>
    </row>
    <row r="19" spans="1:5" x14ac:dyDescent="0.2">
      <c r="A19" s="251">
        <v>3</v>
      </c>
      <c r="B19" s="254" t="str">
        <f>"Зөвшөөрөгдөхгүй хөрөнгө"</f>
        <v>Зөвшөөрөгдөхгүй хөрөнгө</v>
      </c>
      <c r="C19" s="682"/>
      <c r="D19" s="683"/>
      <c r="E19" s="255">
        <f>i.04144!K57</f>
        <v>0</v>
      </c>
    </row>
    <row r="20" spans="1:5" x14ac:dyDescent="0.2">
      <c r="A20" s="251">
        <v>4</v>
      </c>
      <c r="B20" s="254" t="str">
        <f>"Зөвшөөрөгдөх хөрөнгө / 4=(2)-(3)/"</f>
        <v>Зөвшөөрөгдөх хөрөнгө / 4=(2)-(3)/</v>
      </c>
      <c r="C20" s="682"/>
      <c r="D20" s="683"/>
      <c r="E20" s="255">
        <f>E18-E19</f>
        <v>0</v>
      </c>
    </row>
    <row r="21" spans="1:5" x14ac:dyDescent="0.2">
      <c r="A21" s="251">
        <v>5</v>
      </c>
      <c r="B21" s="254" t="str">
        <f>"Өр төлбөр / 5= Нийт өр төлбөр-(ОТХН+АХС)*10%/"</f>
        <v>Өр төлбөр / 5= Нийт өр төлбөр-(ОТХН+АХС)*10%/</v>
      </c>
      <c r="C21" s="682"/>
      <c r="D21" s="683"/>
      <c r="E21" s="264">
        <f>i.04130!E84-(i.04130!E77+i.04130!E79)*0.1</f>
        <v>0</v>
      </c>
    </row>
    <row r="22" spans="1:5" x14ac:dyDescent="0.2">
      <c r="A22" s="251">
        <v>6</v>
      </c>
      <c r="B22" s="265" t="str">
        <f>"Төлбөрийн чадварын зохистой харьцаа 6= 4/(1+5)≥100%"</f>
        <v>Төлбөрийн чадварын зохистой харьцаа 6= 4/(1+5)≥100%</v>
      </c>
      <c r="C22" s="684"/>
      <c r="D22" s="685"/>
      <c r="E22" s="255" t="e">
        <f>(E20/(E10+E21))*100</f>
        <v>#DIV/0!</v>
      </c>
    </row>
    <row r="23" spans="1:5" x14ac:dyDescent="0.2">
      <c r="A23" s="248"/>
      <c r="B23" s="248"/>
      <c r="C23" s="250"/>
      <c r="D23" s="250"/>
      <c r="E23" s="250"/>
    </row>
    <row r="24" spans="1:5" x14ac:dyDescent="0.2">
      <c r="A24" s="266"/>
      <c r="B24" s="2" t="s">
        <v>285</v>
      </c>
      <c r="C24" s="447"/>
      <c r="D24" s="4"/>
      <c r="E24" s="4"/>
    </row>
    <row r="25" spans="1:5" x14ac:dyDescent="0.2">
      <c r="A25" s="266"/>
      <c r="B25" s="5"/>
      <c r="C25" s="447"/>
      <c r="D25" s="4"/>
      <c r="E25" s="4"/>
    </row>
    <row r="26" spans="1:5" x14ac:dyDescent="0.2">
      <c r="A26" s="266"/>
      <c r="B26" s="5" t="s">
        <v>286</v>
      </c>
      <c r="C26" s="447"/>
      <c r="D26" s="4"/>
      <c r="E26" s="4"/>
    </row>
    <row r="27" spans="1:5" x14ac:dyDescent="0.2">
      <c r="A27" s="266"/>
      <c r="B27" s="5"/>
      <c r="C27" s="447"/>
      <c r="D27" s="4"/>
      <c r="E27" s="4"/>
    </row>
    <row r="28" spans="1:5" x14ac:dyDescent="0.2">
      <c r="A28" s="266"/>
      <c r="B28" s="6" t="s">
        <v>287</v>
      </c>
      <c r="C28" s="576" t="s">
        <v>288</v>
      </c>
      <c r="D28" s="576"/>
      <c r="E28" s="4" t="s">
        <v>289</v>
      </c>
    </row>
    <row r="29" spans="1:5" x14ac:dyDescent="0.2">
      <c r="A29" s="266"/>
      <c r="B29" s="5"/>
      <c r="C29" s="576"/>
      <c r="D29" s="576"/>
      <c r="E29" s="4"/>
    </row>
    <row r="30" spans="1:5" x14ac:dyDescent="0.2">
      <c r="A30" s="266"/>
      <c r="B30" s="6" t="s">
        <v>290</v>
      </c>
      <c r="C30" s="576" t="s">
        <v>291</v>
      </c>
      <c r="D30" s="576"/>
      <c r="E30" s="4" t="s">
        <v>292</v>
      </c>
    </row>
    <row r="31" spans="1:5" x14ac:dyDescent="0.2">
      <c r="A31" s="248"/>
      <c r="B31" s="5"/>
      <c r="C31" s="576"/>
      <c r="D31" s="576"/>
      <c r="E31" s="4"/>
    </row>
    <row r="32" spans="1:5" x14ac:dyDescent="0.2">
      <c r="A32" s="248"/>
      <c r="B32" s="6" t="s">
        <v>293</v>
      </c>
      <c r="C32" s="576" t="s">
        <v>288</v>
      </c>
      <c r="D32" s="576"/>
      <c r="E32" s="4" t="s">
        <v>292</v>
      </c>
    </row>
    <row r="33" spans="1:5" x14ac:dyDescent="0.2">
      <c r="A33" s="248"/>
      <c r="B33" s="250"/>
      <c r="C33" s="250"/>
      <c r="D33" s="250"/>
      <c r="E33" s="250"/>
    </row>
    <row r="34" spans="1:5" x14ac:dyDescent="0.2">
      <c r="A34" s="248"/>
      <c r="B34" s="250"/>
      <c r="C34" s="250"/>
      <c r="D34" s="250"/>
      <c r="E34" s="250"/>
    </row>
    <row r="35" spans="1:5" x14ac:dyDescent="0.2">
      <c r="A35" s="248"/>
      <c r="B35" s="250"/>
      <c r="C35" s="250"/>
      <c r="D35" s="250"/>
      <c r="E35" s="250"/>
    </row>
    <row r="36" spans="1:5" x14ac:dyDescent="0.2">
      <c r="A36" s="248"/>
      <c r="B36" s="250"/>
      <c r="C36" s="250"/>
      <c r="D36" s="250"/>
      <c r="E36" s="250"/>
    </row>
    <row r="37" spans="1:5" x14ac:dyDescent="0.2">
      <c r="A37" s="248"/>
      <c r="B37" s="250"/>
      <c r="C37" s="250"/>
      <c r="D37" s="250"/>
      <c r="E37" s="250"/>
    </row>
    <row r="38" spans="1:5" x14ac:dyDescent="0.2">
      <c r="A38" s="248"/>
      <c r="B38" s="250"/>
      <c r="C38" s="250"/>
      <c r="D38" s="250"/>
      <c r="E38" s="250"/>
    </row>
    <row r="39" spans="1:5" x14ac:dyDescent="0.2">
      <c r="A39" s="248"/>
      <c r="B39" s="250"/>
      <c r="C39" s="250"/>
      <c r="D39" s="250"/>
      <c r="E39" s="250"/>
    </row>
    <row r="40" spans="1:5" x14ac:dyDescent="0.2">
      <c r="A40" s="248"/>
      <c r="B40" s="250"/>
      <c r="C40" s="250"/>
      <c r="D40" s="250"/>
      <c r="E40" s="250"/>
    </row>
    <row r="41" spans="1:5" x14ac:dyDescent="0.2">
      <c r="A41" s="248"/>
      <c r="B41" s="250"/>
      <c r="C41" s="250"/>
      <c r="D41" s="250"/>
      <c r="E41" s="250"/>
    </row>
    <row r="42" spans="1:5" x14ac:dyDescent="0.2">
      <c r="A42" s="248"/>
      <c r="B42" s="250"/>
      <c r="C42" s="250"/>
      <c r="D42" s="250"/>
      <c r="E42" s="250"/>
    </row>
    <row r="43" spans="1:5" x14ac:dyDescent="0.2">
      <c r="A43" s="248"/>
      <c r="B43" s="250"/>
      <c r="C43" s="250"/>
      <c r="D43" s="250"/>
      <c r="E43" s="250"/>
    </row>
    <row r="44" spans="1:5" x14ac:dyDescent="0.2">
      <c r="A44" s="248"/>
      <c r="B44" s="250"/>
      <c r="C44" s="250"/>
      <c r="D44" s="250"/>
      <c r="E44" s="250"/>
    </row>
    <row r="45" spans="1:5" x14ac:dyDescent="0.2">
      <c r="A45" s="248"/>
      <c r="B45" s="250"/>
      <c r="C45" s="250"/>
      <c r="D45" s="250"/>
      <c r="E45" s="250"/>
    </row>
    <row r="46" spans="1:5" x14ac:dyDescent="0.2">
      <c r="A46" s="248"/>
      <c r="B46" s="250"/>
      <c r="C46" s="250"/>
      <c r="D46" s="250"/>
      <c r="E46" s="250"/>
    </row>
    <row r="47" spans="1:5" x14ac:dyDescent="0.2">
      <c r="A47" s="248"/>
      <c r="B47" s="250"/>
      <c r="C47" s="250"/>
      <c r="D47" s="250"/>
      <c r="E47" s="250"/>
    </row>
    <row r="48" spans="1:5" x14ac:dyDescent="0.2">
      <c r="A48" s="248"/>
      <c r="B48" s="250"/>
      <c r="C48" s="250"/>
      <c r="D48" s="250"/>
      <c r="E48" s="250"/>
    </row>
  </sheetData>
  <sheetProtection password="CD1F" sheet="1" objects="1" scenarios="1"/>
  <mergeCells count="13">
    <mergeCell ref="C28:D28"/>
    <mergeCell ref="C29:D29"/>
    <mergeCell ref="C30:D30"/>
    <mergeCell ref="C31:D31"/>
    <mergeCell ref="C32:D32"/>
    <mergeCell ref="C1:E2"/>
    <mergeCell ref="D6:E6"/>
    <mergeCell ref="D7:E7"/>
    <mergeCell ref="A6:C6"/>
    <mergeCell ref="C18:D22"/>
    <mergeCell ref="A3:E3"/>
    <mergeCell ref="A5:B5"/>
    <mergeCell ref="C5:E5"/>
  </mergeCells>
  <dataValidations count="1">
    <dataValidation type="whole" allowBlank="1" showInputMessage="1" showErrorMessage="1" sqref="E7" xr:uid="{6F23DC8D-3BA1-4B49-9C53-8A72E138F458}">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E17C5-277B-48AD-ADC5-C616E0C44960}">
  <dimension ref="A1:X77"/>
  <sheetViews>
    <sheetView workbookViewId="0">
      <selection activeCell="H9" sqref="H9"/>
    </sheetView>
  </sheetViews>
  <sheetFormatPr defaultRowHeight="12.75" x14ac:dyDescent="0.2"/>
  <cols>
    <col min="1" max="1" width="4.85546875" style="516" customWidth="1"/>
    <col min="2" max="2" width="32.5703125" style="524" customWidth="1"/>
    <col min="3" max="3" width="9.140625" style="524"/>
    <col min="4" max="4" width="18.140625" style="524" customWidth="1"/>
    <col min="5" max="5" width="18.5703125" style="524" customWidth="1"/>
    <col min="6" max="6" width="16.7109375" style="524" customWidth="1"/>
    <col min="7" max="7" width="9" style="524" customWidth="1"/>
    <col min="8" max="16384" width="9.140625" style="524"/>
  </cols>
  <sheetData>
    <row r="1" spans="1:24" s="518" customFormat="1" ht="36.75" customHeight="1" x14ac:dyDescent="0.2">
      <c r="A1" s="516"/>
      <c r="B1" s="517"/>
      <c r="D1" s="592" t="s">
        <v>1119</v>
      </c>
      <c r="E1" s="592"/>
      <c r="F1" s="592"/>
      <c r="G1" s="592"/>
      <c r="H1" s="4"/>
      <c r="I1" s="4"/>
      <c r="J1" s="4"/>
      <c r="K1" s="4"/>
      <c r="L1" s="4"/>
      <c r="M1" s="4"/>
      <c r="N1" s="4"/>
      <c r="O1" s="4"/>
      <c r="P1" s="4"/>
      <c r="Q1" s="4"/>
      <c r="R1" s="4"/>
      <c r="S1" s="4"/>
      <c r="T1" s="4"/>
      <c r="U1" s="4"/>
      <c r="V1" s="4"/>
      <c r="W1" s="4"/>
      <c r="X1" s="4"/>
    </row>
    <row r="2" spans="1:24" s="518" customFormat="1" x14ac:dyDescent="0.2">
      <c r="A2" s="519"/>
      <c r="B2" s="204"/>
      <c r="C2" s="4"/>
      <c r="D2" s="4"/>
      <c r="E2" s="4"/>
      <c r="F2" s="4"/>
      <c r="G2" s="4"/>
      <c r="H2" s="4"/>
      <c r="I2" s="4"/>
      <c r="J2" s="4"/>
      <c r="K2" s="4"/>
      <c r="L2" s="4"/>
      <c r="M2" s="4"/>
      <c r="N2" s="4"/>
      <c r="O2" s="4"/>
      <c r="P2" s="4"/>
      <c r="Q2" s="4"/>
      <c r="R2" s="4"/>
      <c r="S2" s="4"/>
      <c r="T2" s="4"/>
      <c r="U2" s="4"/>
      <c r="V2" s="4"/>
      <c r="W2" s="4"/>
      <c r="X2" s="4"/>
    </row>
    <row r="3" spans="1:24" s="518" customFormat="1" ht="18.75" customHeight="1" x14ac:dyDescent="0.2">
      <c r="A3" s="689" t="s">
        <v>1120</v>
      </c>
      <c r="B3" s="690"/>
      <c r="C3" s="690"/>
      <c r="D3" s="690"/>
      <c r="E3" s="690"/>
      <c r="F3" s="690"/>
      <c r="G3" s="690"/>
      <c r="H3" s="4"/>
      <c r="I3" s="4"/>
      <c r="J3" s="4"/>
      <c r="K3" s="4"/>
      <c r="L3" s="4"/>
      <c r="M3" s="4"/>
      <c r="N3" s="4"/>
      <c r="O3" s="4"/>
      <c r="P3" s="4"/>
      <c r="Q3" s="4"/>
      <c r="R3" s="4"/>
      <c r="S3" s="4"/>
      <c r="T3" s="4"/>
      <c r="U3" s="4"/>
      <c r="V3" s="4"/>
      <c r="W3" s="4"/>
      <c r="X3" s="4"/>
    </row>
    <row r="4" spans="1:24" s="518" customFormat="1" x14ac:dyDescent="0.2">
      <c r="A4" s="519"/>
      <c r="B4" s="204"/>
      <c r="C4" s="4"/>
      <c r="D4" s="4"/>
      <c r="E4" s="4"/>
      <c r="F4" s="4"/>
      <c r="G4" s="4"/>
      <c r="H4" s="4"/>
      <c r="I4" s="4"/>
      <c r="J4" s="4"/>
      <c r="K4" s="4"/>
      <c r="L4" s="4"/>
      <c r="M4" s="4"/>
      <c r="N4" s="4"/>
      <c r="O4" s="4"/>
      <c r="P4" s="4"/>
      <c r="Q4" s="4"/>
      <c r="R4" s="4"/>
      <c r="S4" s="4"/>
      <c r="T4" s="4"/>
      <c r="U4" s="4"/>
      <c r="V4" s="4"/>
      <c r="W4" s="4"/>
      <c r="X4" s="4"/>
    </row>
    <row r="5" spans="1:24" s="518" customFormat="1" x14ac:dyDescent="0.2">
      <c r="A5" s="594" t="str">
        <f>+[1]i.04108!A7</f>
        <v>Даатгагчийн нэр:</v>
      </c>
      <c r="B5" s="626"/>
      <c r="C5" s="626"/>
      <c r="D5" s="515"/>
      <c r="E5" s="4"/>
      <c r="F5" s="608" t="str">
        <f>+[1]i.04108!F7</f>
        <v>..... оны .... сарын ...-ны өдөр</v>
      </c>
      <c r="G5" s="608"/>
      <c r="H5" s="4"/>
      <c r="I5" s="4"/>
      <c r="J5" s="4"/>
      <c r="K5" s="4"/>
      <c r="L5" s="4"/>
      <c r="M5" s="4"/>
      <c r="N5" s="4"/>
      <c r="O5" s="4"/>
      <c r="P5" s="4"/>
      <c r="Q5" s="4"/>
      <c r="R5" s="4"/>
      <c r="S5" s="4"/>
      <c r="T5" s="4"/>
      <c r="U5" s="4"/>
      <c r="V5" s="4"/>
      <c r="W5" s="4"/>
      <c r="X5" s="4"/>
    </row>
    <row r="6" spans="1:24" s="518" customFormat="1" x14ac:dyDescent="0.2">
      <c r="A6" s="520"/>
      <c r="B6" s="204"/>
      <c r="C6" s="4"/>
      <c r="D6" s="4"/>
      <c r="E6" s="519"/>
      <c r="F6" s="4"/>
      <c r="G6" s="521" t="s">
        <v>279</v>
      </c>
      <c r="H6" s="4"/>
      <c r="I6" s="4"/>
      <c r="J6" s="4"/>
      <c r="K6" s="4"/>
      <c r="L6" s="4"/>
      <c r="M6" s="4"/>
      <c r="N6" s="4"/>
      <c r="O6" s="4"/>
      <c r="P6" s="4"/>
      <c r="Q6" s="4"/>
      <c r="R6" s="4"/>
      <c r="S6" s="4"/>
      <c r="T6" s="4"/>
      <c r="U6" s="4"/>
      <c r="V6" s="4"/>
      <c r="W6" s="4"/>
      <c r="X6" s="4"/>
    </row>
    <row r="7" spans="1:24" ht="25.5" x14ac:dyDescent="0.2">
      <c r="A7" s="522"/>
      <c r="B7" s="523" t="s">
        <v>464</v>
      </c>
      <c r="C7" s="22" t="s">
        <v>295</v>
      </c>
      <c r="D7" s="24" t="s">
        <v>20</v>
      </c>
      <c r="E7" s="24" t="s">
        <v>21</v>
      </c>
      <c r="F7" s="24" t="s">
        <v>22</v>
      </c>
      <c r="G7" s="24" t="s">
        <v>23</v>
      </c>
    </row>
    <row r="8" spans="1:24" x14ac:dyDescent="0.2">
      <c r="A8" s="525" t="s">
        <v>282</v>
      </c>
      <c r="B8" s="24" t="s">
        <v>283</v>
      </c>
      <c r="C8" s="24" t="s">
        <v>297</v>
      </c>
      <c r="D8" s="24">
        <v>1</v>
      </c>
      <c r="E8" s="24">
        <v>2</v>
      </c>
      <c r="F8" s="49">
        <v>3</v>
      </c>
      <c r="G8" s="24">
        <v>4</v>
      </c>
    </row>
    <row r="9" spans="1:24" x14ac:dyDescent="0.2">
      <c r="A9" s="522">
        <v>1</v>
      </c>
      <c r="B9" s="523" t="s">
        <v>121</v>
      </c>
      <c r="C9" s="24">
        <v>1</v>
      </c>
      <c r="D9" s="526"/>
      <c r="E9" s="527"/>
      <c r="F9" s="528">
        <f t="shared" ref="F9:F36" si="0">SUM(D9+E9)</f>
        <v>0</v>
      </c>
      <c r="G9" s="529" t="e">
        <f t="shared" ref="G9:G67" si="1">F9/$F$67</f>
        <v>#DIV/0!</v>
      </c>
      <c r="H9" s="288" t="e">
        <f>IF(G9&lt;0.02,"", "журамд заасан хувиас хэтрүүлж байршуулсан")</f>
        <v>#DIV/0!</v>
      </c>
    </row>
    <row r="10" spans="1:24" x14ac:dyDescent="0.2">
      <c r="A10" s="522">
        <v>2</v>
      </c>
      <c r="B10" s="530" t="s">
        <v>1121</v>
      </c>
      <c r="C10" s="24">
        <f t="shared" ref="C10:C37" si="2">C9+1</f>
        <v>2</v>
      </c>
      <c r="D10" s="531">
        <f>SUM(D11:D23)</f>
        <v>0</v>
      </c>
      <c r="E10" s="531">
        <f>SUM(M11:M23)</f>
        <v>0</v>
      </c>
      <c r="F10" s="528">
        <f t="shared" si="0"/>
        <v>0</v>
      </c>
      <c r="G10" s="529" t="e">
        <f t="shared" si="1"/>
        <v>#DIV/0!</v>
      </c>
    </row>
    <row r="11" spans="1:24" x14ac:dyDescent="0.2">
      <c r="A11" s="532" t="s">
        <v>617</v>
      </c>
      <c r="B11" s="533" t="str">
        <f>"Ариг банк"</f>
        <v>Ариг банк</v>
      </c>
      <c r="C11" s="314">
        <f t="shared" si="2"/>
        <v>3</v>
      </c>
      <c r="D11" s="534"/>
      <c r="E11" s="295"/>
      <c r="F11" s="535">
        <f t="shared" si="0"/>
        <v>0</v>
      </c>
      <c r="G11" s="529" t="e">
        <f t="shared" si="1"/>
        <v>#DIV/0!</v>
      </c>
    </row>
    <row r="12" spans="1:24" x14ac:dyDescent="0.2">
      <c r="A12" s="532" t="s">
        <v>642</v>
      </c>
      <c r="B12" s="533" t="str">
        <f>"Богд банк"</f>
        <v>Богд банк</v>
      </c>
      <c r="C12" s="314">
        <f t="shared" si="2"/>
        <v>4</v>
      </c>
      <c r="D12" s="534"/>
      <c r="E12" s="536"/>
      <c r="F12" s="535">
        <f t="shared" si="0"/>
        <v>0</v>
      </c>
      <c r="G12" s="529" t="e">
        <f t="shared" si="1"/>
        <v>#DIV/0!</v>
      </c>
    </row>
    <row r="13" spans="1:24" x14ac:dyDescent="0.2">
      <c r="A13" s="532" t="s">
        <v>646</v>
      </c>
      <c r="B13" s="533" t="str">
        <f>"Голомт банк"</f>
        <v>Голомт банк</v>
      </c>
      <c r="C13" s="314">
        <f t="shared" si="2"/>
        <v>5</v>
      </c>
      <c r="D13" s="534"/>
      <c r="E13" s="536"/>
      <c r="F13" s="535">
        <f t="shared" si="0"/>
        <v>0</v>
      </c>
      <c r="G13" s="529" t="e">
        <f t="shared" si="1"/>
        <v>#DIV/0!</v>
      </c>
    </row>
    <row r="14" spans="1:24" x14ac:dyDescent="0.2">
      <c r="A14" s="532" t="s">
        <v>921</v>
      </c>
      <c r="B14" s="533" t="str">
        <f>"Капитрон банк"</f>
        <v>Капитрон банк</v>
      </c>
      <c r="C14" s="314">
        <f t="shared" si="2"/>
        <v>6</v>
      </c>
      <c r="D14" s="534"/>
      <c r="E14" s="536"/>
      <c r="F14" s="535">
        <f t="shared" si="0"/>
        <v>0</v>
      </c>
      <c r="G14" s="529" t="e">
        <f t="shared" si="1"/>
        <v>#DIV/0!</v>
      </c>
    </row>
    <row r="15" spans="1:24" x14ac:dyDescent="0.2">
      <c r="A15" s="532" t="s">
        <v>922</v>
      </c>
      <c r="B15" s="533" t="str">
        <f>"Кредит банк"</f>
        <v>Кредит банк</v>
      </c>
      <c r="C15" s="314">
        <f t="shared" si="2"/>
        <v>7</v>
      </c>
      <c r="D15" s="534"/>
      <c r="E15" s="536"/>
      <c r="F15" s="535">
        <f t="shared" si="0"/>
        <v>0</v>
      </c>
      <c r="G15" s="529" t="e">
        <f t="shared" si="1"/>
        <v>#DIV/0!</v>
      </c>
    </row>
    <row r="16" spans="1:24" x14ac:dyDescent="0.2">
      <c r="A16" s="532" t="s">
        <v>923</v>
      </c>
      <c r="B16" s="533" t="str">
        <f>"Төрийн банк"</f>
        <v>Төрийн банк</v>
      </c>
      <c r="C16" s="314">
        <f t="shared" si="2"/>
        <v>8</v>
      </c>
      <c r="D16" s="534"/>
      <c r="E16" s="536"/>
      <c r="F16" s="535">
        <f t="shared" si="0"/>
        <v>0</v>
      </c>
      <c r="G16" s="529" t="e">
        <f t="shared" si="1"/>
        <v>#DIV/0!</v>
      </c>
    </row>
    <row r="17" spans="1:7" x14ac:dyDescent="0.2">
      <c r="A17" s="532" t="s">
        <v>924</v>
      </c>
      <c r="B17" s="533" t="str">
        <f>"Тээвэр Хөгжлийн банк"</f>
        <v>Тээвэр Хөгжлийн банк</v>
      </c>
      <c r="C17" s="314">
        <f t="shared" si="2"/>
        <v>9</v>
      </c>
      <c r="D17" s="534"/>
      <c r="E17" s="536"/>
      <c r="F17" s="535">
        <f t="shared" si="0"/>
        <v>0</v>
      </c>
      <c r="G17" s="529" t="e">
        <f t="shared" si="1"/>
        <v>#DIV/0!</v>
      </c>
    </row>
    <row r="18" spans="1:7" x14ac:dyDescent="0.2">
      <c r="A18" s="532" t="s">
        <v>925</v>
      </c>
      <c r="B18" s="533" t="str">
        <f>"Улаанбаатар хотын банк"</f>
        <v>Улаанбаатар хотын банк</v>
      </c>
      <c r="C18" s="314">
        <f t="shared" si="2"/>
        <v>10</v>
      </c>
      <c r="D18" s="534"/>
      <c r="E18" s="536"/>
      <c r="F18" s="535">
        <f t="shared" si="0"/>
        <v>0</v>
      </c>
      <c r="G18" s="529" t="e">
        <f t="shared" si="1"/>
        <v>#DIV/0!</v>
      </c>
    </row>
    <row r="19" spans="1:7" x14ac:dyDescent="0.2">
      <c r="A19" s="532" t="s">
        <v>926</v>
      </c>
      <c r="B19" s="533" t="str">
        <f>"Үндэсний хөрөнгө оруулалтын банк"</f>
        <v>Үндэсний хөрөнгө оруулалтын банк</v>
      </c>
      <c r="C19" s="314">
        <f t="shared" si="2"/>
        <v>11</v>
      </c>
      <c r="D19" s="534"/>
      <c r="E19" s="536"/>
      <c r="F19" s="535">
        <f t="shared" si="0"/>
        <v>0</v>
      </c>
      <c r="G19" s="529" t="e">
        <f t="shared" si="1"/>
        <v>#DIV/0!</v>
      </c>
    </row>
    <row r="20" spans="1:7" x14ac:dyDescent="0.2">
      <c r="A20" s="532" t="s">
        <v>927</v>
      </c>
      <c r="B20" s="533" t="str">
        <f>"Хаан банк"</f>
        <v>Хаан банк</v>
      </c>
      <c r="C20" s="314">
        <f t="shared" si="2"/>
        <v>12</v>
      </c>
      <c r="D20" s="534"/>
      <c r="E20" s="536"/>
      <c r="F20" s="535">
        <f t="shared" si="0"/>
        <v>0</v>
      </c>
      <c r="G20" s="529" t="e">
        <f t="shared" si="1"/>
        <v>#DIV/0!</v>
      </c>
    </row>
    <row r="21" spans="1:7" x14ac:dyDescent="0.2">
      <c r="A21" s="532" t="s">
        <v>928</v>
      </c>
      <c r="B21" s="533" t="str">
        <f>"Хас банк"</f>
        <v>Хас банк</v>
      </c>
      <c r="C21" s="314">
        <f t="shared" si="2"/>
        <v>13</v>
      </c>
      <c r="D21" s="534"/>
      <c r="E21" s="536"/>
      <c r="F21" s="535">
        <f t="shared" si="0"/>
        <v>0</v>
      </c>
      <c r="G21" s="529" t="e">
        <f t="shared" si="1"/>
        <v>#DIV/0!</v>
      </c>
    </row>
    <row r="22" spans="1:7" x14ac:dyDescent="0.2">
      <c r="A22" s="532" t="s">
        <v>929</v>
      </c>
      <c r="B22" s="533" t="str">
        <f>"Худалдаа хөгжлийн банк"</f>
        <v>Худалдаа хөгжлийн банк</v>
      </c>
      <c r="C22" s="314">
        <f t="shared" si="2"/>
        <v>14</v>
      </c>
      <c r="D22" s="534"/>
      <c r="E22" s="536"/>
      <c r="F22" s="535">
        <f t="shared" si="0"/>
        <v>0</v>
      </c>
      <c r="G22" s="529" t="e">
        <f t="shared" si="1"/>
        <v>#DIV/0!</v>
      </c>
    </row>
    <row r="23" spans="1:7" x14ac:dyDescent="0.2">
      <c r="A23" s="532" t="s">
        <v>1122</v>
      </c>
      <c r="B23" s="533" t="str">
        <f>"Чингис хаан банк"</f>
        <v>Чингис хаан банк</v>
      </c>
      <c r="C23" s="314">
        <f t="shared" si="2"/>
        <v>15</v>
      </c>
      <c r="D23" s="534"/>
      <c r="E23" s="536"/>
      <c r="F23" s="535">
        <f t="shared" si="0"/>
        <v>0</v>
      </c>
      <c r="G23" s="529" t="e">
        <f t="shared" si="1"/>
        <v>#DIV/0!</v>
      </c>
    </row>
    <row r="24" spans="1:7" ht="25.5" x14ac:dyDescent="0.2">
      <c r="A24" s="522">
        <f>+A10+1</f>
        <v>3</v>
      </c>
      <c r="B24" s="530" t="s">
        <v>1123</v>
      </c>
      <c r="C24" s="24">
        <f>+C23+1</f>
        <v>16</v>
      </c>
      <c r="D24" s="531">
        <f>SUM(D25:D37)</f>
        <v>0</v>
      </c>
      <c r="E24" s="531">
        <f>SUM(E25:E37)</f>
        <v>0</v>
      </c>
      <c r="F24" s="528">
        <f t="shared" si="0"/>
        <v>0</v>
      </c>
      <c r="G24" s="529" t="e">
        <f t="shared" si="1"/>
        <v>#DIV/0!</v>
      </c>
    </row>
    <row r="25" spans="1:7" x14ac:dyDescent="0.2">
      <c r="A25" s="532" t="s">
        <v>931</v>
      </c>
      <c r="B25" s="533" t="str">
        <f>"Ариг банк"</f>
        <v>Ариг банк</v>
      </c>
      <c r="C25" s="314">
        <f t="shared" si="2"/>
        <v>17</v>
      </c>
      <c r="D25" s="534"/>
      <c r="E25" s="295"/>
      <c r="F25" s="535">
        <f t="shared" si="0"/>
        <v>0</v>
      </c>
      <c r="G25" s="529" t="e">
        <f t="shared" si="1"/>
        <v>#DIV/0!</v>
      </c>
    </row>
    <row r="26" spans="1:7" x14ac:dyDescent="0.2">
      <c r="A26" s="532" t="s">
        <v>932</v>
      </c>
      <c r="B26" s="533" t="str">
        <f>"Богд банк"</f>
        <v>Богд банк</v>
      </c>
      <c r="C26" s="314">
        <f t="shared" si="2"/>
        <v>18</v>
      </c>
      <c r="D26" s="534"/>
      <c r="E26" s="295"/>
      <c r="F26" s="535">
        <f t="shared" si="0"/>
        <v>0</v>
      </c>
      <c r="G26" s="529" t="e">
        <f t="shared" si="1"/>
        <v>#DIV/0!</v>
      </c>
    </row>
    <row r="27" spans="1:7" x14ac:dyDescent="0.2">
      <c r="A27" s="532" t="s">
        <v>933</v>
      </c>
      <c r="B27" s="533" t="str">
        <f>"Голомт банк"</f>
        <v>Голомт банк</v>
      </c>
      <c r="C27" s="314">
        <f t="shared" si="2"/>
        <v>19</v>
      </c>
      <c r="D27" s="534"/>
      <c r="E27" s="295"/>
      <c r="F27" s="535">
        <f t="shared" si="0"/>
        <v>0</v>
      </c>
      <c r="G27" s="529" t="e">
        <f t="shared" si="1"/>
        <v>#DIV/0!</v>
      </c>
    </row>
    <row r="28" spans="1:7" x14ac:dyDescent="0.2">
      <c r="A28" s="532" t="s">
        <v>934</v>
      </c>
      <c r="B28" s="533" t="str">
        <f>"Капитрон банк"</f>
        <v>Капитрон банк</v>
      </c>
      <c r="C28" s="314">
        <f t="shared" si="2"/>
        <v>20</v>
      </c>
      <c r="D28" s="534"/>
      <c r="E28" s="295"/>
      <c r="F28" s="535">
        <f t="shared" si="0"/>
        <v>0</v>
      </c>
      <c r="G28" s="529" t="e">
        <f t="shared" si="1"/>
        <v>#DIV/0!</v>
      </c>
    </row>
    <row r="29" spans="1:7" x14ac:dyDescent="0.2">
      <c r="A29" s="532" t="s">
        <v>935</v>
      </c>
      <c r="B29" s="533" t="str">
        <f>"Кредит банк"</f>
        <v>Кредит банк</v>
      </c>
      <c r="C29" s="314">
        <f t="shared" si="2"/>
        <v>21</v>
      </c>
      <c r="D29" s="534"/>
      <c r="E29" s="295"/>
      <c r="F29" s="535">
        <f t="shared" si="0"/>
        <v>0</v>
      </c>
      <c r="G29" s="529" t="e">
        <f t="shared" si="1"/>
        <v>#DIV/0!</v>
      </c>
    </row>
    <row r="30" spans="1:7" x14ac:dyDescent="0.2">
      <c r="A30" s="532" t="s">
        <v>936</v>
      </c>
      <c r="B30" s="533" t="str">
        <f>"Төрийн банк"</f>
        <v>Төрийн банк</v>
      </c>
      <c r="C30" s="314">
        <f t="shared" si="2"/>
        <v>22</v>
      </c>
      <c r="D30" s="534"/>
      <c r="E30" s="295"/>
      <c r="F30" s="535">
        <f t="shared" si="0"/>
        <v>0</v>
      </c>
      <c r="G30" s="529" t="e">
        <f t="shared" si="1"/>
        <v>#DIV/0!</v>
      </c>
    </row>
    <row r="31" spans="1:7" x14ac:dyDescent="0.2">
      <c r="A31" s="532" t="s">
        <v>937</v>
      </c>
      <c r="B31" s="533" t="str">
        <f>"Тээвэр Хөгжлийн банк"</f>
        <v>Тээвэр Хөгжлийн банк</v>
      </c>
      <c r="C31" s="314">
        <f t="shared" si="2"/>
        <v>23</v>
      </c>
      <c r="D31" s="534"/>
      <c r="E31" s="295"/>
      <c r="F31" s="535">
        <f t="shared" si="0"/>
        <v>0</v>
      </c>
      <c r="G31" s="529" t="e">
        <f t="shared" si="1"/>
        <v>#DIV/0!</v>
      </c>
    </row>
    <row r="32" spans="1:7" x14ac:dyDescent="0.2">
      <c r="A32" s="532" t="s">
        <v>938</v>
      </c>
      <c r="B32" s="533" t="str">
        <f>"Улаанбаатар хотын банк"</f>
        <v>Улаанбаатар хотын банк</v>
      </c>
      <c r="C32" s="314">
        <f t="shared" si="2"/>
        <v>24</v>
      </c>
      <c r="D32" s="534"/>
      <c r="E32" s="295"/>
      <c r="F32" s="535">
        <f t="shared" si="0"/>
        <v>0</v>
      </c>
      <c r="G32" s="529" t="e">
        <f t="shared" si="1"/>
        <v>#DIV/0!</v>
      </c>
    </row>
    <row r="33" spans="1:7" x14ac:dyDescent="0.2">
      <c r="A33" s="532" t="s">
        <v>939</v>
      </c>
      <c r="B33" s="533" t="str">
        <f>"Үндэсний хөрөнгө оруулалтын банк"</f>
        <v>Үндэсний хөрөнгө оруулалтын банк</v>
      </c>
      <c r="C33" s="314">
        <f t="shared" si="2"/>
        <v>25</v>
      </c>
      <c r="D33" s="534"/>
      <c r="E33" s="295"/>
      <c r="F33" s="535">
        <f t="shared" si="0"/>
        <v>0</v>
      </c>
      <c r="G33" s="529" t="e">
        <f t="shared" si="1"/>
        <v>#DIV/0!</v>
      </c>
    </row>
    <row r="34" spans="1:7" x14ac:dyDescent="0.2">
      <c r="A34" s="532" t="s">
        <v>940</v>
      </c>
      <c r="B34" s="533" t="str">
        <f>"Хаан банк"</f>
        <v>Хаан банк</v>
      </c>
      <c r="C34" s="314">
        <f t="shared" si="2"/>
        <v>26</v>
      </c>
      <c r="D34" s="534"/>
      <c r="E34" s="295"/>
      <c r="F34" s="535">
        <f t="shared" si="0"/>
        <v>0</v>
      </c>
      <c r="G34" s="529" t="e">
        <f t="shared" si="1"/>
        <v>#DIV/0!</v>
      </c>
    </row>
    <row r="35" spans="1:7" x14ac:dyDescent="0.2">
      <c r="A35" s="532" t="s">
        <v>941</v>
      </c>
      <c r="B35" s="533" t="str">
        <f>"Хас банк"</f>
        <v>Хас банк</v>
      </c>
      <c r="C35" s="314">
        <f t="shared" si="2"/>
        <v>27</v>
      </c>
      <c r="D35" s="534"/>
      <c r="E35" s="295"/>
      <c r="F35" s="535">
        <f t="shared" si="0"/>
        <v>0</v>
      </c>
      <c r="G35" s="529" t="e">
        <f t="shared" si="1"/>
        <v>#DIV/0!</v>
      </c>
    </row>
    <row r="36" spans="1:7" x14ac:dyDescent="0.2">
      <c r="A36" s="532" t="s">
        <v>942</v>
      </c>
      <c r="B36" s="533" t="str">
        <f>"Худалдаа хөгжлийн банк"</f>
        <v>Худалдаа хөгжлийн банк</v>
      </c>
      <c r="C36" s="314">
        <f t="shared" si="2"/>
        <v>28</v>
      </c>
      <c r="D36" s="534"/>
      <c r="E36" s="295"/>
      <c r="F36" s="535">
        <f t="shared" si="0"/>
        <v>0</v>
      </c>
      <c r="G36" s="529" t="e">
        <f t="shared" si="1"/>
        <v>#DIV/0!</v>
      </c>
    </row>
    <row r="37" spans="1:7" x14ac:dyDescent="0.2">
      <c r="A37" s="532" t="s">
        <v>1124</v>
      </c>
      <c r="B37" s="533" t="str">
        <f>"Чингис хаан банк"</f>
        <v>Чингис хаан банк</v>
      </c>
      <c r="C37" s="314">
        <f t="shared" si="2"/>
        <v>29</v>
      </c>
      <c r="D37" s="534"/>
      <c r="E37" s="295"/>
      <c r="F37" s="535">
        <f t="shared" ref="F37:F62" si="3">SUM(D37+E37)</f>
        <v>0</v>
      </c>
      <c r="G37" s="529" t="e">
        <f t="shared" si="1"/>
        <v>#DIV/0!</v>
      </c>
    </row>
    <row r="38" spans="1:7" ht="25.5" x14ac:dyDescent="0.2">
      <c r="A38" s="522">
        <v>4</v>
      </c>
      <c r="B38" s="530" t="s">
        <v>1125</v>
      </c>
      <c r="C38" s="24">
        <f>+C37+1</f>
        <v>30</v>
      </c>
      <c r="D38" s="531">
        <f>SUM(D39:D51)</f>
        <v>0</v>
      </c>
      <c r="E38" s="531">
        <f>SUM(E39:E51)</f>
        <v>0</v>
      </c>
      <c r="F38" s="528">
        <f t="shared" si="3"/>
        <v>0</v>
      </c>
      <c r="G38" s="529" t="e">
        <f t="shared" si="1"/>
        <v>#DIV/0!</v>
      </c>
    </row>
    <row r="39" spans="1:7" x14ac:dyDescent="0.2">
      <c r="A39" s="532" t="s">
        <v>725</v>
      </c>
      <c r="B39" s="533" t="str">
        <f>"Ариг банк"</f>
        <v>Ариг банк</v>
      </c>
      <c r="C39" s="314">
        <f t="shared" ref="C39:C65" si="4">C38+1</f>
        <v>31</v>
      </c>
      <c r="D39" s="295"/>
      <c r="E39" s="534"/>
      <c r="F39" s="535">
        <f t="shared" si="3"/>
        <v>0</v>
      </c>
      <c r="G39" s="529" t="e">
        <f t="shared" si="1"/>
        <v>#DIV/0!</v>
      </c>
    </row>
    <row r="40" spans="1:7" x14ac:dyDescent="0.2">
      <c r="A40" s="532" t="s">
        <v>726</v>
      </c>
      <c r="B40" s="533" t="str">
        <f>"Богд банк"</f>
        <v>Богд банк</v>
      </c>
      <c r="C40" s="314">
        <f t="shared" si="4"/>
        <v>32</v>
      </c>
      <c r="D40" s="537"/>
      <c r="E40" s="534"/>
      <c r="F40" s="535">
        <f t="shared" si="3"/>
        <v>0</v>
      </c>
      <c r="G40" s="529" t="e">
        <f t="shared" si="1"/>
        <v>#DIV/0!</v>
      </c>
    </row>
    <row r="41" spans="1:7" x14ac:dyDescent="0.2">
      <c r="A41" s="532" t="s">
        <v>727</v>
      </c>
      <c r="B41" s="533" t="str">
        <f>"Голомт банк"</f>
        <v>Голомт банк</v>
      </c>
      <c r="C41" s="538">
        <f t="shared" si="4"/>
        <v>33</v>
      </c>
      <c r="D41" s="539"/>
      <c r="E41" s="534"/>
      <c r="F41" s="535">
        <f t="shared" si="3"/>
        <v>0</v>
      </c>
      <c r="G41" s="529" t="e">
        <f t="shared" si="1"/>
        <v>#DIV/0!</v>
      </c>
    </row>
    <row r="42" spans="1:7" x14ac:dyDescent="0.2">
      <c r="A42" s="532" t="s">
        <v>728</v>
      </c>
      <c r="B42" s="533" t="str">
        <f>"Капитрон банк"</f>
        <v>Капитрон банк</v>
      </c>
      <c r="C42" s="538">
        <f t="shared" si="4"/>
        <v>34</v>
      </c>
      <c r="D42" s="539"/>
      <c r="E42" s="534"/>
      <c r="F42" s="535">
        <f t="shared" si="3"/>
        <v>0</v>
      </c>
      <c r="G42" s="529" t="e">
        <f t="shared" si="1"/>
        <v>#DIV/0!</v>
      </c>
    </row>
    <row r="43" spans="1:7" x14ac:dyDescent="0.2">
      <c r="A43" s="532" t="s">
        <v>944</v>
      </c>
      <c r="B43" s="533" t="str">
        <f>"Кредит банк"</f>
        <v>Кредит банк</v>
      </c>
      <c r="C43" s="538">
        <f t="shared" si="4"/>
        <v>35</v>
      </c>
      <c r="D43" s="540"/>
      <c r="E43" s="534"/>
      <c r="F43" s="535">
        <f t="shared" si="3"/>
        <v>0</v>
      </c>
      <c r="G43" s="529" t="e">
        <f t="shared" si="1"/>
        <v>#DIV/0!</v>
      </c>
    </row>
    <row r="44" spans="1:7" x14ac:dyDescent="0.2">
      <c r="A44" s="532" t="s">
        <v>945</v>
      </c>
      <c r="B44" s="533" t="str">
        <f>"Төрийн банк"</f>
        <v>Төрийн банк</v>
      </c>
      <c r="C44" s="314">
        <f t="shared" si="4"/>
        <v>36</v>
      </c>
      <c r="D44" s="541"/>
      <c r="E44" s="534"/>
      <c r="F44" s="535">
        <f t="shared" si="3"/>
        <v>0</v>
      </c>
      <c r="G44" s="529" t="e">
        <f t="shared" si="1"/>
        <v>#DIV/0!</v>
      </c>
    </row>
    <row r="45" spans="1:7" x14ac:dyDescent="0.2">
      <c r="A45" s="532" t="s">
        <v>946</v>
      </c>
      <c r="B45" s="533" t="str">
        <f>"Тээвэр Хөгжлийн банк"</f>
        <v>Тээвэр Хөгжлийн банк</v>
      </c>
      <c r="C45" s="314">
        <f t="shared" si="4"/>
        <v>37</v>
      </c>
      <c r="D45" s="295"/>
      <c r="E45" s="534"/>
      <c r="F45" s="535">
        <f>SUM(D45+E45)</f>
        <v>0</v>
      </c>
      <c r="G45" s="529" t="e">
        <f t="shared" si="1"/>
        <v>#DIV/0!</v>
      </c>
    </row>
    <row r="46" spans="1:7" x14ac:dyDescent="0.2">
      <c r="A46" s="532" t="s">
        <v>947</v>
      </c>
      <c r="B46" s="533" t="str">
        <f>"Улаанбаатар хотын банк"</f>
        <v>Улаанбаатар хотын банк</v>
      </c>
      <c r="C46" s="314">
        <f t="shared" si="4"/>
        <v>38</v>
      </c>
      <c r="D46" s="295"/>
      <c r="E46" s="534"/>
      <c r="F46" s="535">
        <f t="shared" si="3"/>
        <v>0</v>
      </c>
      <c r="G46" s="529" t="e">
        <f t="shared" si="1"/>
        <v>#DIV/0!</v>
      </c>
    </row>
    <row r="47" spans="1:7" x14ac:dyDescent="0.2">
      <c r="A47" s="532" t="s">
        <v>948</v>
      </c>
      <c r="B47" s="533" t="str">
        <f>"Үндэсний хөрөнгө оруулалтын банк"</f>
        <v>Үндэсний хөрөнгө оруулалтын банк</v>
      </c>
      <c r="C47" s="314">
        <f t="shared" si="4"/>
        <v>39</v>
      </c>
      <c r="D47" s="295"/>
      <c r="E47" s="534"/>
      <c r="F47" s="535">
        <f t="shared" si="3"/>
        <v>0</v>
      </c>
      <c r="G47" s="529" t="e">
        <f t="shared" si="1"/>
        <v>#DIV/0!</v>
      </c>
    </row>
    <row r="48" spans="1:7" x14ac:dyDescent="0.2">
      <c r="A48" s="532" t="s">
        <v>949</v>
      </c>
      <c r="B48" s="533" t="str">
        <f>"Хаан банк"</f>
        <v>Хаан банк</v>
      </c>
      <c r="C48" s="314">
        <f t="shared" si="4"/>
        <v>40</v>
      </c>
      <c r="D48" s="295"/>
      <c r="E48" s="534"/>
      <c r="F48" s="535">
        <f t="shared" si="3"/>
        <v>0</v>
      </c>
      <c r="G48" s="529" t="e">
        <f t="shared" si="1"/>
        <v>#DIV/0!</v>
      </c>
    </row>
    <row r="49" spans="1:7" x14ac:dyDescent="0.2">
      <c r="A49" s="532" t="s">
        <v>950</v>
      </c>
      <c r="B49" s="533" t="str">
        <f>"Хас банк"</f>
        <v>Хас банк</v>
      </c>
      <c r="C49" s="314">
        <f t="shared" si="4"/>
        <v>41</v>
      </c>
      <c r="D49" s="295"/>
      <c r="E49" s="534"/>
      <c r="F49" s="535">
        <f t="shared" si="3"/>
        <v>0</v>
      </c>
      <c r="G49" s="529" t="e">
        <f t="shared" si="1"/>
        <v>#DIV/0!</v>
      </c>
    </row>
    <row r="50" spans="1:7" x14ac:dyDescent="0.2">
      <c r="A50" s="532" t="s">
        <v>951</v>
      </c>
      <c r="B50" s="533" t="str">
        <f>"Худалдаа хөгжлийн банк"</f>
        <v>Худалдаа хөгжлийн банк</v>
      </c>
      <c r="C50" s="314">
        <f t="shared" si="4"/>
        <v>42</v>
      </c>
      <c r="D50" s="295"/>
      <c r="E50" s="534"/>
      <c r="F50" s="535">
        <f t="shared" si="3"/>
        <v>0</v>
      </c>
      <c r="G50" s="529" t="e">
        <f t="shared" si="1"/>
        <v>#DIV/0!</v>
      </c>
    </row>
    <row r="51" spans="1:7" x14ac:dyDescent="0.2">
      <c r="A51" s="532" t="s">
        <v>1126</v>
      </c>
      <c r="B51" s="533" t="str">
        <f>"Чингис хаан банк"</f>
        <v>Чингис хаан банк</v>
      </c>
      <c r="C51" s="314">
        <f t="shared" si="4"/>
        <v>43</v>
      </c>
      <c r="D51" s="295"/>
      <c r="E51" s="534"/>
      <c r="F51" s="535">
        <f t="shared" si="3"/>
        <v>0</v>
      </c>
      <c r="G51" s="529" t="e">
        <f t="shared" si="1"/>
        <v>#DIV/0!</v>
      </c>
    </row>
    <row r="52" spans="1:7" ht="25.5" x14ac:dyDescent="0.2">
      <c r="A52" s="522">
        <v>5</v>
      </c>
      <c r="B52" s="530" t="s">
        <v>1127</v>
      </c>
      <c r="C52" s="24">
        <f>+C51+1</f>
        <v>44</v>
      </c>
      <c r="D52" s="531">
        <f>SUM(D53:D65)</f>
        <v>0</v>
      </c>
      <c r="E52" s="531">
        <f>SUM(E53:E65)</f>
        <v>0</v>
      </c>
      <c r="F52" s="528">
        <f>SUM(D52+E52)</f>
        <v>0</v>
      </c>
      <c r="G52" s="529" t="e">
        <f t="shared" si="1"/>
        <v>#DIV/0!</v>
      </c>
    </row>
    <row r="53" spans="1:7" x14ac:dyDescent="0.2">
      <c r="A53" s="532" t="s">
        <v>729</v>
      </c>
      <c r="B53" s="533" t="str">
        <f>"Ариг банк"</f>
        <v>Ариг банк</v>
      </c>
      <c r="C53" s="314">
        <f t="shared" si="4"/>
        <v>45</v>
      </c>
      <c r="D53" s="295"/>
      <c r="E53" s="30"/>
      <c r="F53" s="535">
        <f t="shared" si="3"/>
        <v>0</v>
      </c>
      <c r="G53" s="529" t="e">
        <f t="shared" si="1"/>
        <v>#DIV/0!</v>
      </c>
    </row>
    <row r="54" spans="1:7" x14ac:dyDescent="0.2">
      <c r="A54" s="532" t="s">
        <v>730</v>
      </c>
      <c r="B54" s="533" t="str">
        <f>"Богд банк"</f>
        <v>Богд банк</v>
      </c>
      <c r="C54" s="314">
        <f t="shared" si="4"/>
        <v>46</v>
      </c>
      <c r="D54" s="295"/>
      <c r="E54" s="30"/>
      <c r="F54" s="535">
        <f t="shared" si="3"/>
        <v>0</v>
      </c>
      <c r="G54" s="529" t="e">
        <f t="shared" si="1"/>
        <v>#DIV/0!</v>
      </c>
    </row>
    <row r="55" spans="1:7" x14ac:dyDescent="0.2">
      <c r="A55" s="532" t="s">
        <v>732</v>
      </c>
      <c r="B55" s="533" t="str">
        <f>"Голомт банк"</f>
        <v>Голомт банк</v>
      </c>
      <c r="C55" s="314">
        <f t="shared" si="4"/>
        <v>47</v>
      </c>
      <c r="D55" s="295"/>
      <c r="E55" s="30"/>
      <c r="F55" s="535">
        <f t="shared" si="3"/>
        <v>0</v>
      </c>
      <c r="G55" s="529" t="e">
        <f t="shared" si="1"/>
        <v>#DIV/0!</v>
      </c>
    </row>
    <row r="56" spans="1:7" x14ac:dyDescent="0.2">
      <c r="A56" s="532" t="s">
        <v>733</v>
      </c>
      <c r="B56" s="533" t="str">
        <f>"Капитрон банк"</f>
        <v>Капитрон банк</v>
      </c>
      <c r="C56" s="314">
        <f t="shared" si="4"/>
        <v>48</v>
      </c>
      <c r="D56" s="295"/>
      <c r="E56" s="30"/>
      <c r="F56" s="535">
        <f t="shared" si="3"/>
        <v>0</v>
      </c>
      <c r="G56" s="529" t="e">
        <f t="shared" si="1"/>
        <v>#DIV/0!</v>
      </c>
    </row>
    <row r="57" spans="1:7" x14ac:dyDescent="0.2">
      <c r="A57" s="532" t="s">
        <v>953</v>
      </c>
      <c r="B57" s="533" t="str">
        <f>"Кредит банк"</f>
        <v>Кредит банк</v>
      </c>
      <c r="C57" s="314">
        <f t="shared" si="4"/>
        <v>49</v>
      </c>
      <c r="D57" s="295"/>
      <c r="E57" s="30"/>
      <c r="F57" s="535">
        <f t="shared" si="3"/>
        <v>0</v>
      </c>
      <c r="G57" s="529" t="e">
        <f t="shared" si="1"/>
        <v>#DIV/0!</v>
      </c>
    </row>
    <row r="58" spans="1:7" x14ac:dyDescent="0.2">
      <c r="A58" s="532" t="s">
        <v>954</v>
      </c>
      <c r="B58" s="533" t="str">
        <f>"Төрийн банк"</f>
        <v>Төрийн банк</v>
      </c>
      <c r="C58" s="314">
        <f t="shared" si="4"/>
        <v>50</v>
      </c>
      <c r="D58" s="295"/>
      <c r="E58" s="30"/>
      <c r="F58" s="535">
        <f t="shared" si="3"/>
        <v>0</v>
      </c>
      <c r="G58" s="529" t="e">
        <f t="shared" si="1"/>
        <v>#DIV/0!</v>
      </c>
    </row>
    <row r="59" spans="1:7" x14ac:dyDescent="0.2">
      <c r="A59" s="532" t="s">
        <v>955</v>
      </c>
      <c r="B59" s="533" t="str">
        <f>"Тээвэр Хөгжлийн банк"</f>
        <v>Тээвэр Хөгжлийн банк</v>
      </c>
      <c r="C59" s="314">
        <f t="shared" si="4"/>
        <v>51</v>
      </c>
      <c r="D59" s="295"/>
      <c r="E59" s="30"/>
      <c r="F59" s="535">
        <f t="shared" si="3"/>
        <v>0</v>
      </c>
      <c r="G59" s="529" t="e">
        <f t="shared" si="1"/>
        <v>#DIV/0!</v>
      </c>
    </row>
    <row r="60" spans="1:7" x14ac:dyDescent="0.2">
      <c r="A60" s="532" t="s">
        <v>956</v>
      </c>
      <c r="B60" s="533" t="str">
        <f>"Улаанбаатар хотын банк"</f>
        <v>Улаанбаатар хотын банк</v>
      </c>
      <c r="C60" s="314">
        <f t="shared" si="4"/>
        <v>52</v>
      </c>
      <c r="D60" s="295"/>
      <c r="E60" s="30"/>
      <c r="F60" s="535">
        <f t="shared" si="3"/>
        <v>0</v>
      </c>
      <c r="G60" s="529" t="e">
        <f t="shared" si="1"/>
        <v>#DIV/0!</v>
      </c>
    </row>
    <row r="61" spans="1:7" x14ac:dyDescent="0.2">
      <c r="A61" s="532" t="s">
        <v>957</v>
      </c>
      <c r="B61" s="533" t="str">
        <f>"Үндэсний хөрөнгө оруулалтын банк"</f>
        <v>Үндэсний хөрөнгө оруулалтын банк</v>
      </c>
      <c r="C61" s="314">
        <f t="shared" si="4"/>
        <v>53</v>
      </c>
      <c r="D61" s="295"/>
      <c r="E61" s="30"/>
      <c r="F61" s="535">
        <f t="shared" si="3"/>
        <v>0</v>
      </c>
      <c r="G61" s="529" t="e">
        <f t="shared" si="1"/>
        <v>#DIV/0!</v>
      </c>
    </row>
    <row r="62" spans="1:7" x14ac:dyDescent="0.2">
      <c r="A62" s="532" t="s">
        <v>958</v>
      </c>
      <c r="B62" s="533" t="str">
        <f>"Хаан банк"</f>
        <v>Хаан банк</v>
      </c>
      <c r="C62" s="314">
        <f t="shared" si="4"/>
        <v>54</v>
      </c>
      <c r="D62" s="295"/>
      <c r="E62" s="30"/>
      <c r="F62" s="535">
        <f t="shared" si="3"/>
        <v>0</v>
      </c>
      <c r="G62" s="529" t="e">
        <f t="shared" si="1"/>
        <v>#DIV/0!</v>
      </c>
    </row>
    <row r="63" spans="1:7" x14ac:dyDescent="0.2">
      <c r="A63" s="532" t="s">
        <v>959</v>
      </c>
      <c r="B63" s="533" t="str">
        <f>"Хас банк"</f>
        <v>Хас банк</v>
      </c>
      <c r="C63" s="314">
        <f t="shared" si="4"/>
        <v>55</v>
      </c>
      <c r="D63" s="295"/>
      <c r="E63" s="30"/>
      <c r="F63" s="535">
        <f>SUM(D63+E63)</f>
        <v>0</v>
      </c>
      <c r="G63" s="529" t="e">
        <f t="shared" si="1"/>
        <v>#DIV/0!</v>
      </c>
    </row>
    <row r="64" spans="1:7" x14ac:dyDescent="0.2">
      <c r="A64" s="532" t="s">
        <v>960</v>
      </c>
      <c r="B64" s="533" t="str">
        <f>"Худалдаа хөгжлийн банк"</f>
        <v>Худалдаа хөгжлийн банк</v>
      </c>
      <c r="C64" s="314">
        <f t="shared" si="4"/>
        <v>56</v>
      </c>
      <c r="D64" s="295"/>
      <c r="E64" s="30"/>
      <c r="F64" s="535">
        <f>SUM(D64+E64)</f>
        <v>0</v>
      </c>
      <c r="G64" s="529" t="e">
        <f t="shared" si="1"/>
        <v>#DIV/0!</v>
      </c>
    </row>
    <row r="65" spans="1:8" x14ac:dyDescent="0.2">
      <c r="A65" s="532" t="s">
        <v>1128</v>
      </c>
      <c r="B65" s="533" t="str">
        <f>"Чингис хаан банк"</f>
        <v>Чингис хаан банк</v>
      </c>
      <c r="C65" s="314">
        <f t="shared" si="4"/>
        <v>57</v>
      </c>
      <c r="D65" s="537"/>
      <c r="E65" s="30"/>
      <c r="F65" s="542">
        <f>SUM(D65+E65)</f>
        <v>0</v>
      </c>
      <c r="G65" s="529" t="e">
        <f t="shared" si="1"/>
        <v>#DIV/0!</v>
      </c>
    </row>
    <row r="66" spans="1:8" x14ac:dyDescent="0.2">
      <c r="A66" s="543">
        <v>6</v>
      </c>
      <c r="B66" s="544" t="s">
        <v>1129</v>
      </c>
      <c r="C66" s="251">
        <f>+C65+1</f>
        <v>58</v>
      </c>
      <c r="D66" s="545"/>
      <c r="E66" s="545"/>
      <c r="F66" s="30"/>
      <c r="G66" s="529" t="e">
        <f t="shared" si="1"/>
        <v>#DIV/0!</v>
      </c>
      <c r="H66" s="288" t="str">
        <f>IF(F66&gt;[1]i.04101!E18, "Алдаатай дүн оруулсан", "")</f>
        <v/>
      </c>
    </row>
    <row r="67" spans="1:8" x14ac:dyDescent="0.2">
      <c r="A67" s="543">
        <v>7</v>
      </c>
      <c r="B67" s="546" t="s">
        <v>32</v>
      </c>
      <c r="C67" s="543">
        <f>+C66+1</f>
        <v>59</v>
      </c>
      <c r="D67" s="547">
        <f>+D9+D10+D24+D38+D52+D66</f>
        <v>0</v>
      </c>
      <c r="E67" s="547">
        <f>+E10+E24+E38+E52+E66</f>
        <v>0</v>
      </c>
      <c r="F67" s="548">
        <f>SUM(F9,F10,F24,F38,F52,F66)</f>
        <v>0</v>
      </c>
      <c r="G67" s="529" t="e">
        <f t="shared" si="1"/>
        <v>#DIV/0!</v>
      </c>
    </row>
    <row r="68" spans="1:8" x14ac:dyDescent="0.2">
      <c r="F68" s="549"/>
    </row>
    <row r="69" spans="1:8" x14ac:dyDescent="0.2">
      <c r="B69" s="550" t="str">
        <f>+[1]i.04108!C32</f>
        <v>тамга тэмдэг</v>
      </c>
      <c r="F69" s="551"/>
    </row>
    <row r="71" spans="1:8" x14ac:dyDescent="0.2">
      <c r="B71" s="524" t="str">
        <f>+[1]i.04108!C34</f>
        <v xml:space="preserve">ТАЙЛАН ГАРГАСАН:    </v>
      </c>
    </row>
    <row r="73" spans="1:8" x14ac:dyDescent="0.2">
      <c r="B73" s="524" t="str">
        <f>+[1]i.04108!C36</f>
        <v xml:space="preserve"> Гүйцэтгэх захирал</v>
      </c>
      <c r="C73" s="524" t="str">
        <f>+[1]i.04108!D36</f>
        <v xml:space="preserve">/................................../   </v>
      </c>
      <c r="E73" s="524" t="str">
        <f>+[1]i.04108!F36</f>
        <v>/................................./</v>
      </c>
    </row>
    <row r="75" spans="1:8" x14ac:dyDescent="0.2">
      <c r="B75" s="524" t="str">
        <f>+[1]i.04108!C38</f>
        <v xml:space="preserve"> Ерөнхий нягтлан бодогч  </v>
      </c>
      <c r="C75" s="524" t="str">
        <f>+[1]i.04108!D38</f>
        <v xml:space="preserve">/.................................../   </v>
      </c>
      <c r="E75" s="524" t="str">
        <f>+[1]i.04108!F38</f>
        <v>/................................/</v>
      </c>
    </row>
    <row r="77" spans="1:8" x14ac:dyDescent="0.2">
      <c r="B77" s="524" t="str">
        <f>+[1]i.04108!C40</f>
        <v>...................................................</v>
      </c>
      <c r="C77" s="524" t="str">
        <f>+[1]i.04108!D40</f>
        <v xml:space="preserve">/................................../   </v>
      </c>
      <c r="E77" s="524" t="str">
        <f>+[1]i.04108!F40</f>
        <v>/................................/</v>
      </c>
    </row>
  </sheetData>
  <sheetProtection password="CA9F" sheet="1" objects="1" scenarios="1"/>
  <mergeCells count="4">
    <mergeCell ref="D1:G1"/>
    <mergeCell ref="A3:G3"/>
    <mergeCell ref="A5:C5"/>
    <mergeCell ref="F5:G5"/>
  </mergeCells>
  <dataValidations count="1">
    <dataValidation type="decimal" allowBlank="1" showInputMessage="1" showErrorMessage="1" sqref="E9:F23 D9:D40 F24:F67 E24:E65 D43:D65" xr:uid="{BA9FB4BF-ABBD-459E-B6EA-745F4068E0A5}">
      <formula1>0</formula1>
      <formula2>1E+27</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6"/>
  <sheetViews>
    <sheetView topLeftCell="A4" zoomScaleNormal="100" zoomScalePageLayoutView="60" workbookViewId="0">
      <selection activeCell="D95" sqref="D95"/>
    </sheetView>
  </sheetViews>
  <sheetFormatPr defaultRowHeight="12.75" x14ac:dyDescent="0.2"/>
  <cols>
    <col min="1" max="1" width="11.5703125" style="62"/>
    <col min="2" max="2" width="75.7109375" style="62"/>
    <col min="3" max="3" width="8.28515625" style="62" customWidth="1"/>
    <col min="4" max="6" width="22" style="62" customWidth="1"/>
    <col min="7" max="1025" width="11.5703125" style="62"/>
    <col min="1026" max="16384" width="9.140625" style="62"/>
  </cols>
  <sheetData>
    <row r="1" spans="1:7" x14ac:dyDescent="0.2">
      <c r="A1" s="123"/>
      <c r="B1" s="125"/>
      <c r="C1" s="125"/>
      <c r="D1" s="575" t="s">
        <v>394</v>
      </c>
      <c r="E1" s="575"/>
      <c r="F1" s="575"/>
      <c r="G1" s="575"/>
    </row>
    <row r="2" spans="1:7" x14ac:dyDescent="0.2">
      <c r="A2" s="123"/>
      <c r="B2" s="125"/>
      <c r="C2" s="125"/>
      <c r="D2" s="575"/>
      <c r="E2" s="575"/>
      <c r="F2" s="575"/>
      <c r="G2" s="575"/>
    </row>
    <row r="3" spans="1:7" x14ac:dyDescent="0.2">
      <c r="A3" s="123"/>
      <c r="B3" s="574" t="s">
        <v>395</v>
      </c>
      <c r="C3" s="574"/>
      <c r="D3" s="574"/>
      <c r="E3" s="574"/>
      <c r="F3" s="123"/>
      <c r="G3" s="123"/>
    </row>
    <row r="4" spans="1:7" x14ac:dyDescent="0.2">
      <c r="A4" s="123"/>
      <c r="B4" s="123"/>
      <c r="C4" s="123"/>
      <c r="D4" s="123"/>
      <c r="E4" s="123"/>
      <c r="F4" s="123"/>
      <c r="G4" s="123"/>
    </row>
    <row r="5" spans="1:7" x14ac:dyDescent="0.2">
      <c r="A5" s="123" t="s">
        <v>277</v>
      </c>
      <c r="B5" s="125"/>
      <c r="C5" s="125"/>
      <c r="D5" s="123"/>
      <c r="E5" s="123"/>
      <c r="F5" s="573" t="s">
        <v>278</v>
      </c>
      <c r="G5" s="573"/>
    </row>
    <row r="6" spans="1:7" x14ac:dyDescent="0.2">
      <c r="A6" s="123"/>
      <c r="B6" s="123"/>
      <c r="C6" s="123"/>
      <c r="D6" s="123"/>
      <c r="E6" s="123"/>
      <c r="F6" s="126"/>
      <c r="G6" s="1" t="s">
        <v>279</v>
      </c>
    </row>
    <row r="7" spans="1:7" ht="25.5" x14ac:dyDescent="0.2">
      <c r="A7" s="127"/>
      <c r="B7" s="128" t="s">
        <v>1</v>
      </c>
      <c r="C7" s="128" t="s">
        <v>295</v>
      </c>
      <c r="D7" s="128" t="s">
        <v>20</v>
      </c>
      <c r="E7" s="128" t="s">
        <v>21</v>
      </c>
      <c r="F7" s="128" t="s">
        <v>22</v>
      </c>
      <c r="G7" s="128" t="s">
        <v>23</v>
      </c>
    </row>
    <row r="8" spans="1:7" x14ac:dyDescent="0.2">
      <c r="A8" s="127" t="s">
        <v>282</v>
      </c>
      <c r="B8" s="128" t="s">
        <v>283</v>
      </c>
      <c r="C8" s="128" t="s">
        <v>297</v>
      </c>
      <c r="D8" s="128">
        <v>1</v>
      </c>
      <c r="E8" s="128">
        <v>2</v>
      </c>
      <c r="F8" s="128">
        <v>3</v>
      </c>
      <c r="G8" s="128">
        <v>4</v>
      </c>
    </row>
    <row r="9" spans="1:7" x14ac:dyDescent="0.2">
      <c r="A9" s="127">
        <v>1</v>
      </c>
      <c r="B9" s="145" t="s">
        <v>121</v>
      </c>
      <c r="C9" s="147">
        <v>1</v>
      </c>
      <c r="D9" s="146">
        <v>0</v>
      </c>
      <c r="E9" s="146">
        <v>0</v>
      </c>
      <c r="F9" s="132">
        <f t="shared" ref="F9:F72" si="0">D9+E9</f>
        <v>0</v>
      </c>
      <c r="G9" s="148" t="e">
        <f>F9/$F$95</f>
        <v>#DIV/0!</v>
      </c>
    </row>
    <row r="10" spans="1:7" x14ac:dyDescent="0.2">
      <c r="A10" s="127">
        <v>2</v>
      </c>
      <c r="B10" s="140" t="s">
        <v>396</v>
      </c>
      <c r="C10" s="149">
        <v>2</v>
      </c>
      <c r="D10" s="132">
        <f>SUM(D11:D22)</f>
        <v>0</v>
      </c>
      <c r="E10" s="132">
        <f>SUM(E11:E22)</f>
        <v>0</v>
      </c>
      <c r="F10" s="132">
        <f t="shared" si="0"/>
        <v>0</v>
      </c>
      <c r="G10" s="148" t="e">
        <f t="shared" ref="G10:G73" si="1">F10/$F$95</f>
        <v>#DIV/0!</v>
      </c>
    </row>
    <row r="11" spans="1:7" x14ac:dyDescent="0.2">
      <c r="A11" s="133">
        <v>2.1</v>
      </c>
      <c r="B11" s="134" t="s">
        <v>272</v>
      </c>
      <c r="C11" s="150">
        <v>3</v>
      </c>
      <c r="D11" s="131"/>
      <c r="E11" s="138"/>
      <c r="F11" s="136">
        <f t="shared" si="0"/>
        <v>0</v>
      </c>
      <c r="G11" s="148" t="e">
        <f t="shared" si="1"/>
        <v>#DIV/0!</v>
      </c>
    </row>
    <row r="12" spans="1:7" x14ac:dyDescent="0.2">
      <c r="A12" s="133">
        <v>2.2000000000000002</v>
      </c>
      <c r="B12" s="134" t="s">
        <v>274</v>
      </c>
      <c r="C12" s="150">
        <v>4</v>
      </c>
      <c r="D12" s="131"/>
      <c r="E12" s="138"/>
      <c r="F12" s="136">
        <f t="shared" si="0"/>
        <v>0</v>
      </c>
      <c r="G12" s="148" t="e">
        <f t="shared" si="1"/>
        <v>#DIV/0!</v>
      </c>
    </row>
    <row r="13" spans="1:7" x14ac:dyDescent="0.2">
      <c r="A13" s="133">
        <v>2.2999999999999998</v>
      </c>
      <c r="B13" s="134" t="s">
        <v>266</v>
      </c>
      <c r="C13" s="150">
        <v>5</v>
      </c>
      <c r="D13" s="131"/>
      <c r="E13" s="138"/>
      <c r="F13" s="136">
        <f t="shared" si="0"/>
        <v>0</v>
      </c>
      <c r="G13" s="148" t="e">
        <f t="shared" si="1"/>
        <v>#DIV/0!</v>
      </c>
    </row>
    <row r="14" spans="1:7" x14ac:dyDescent="0.2">
      <c r="A14" s="133">
        <v>2.4</v>
      </c>
      <c r="B14" s="134" t="s">
        <v>271</v>
      </c>
      <c r="C14" s="151">
        <v>6</v>
      </c>
      <c r="D14" s="131"/>
      <c r="E14" s="138"/>
      <c r="F14" s="136">
        <f t="shared" si="0"/>
        <v>0</v>
      </c>
      <c r="G14" s="148" t="e">
        <f t="shared" si="1"/>
        <v>#DIV/0!</v>
      </c>
    </row>
    <row r="15" spans="1:7" x14ac:dyDescent="0.2">
      <c r="A15" s="133">
        <v>2.5</v>
      </c>
      <c r="B15" s="134" t="s">
        <v>273</v>
      </c>
      <c r="C15" s="150">
        <v>7</v>
      </c>
      <c r="D15" s="131"/>
      <c r="E15" s="138"/>
      <c r="F15" s="136">
        <f t="shared" si="0"/>
        <v>0</v>
      </c>
      <c r="G15" s="148" t="e">
        <f t="shared" si="1"/>
        <v>#DIV/0!</v>
      </c>
    </row>
    <row r="16" spans="1:7" x14ac:dyDescent="0.2">
      <c r="A16" s="133">
        <v>2.6</v>
      </c>
      <c r="B16" s="134" t="s">
        <v>268</v>
      </c>
      <c r="C16" s="150">
        <v>8</v>
      </c>
      <c r="D16" s="131"/>
      <c r="E16" s="138"/>
      <c r="F16" s="136">
        <f t="shared" si="0"/>
        <v>0</v>
      </c>
      <c r="G16" s="148" t="e">
        <f t="shared" si="1"/>
        <v>#DIV/0!</v>
      </c>
    </row>
    <row r="17" spans="1:7" x14ac:dyDescent="0.2">
      <c r="A17" s="133">
        <v>2.7</v>
      </c>
      <c r="B17" s="134" t="s">
        <v>397</v>
      </c>
      <c r="C17" s="150">
        <v>9</v>
      </c>
      <c r="D17" s="131"/>
      <c r="E17" s="138"/>
      <c r="F17" s="136">
        <f t="shared" si="0"/>
        <v>0</v>
      </c>
      <c r="G17" s="148" t="e">
        <f t="shared" si="1"/>
        <v>#DIV/0!</v>
      </c>
    </row>
    <row r="18" spans="1:7" x14ac:dyDescent="0.2">
      <c r="A18" s="133">
        <v>2.8</v>
      </c>
      <c r="B18" s="134" t="s">
        <v>270</v>
      </c>
      <c r="C18" s="151">
        <v>10</v>
      </c>
      <c r="D18" s="131"/>
      <c r="E18" s="138"/>
      <c r="F18" s="136">
        <f t="shared" si="0"/>
        <v>0</v>
      </c>
      <c r="G18" s="148" t="e">
        <f t="shared" si="1"/>
        <v>#DIV/0!</v>
      </c>
    </row>
    <row r="19" spans="1:7" x14ac:dyDescent="0.2">
      <c r="A19" s="133">
        <v>2.9</v>
      </c>
      <c r="B19" s="134" t="s">
        <v>265</v>
      </c>
      <c r="C19" s="150">
        <v>11</v>
      </c>
      <c r="D19" s="131"/>
      <c r="E19" s="138"/>
      <c r="F19" s="136">
        <f t="shared" si="0"/>
        <v>0</v>
      </c>
      <c r="G19" s="148" t="e">
        <f t="shared" si="1"/>
        <v>#DIV/0!</v>
      </c>
    </row>
    <row r="20" spans="1:7" x14ac:dyDescent="0.2">
      <c r="A20" s="152">
        <v>2.1</v>
      </c>
      <c r="B20" s="134" t="s">
        <v>269</v>
      </c>
      <c r="C20" s="150">
        <v>12</v>
      </c>
      <c r="D20" s="131"/>
      <c r="E20" s="138"/>
      <c r="F20" s="136">
        <f t="shared" si="0"/>
        <v>0</v>
      </c>
      <c r="G20" s="148" t="e">
        <f t="shared" si="1"/>
        <v>#DIV/0!</v>
      </c>
    </row>
    <row r="21" spans="1:7" x14ac:dyDescent="0.2">
      <c r="A21" s="133">
        <v>2.11</v>
      </c>
      <c r="B21" s="134" t="s">
        <v>267</v>
      </c>
      <c r="C21" s="150">
        <v>13</v>
      </c>
      <c r="D21" s="131"/>
      <c r="E21" s="138"/>
      <c r="F21" s="136">
        <f t="shared" si="0"/>
        <v>0</v>
      </c>
      <c r="G21" s="148" t="e">
        <f t="shared" si="1"/>
        <v>#DIV/0!</v>
      </c>
    </row>
    <row r="22" spans="1:7" x14ac:dyDescent="0.2">
      <c r="A22" s="133">
        <v>2.12</v>
      </c>
      <c r="B22" s="134" t="s">
        <v>398</v>
      </c>
      <c r="C22" s="151">
        <v>14</v>
      </c>
      <c r="D22" s="131"/>
      <c r="E22" s="138"/>
      <c r="F22" s="136">
        <f t="shared" si="0"/>
        <v>0</v>
      </c>
      <c r="G22" s="148" t="e">
        <f t="shared" si="1"/>
        <v>#DIV/0!</v>
      </c>
    </row>
    <row r="23" spans="1:7" x14ac:dyDescent="0.2">
      <c r="A23" s="127">
        <v>3</v>
      </c>
      <c r="B23" s="140" t="s">
        <v>399</v>
      </c>
      <c r="C23" s="147">
        <v>15</v>
      </c>
      <c r="D23" s="132">
        <f>SUM(D24:D35)</f>
        <v>0</v>
      </c>
      <c r="E23" s="132">
        <f>SUM(E24:E35)</f>
        <v>0</v>
      </c>
      <c r="F23" s="132">
        <f t="shared" si="0"/>
        <v>0</v>
      </c>
      <c r="G23" s="148" t="e">
        <f t="shared" si="1"/>
        <v>#DIV/0!</v>
      </c>
    </row>
    <row r="24" spans="1:7" x14ac:dyDescent="0.2">
      <c r="A24" s="133">
        <v>3.1</v>
      </c>
      <c r="B24" s="134" t="s">
        <v>272</v>
      </c>
      <c r="C24" s="150">
        <v>16</v>
      </c>
      <c r="D24" s="131"/>
      <c r="E24" s="138"/>
      <c r="F24" s="136">
        <f t="shared" si="0"/>
        <v>0</v>
      </c>
      <c r="G24" s="148" t="e">
        <f t="shared" si="1"/>
        <v>#DIV/0!</v>
      </c>
    </row>
    <row r="25" spans="1:7" x14ac:dyDescent="0.2">
      <c r="A25" s="133">
        <v>3.2</v>
      </c>
      <c r="B25" s="134" t="s">
        <v>274</v>
      </c>
      <c r="C25" s="150">
        <v>17</v>
      </c>
      <c r="D25" s="131"/>
      <c r="E25" s="138"/>
      <c r="F25" s="136">
        <f t="shared" si="0"/>
        <v>0</v>
      </c>
      <c r="G25" s="148" t="e">
        <f t="shared" si="1"/>
        <v>#DIV/0!</v>
      </c>
    </row>
    <row r="26" spans="1:7" x14ac:dyDescent="0.2">
      <c r="A26" s="133">
        <v>3.3</v>
      </c>
      <c r="B26" s="134" t="s">
        <v>266</v>
      </c>
      <c r="C26" s="151">
        <v>18</v>
      </c>
      <c r="D26" s="131"/>
      <c r="E26" s="138"/>
      <c r="F26" s="136">
        <f t="shared" si="0"/>
        <v>0</v>
      </c>
      <c r="G26" s="148" t="e">
        <f t="shared" si="1"/>
        <v>#DIV/0!</v>
      </c>
    </row>
    <row r="27" spans="1:7" x14ac:dyDescent="0.2">
      <c r="A27" s="133">
        <v>3.4</v>
      </c>
      <c r="B27" s="134" t="s">
        <v>271</v>
      </c>
      <c r="C27" s="150">
        <v>19</v>
      </c>
      <c r="D27" s="131"/>
      <c r="E27" s="138"/>
      <c r="F27" s="136">
        <f t="shared" si="0"/>
        <v>0</v>
      </c>
      <c r="G27" s="148" t="e">
        <f t="shared" si="1"/>
        <v>#DIV/0!</v>
      </c>
    </row>
    <row r="28" spans="1:7" x14ac:dyDescent="0.2">
      <c r="A28" s="133">
        <v>3.5</v>
      </c>
      <c r="B28" s="134" t="s">
        <v>273</v>
      </c>
      <c r="C28" s="150">
        <v>20</v>
      </c>
      <c r="D28" s="131"/>
      <c r="E28" s="138"/>
      <c r="F28" s="136">
        <f t="shared" si="0"/>
        <v>0</v>
      </c>
      <c r="G28" s="148" t="e">
        <f t="shared" si="1"/>
        <v>#DIV/0!</v>
      </c>
    </row>
    <row r="29" spans="1:7" x14ac:dyDescent="0.2">
      <c r="A29" s="133">
        <v>3.6</v>
      </c>
      <c r="B29" s="134" t="s">
        <v>268</v>
      </c>
      <c r="C29" s="150">
        <v>21</v>
      </c>
      <c r="D29" s="131"/>
      <c r="E29" s="138"/>
      <c r="F29" s="136">
        <f t="shared" si="0"/>
        <v>0</v>
      </c>
      <c r="G29" s="148" t="e">
        <f t="shared" si="1"/>
        <v>#DIV/0!</v>
      </c>
    </row>
    <row r="30" spans="1:7" x14ac:dyDescent="0.2">
      <c r="A30" s="133">
        <v>3.7</v>
      </c>
      <c r="B30" s="134" t="s">
        <v>397</v>
      </c>
      <c r="C30" s="151">
        <v>22</v>
      </c>
      <c r="D30" s="131"/>
      <c r="E30" s="138"/>
      <c r="F30" s="136">
        <f t="shared" si="0"/>
        <v>0</v>
      </c>
      <c r="G30" s="148" t="e">
        <f t="shared" si="1"/>
        <v>#DIV/0!</v>
      </c>
    </row>
    <row r="31" spans="1:7" x14ac:dyDescent="0.2">
      <c r="A31" s="133">
        <v>3.8</v>
      </c>
      <c r="B31" s="134" t="s">
        <v>270</v>
      </c>
      <c r="C31" s="150">
        <v>23</v>
      </c>
      <c r="D31" s="131"/>
      <c r="E31" s="138"/>
      <c r="F31" s="136">
        <f t="shared" si="0"/>
        <v>0</v>
      </c>
      <c r="G31" s="148" t="e">
        <f t="shared" si="1"/>
        <v>#DIV/0!</v>
      </c>
    </row>
    <row r="32" spans="1:7" x14ac:dyDescent="0.2">
      <c r="A32" s="133">
        <v>3.9</v>
      </c>
      <c r="B32" s="134" t="s">
        <v>265</v>
      </c>
      <c r="C32" s="150">
        <v>24</v>
      </c>
      <c r="D32" s="131"/>
      <c r="E32" s="138"/>
      <c r="F32" s="136">
        <f t="shared" si="0"/>
        <v>0</v>
      </c>
      <c r="G32" s="148" t="e">
        <f t="shared" si="1"/>
        <v>#DIV/0!</v>
      </c>
    </row>
    <row r="33" spans="1:7" x14ac:dyDescent="0.2">
      <c r="A33" s="152">
        <v>3.1</v>
      </c>
      <c r="B33" s="134" t="s">
        <v>269</v>
      </c>
      <c r="C33" s="150">
        <v>25</v>
      </c>
      <c r="D33" s="131"/>
      <c r="E33" s="138"/>
      <c r="F33" s="136">
        <f t="shared" si="0"/>
        <v>0</v>
      </c>
      <c r="G33" s="148" t="e">
        <f t="shared" si="1"/>
        <v>#DIV/0!</v>
      </c>
    </row>
    <row r="34" spans="1:7" x14ac:dyDescent="0.2">
      <c r="A34" s="133">
        <v>3.11</v>
      </c>
      <c r="B34" s="134" t="s">
        <v>267</v>
      </c>
      <c r="C34" s="151">
        <v>26</v>
      </c>
      <c r="D34" s="131"/>
      <c r="E34" s="138"/>
      <c r="F34" s="136">
        <f t="shared" si="0"/>
        <v>0</v>
      </c>
      <c r="G34" s="148" t="e">
        <f t="shared" si="1"/>
        <v>#DIV/0!</v>
      </c>
    </row>
    <row r="35" spans="1:7" x14ac:dyDescent="0.2">
      <c r="A35" s="133">
        <v>3.12</v>
      </c>
      <c r="B35" s="134" t="s">
        <v>398</v>
      </c>
      <c r="C35" s="150">
        <v>27</v>
      </c>
      <c r="D35" s="131"/>
      <c r="E35" s="138"/>
      <c r="F35" s="136">
        <f t="shared" si="0"/>
        <v>0</v>
      </c>
      <c r="G35" s="148" t="e">
        <f t="shared" si="1"/>
        <v>#DIV/0!</v>
      </c>
    </row>
    <row r="36" spans="1:7" x14ac:dyDescent="0.2">
      <c r="A36" s="127">
        <v>4</v>
      </c>
      <c r="B36" s="140" t="s">
        <v>24</v>
      </c>
      <c r="C36" s="147">
        <v>28</v>
      </c>
      <c r="D36" s="132">
        <f>SUM(D37:D48)</f>
        <v>0</v>
      </c>
      <c r="E36" s="132">
        <f>SUM(E37:E48)</f>
        <v>0</v>
      </c>
      <c r="F36" s="132">
        <f t="shared" si="0"/>
        <v>0</v>
      </c>
      <c r="G36" s="148" t="e">
        <f t="shared" si="1"/>
        <v>#DIV/0!</v>
      </c>
    </row>
    <row r="37" spans="1:7" x14ac:dyDescent="0.2">
      <c r="A37" s="133">
        <v>4.0999999999999996</v>
      </c>
      <c r="B37" s="134" t="s">
        <v>272</v>
      </c>
      <c r="C37" s="150">
        <v>29</v>
      </c>
      <c r="D37" s="138"/>
      <c r="E37" s="131"/>
      <c r="F37" s="136">
        <f t="shared" si="0"/>
        <v>0</v>
      </c>
      <c r="G37" s="148" t="e">
        <f t="shared" si="1"/>
        <v>#DIV/0!</v>
      </c>
    </row>
    <row r="38" spans="1:7" x14ac:dyDescent="0.2">
      <c r="A38" s="133">
        <v>4.2</v>
      </c>
      <c r="B38" s="134" t="s">
        <v>274</v>
      </c>
      <c r="C38" s="151">
        <v>30</v>
      </c>
      <c r="D38" s="138"/>
      <c r="E38" s="131"/>
      <c r="F38" s="136">
        <f t="shared" si="0"/>
        <v>0</v>
      </c>
      <c r="G38" s="148" t="e">
        <f t="shared" si="1"/>
        <v>#DIV/0!</v>
      </c>
    </row>
    <row r="39" spans="1:7" x14ac:dyDescent="0.2">
      <c r="A39" s="133">
        <v>4.3</v>
      </c>
      <c r="B39" s="134" t="s">
        <v>266</v>
      </c>
      <c r="C39" s="150">
        <v>31</v>
      </c>
      <c r="D39" s="138"/>
      <c r="E39" s="131"/>
      <c r="F39" s="136">
        <f t="shared" si="0"/>
        <v>0</v>
      </c>
      <c r="G39" s="148" t="e">
        <f t="shared" si="1"/>
        <v>#DIV/0!</v>
      </c>
    </row>
    <row r="40" spans="1:7" x14ac:dyDescent="0.2">
      <c r="A40" s="133">
        <v>4.4000000000000004</v>
      </c>
      <c r="B40" s="134" t="s">
        <v>271</v>
      </c>
      <c r="C40" s="150">
        <v>32</v>
      </c>
      <c r="D40" s="138"/>
      <c r="E40" s="131"/>
      <c r="F40" s="136">
        <f t="shared" si="0"/>
        <v>0</v>
      </c>
      <c r="G40" s="148" t="e">
        <f t="shared" si="1"/>
        <v>#DIV/0!</v>
      </c>
    </row>
    <row r="41" spans="1:7" x14ac:dyDescent="0.2">
      <c r="A41" s="133">
        <v>4.5</v>
      </c>
      <c r="B41" s="134" t="s">
        <v>273</v>
      </c>
      <c r="C41" s="150">
        <v>33</v>
      </c>
      <c r="D41" s="138"/>
      <c r="E41" s="131"/>
      <c r="F41" s="136">
        <f t="shared" si="0"/>
        <v>0</v>
      </c>
      <c r="G41" s="148" t="e">
        <f t="shared" si="1"/>
        <v>#DIV/0!</v>
      </c>
    </row>
    <row r="42" spans="1:7" x14ac:dyDescent="0.2">
      <c r="A42" s="133">
        <v>4.5999999999999996</v>
      </c>
      <c r="B42" s="134" t="s">
        <v>268</v>
      </c>
      <c r="C42" s="151">
        <v>34</v>
      </c>
      <c r="D42" s="138"/>
      <c r="E42" s="131"/>
      <c r="F42" s="136">
        <f t="shared" si="0"/>
        <v>0</v>
      </c>
      <c r="G42" s="148" t="e">
        <f t="shared" si="1"/>
        <v>#DIV/0!</v>
      </c>
    </row>
    <row r="43" spans="1:7" x14ac:dyDescent="0.2">
      <c r="A43" s="133">
        <v>4.7</v>
      </c>
      <c r="B43" s="134" t="s">
        <v>397</v>
      </c>
      <c r="C43" s="150">
        <v>35</v>
      </c>
      <c r="D43" s="138"/>
      <c r="E43" s="131"/>
      <c r="F43" s="136">
        <f t="shared" si="0"/>
        <v>0</v>
      </c>
      <c r="G43" s="148" t="e">
        <f t="shared" si="1"/>
        <v>#DIV/0!</v>
      </c>
    </row>
    <row r="44" spans="1:7" x14ac:dyDescent="0.2">
      <c r="A44" s="133">
        <v>4.8</v>
      </c>
      <c r="B44" s="134" t="s">
        <v>270</v>
      </c>
      <c r="C44" s="150">
        <v>36</v>
      </c>
      <c r="D44" s="138"/>
      <c r="E44" s="131"/>
      <c r="F44" s="136">
        <f t="shared" si="0"/>
        <v>0</v>
      </c>
      <c r="G44" s="148" t="e">
        <f t="shared" si="1"/>
        <v>#DIV/0!</v>
      </c>
    </row>
    <row r="45" spans="1:7" x14ac:dyDescent="0.2">
      <c r="A45" s="133">
        <v>4.9000000000000004</v>
      </c>
      <c r="B45" s="134" t="s">
        <v>265</v>
      </c>
      <c r="C45" s="150">
        <v>37</v>
      </c>
      <c r="D45" s="138"/>
      <c r="E45" s="131"/>
      <c r="F45" s="136">
        <f t="shared" si="0"/>
        <v>0</v>
      </c>
      <c r="G45" s="148" t="e">
        <f t="shared" si="1"/>
        <v>#DIV/0!</v>
      </c>
    </row>
    <row r="46" spans="1:7" x14ac:dyDescent="0.2">
      <c r="A46" s="152">
        <v>4.0999999999999996</v>
      </c>
      <c r="B46" s="134" t="s">
        <v>269</v>
      </c>
      <c r="C46" s="151">
        <v>38</v>
      </c>
      <c r="D46" s="138"/>
      <c r="E46" s="131"/>
      <c r="F46" s="136">
        <f t="shared" si="0"/>
        <v>0</v>
      </c>
      <c r="G46" s="148" t="e">
        <f t="shared" si="1"/>
        <v>#DIV/0!</v>
      </c>
    </row>
    <row r="47" spans="1:7" x14ac:dyDescent="0.2">
      <c r="A47" s="133">
        <v>4.1100000000000003</v>
      </c>
      <c r="B47" s="134" t="s">
        <v>267</v>
      </c>
      <c r="C47" s="150">
        <v>39</v>
      </c>
      <c r="D47" s="138"/>
      <c r="E47" s="131"/>
      <c r="F47" s="136">
        <f t="shared" si="0"/>
        <v>0</v>
      </c>
      <c r="G47" s="148" t="e">
        <f t="shared" si="1"/>
        <v>#DIV/0!</v>
      </c>
    </row>
    <row r="48" spans="1:7" x14ac:dyDescent="0.2">
      <c r="A48" s="133">
        <v>4.12</v>
      </c>
      <c r="B48" s="134" t="s">
        <v>398</v>
      </c>
      <c r="C48" s="150">
        <v>40</v>
      </c>
      <c r="D48" s="138"/>
      <c r="E48" s="131"/>
      <c r="F48" s="136">
        <f t="shared" si="0"/>
        <v>0</v>
      </c>
      <c r="G48" s="148" t="e">
        <f t="shared" si="1"/>
        <v>#DIV/0!</v>
      </c>
    </row>
    <row r="49" spans="1:7" x14ac:dyDescent="0.2">
      <c r="A49" s="127">
        <v>5</v>
      </c>
      <c r="B49" s="140" t="s">
        <v>25</v>
      </c>
      <c r="C49" s="147">
        <v>41</v>
      </c>
      <c r="D49" s="132">
        <f>SUM(D50:D61)</f>
        <v>0</v>
      </c>
      <c r="E49" s="132">
        <f>SUM(E50:E61)</f>
        <v>0</v>
      </c>
      <c r="F49" s="132">
        <f t="shared" si="0"/>
        <v>0</v>
      </c>
      <c r="G49" s="148" t="e">
        <f t="shared" si="1"/>
        <v>#DIV/0!</v>
      </c>
    </row>
    <row r="50" spans="1:7" x14ac:dyDescent="0.2">
      <c r="A50" s="133">
        <v>5.0999999999999996</v>
      </c>
      <c r="B50" s="134" t="s">
        <v>272</v>
      </c>
      <c r="C50" s="151">
        <v>42</v>
      </c>
      <c r="D50" s="138"/>
      <c r="E50" s="131"/>
      <c r="F50" s="136">
        <f t="shared" si="0"/>
        <v>0</v>
      </c>
      <c r="G50" s="148" t="e">
        <f t="shared" si="1"/>
        <v>#DIV/0!</v>
      </c>
    </row>
    <row r="51" spans="1:7" x14ac:dyDescent="0.2">
      <c r="A51" s="133">
        <v>5.2</v>
      </c>
      <c r="B51" s="134" t="s">
        <v>274</v>
      </c>
      <c r="C51" s="150">
        <v>43</v>
      </c>
      <c r="D51" s="138"/>
      <c r="E51" s="131"/>
      <c r="F51" s="136">
        <f t="shared" si="0"/>
        <v>0</v>
      </c>
      <c r="G51" s="148" t="e">
        <f t="shared" si="1"/>
        <v>#DIV/0!</v>
      </c>
    </row>
    <row r="52" spans="1:7" x14ac:dyDescent="0.2">
      <c r="A52" s="133">
        <v>5.3</v>
      </c>
      <c r="B52" s="134" t="s">
        <v>266</v>
      </c>
      <c r="C52" s="150">
        <v>44</v>
      </c>
      <c r="D52" s="138"/>
      <c r="E52" s="131"/>
      <c r="F52" s="136">
        <f t="shared" si="0"/>
        <v>0</v>
      </c>
      <c r="G52" s="148" t="e">
        <f t="shared" si="1"/>
        <v>#DIV/0!</v>
      </c>
    </row>
    <row r="53" spans="1:7" x14ac:dyDescent="0.2">
      <c r="A53" s="133">
        <v>5.4</v>
      </c>
      <c r="B53" s="134" t="s">
        <v>271</v>
      </c>
      <c r="C53" s="150">
        <v>45</v>
      </c>
      <c r="D53" s="138"/>
      <c r="E53" s="131"/>
      <c r="F53" s="136">
        <f t="shared" si="0"/>
        <v>0</v>
      </c>
      <c r="G53" s="148" t="e">
        <f t="shared" si="1"/>
        <v>#DIV/0!</v>
      </c>
    </row>
    <row r="54" spans="1:7" x14ac:dyDescent="0.2">
      <c r="A54" s="133">
        <v>5.5</v>
      </c>
      <c r="B54" s="134" t="s">
        <v>273</v>
      </c>
      <c r="C54" s="151">
        <v>46</v>
      </c>
      <c r="D54" s="138"/>
      <c r="E54" s="131"/>
      <c r="F54" s="136">
        <f t="shared" si="0"/>
        <v>0</v>
      </c>
      <c r="G54" s="148" t="e">
        <f t="shared" si="1"/>
        <v>#DIV/0!</v>
      </c>
    </row>
    <row r="55" spans="1:7" x14ac:dyDescent="0.2">
      <c r="A55" s="133">
        <v>5.6</v>
      </c>
      <c r="B55" s="134" t="s">
        <v>268</v>
      </c>
      <c r="C55" s="150">
        <v>47</v>
      </c>
      <c r="D55" s="138"/>
      <c r="E55" s="131"/>
      <c r="F55" s="136">
        <f t="shared" si="0"/>
        <v>0</v>
      </c>
      <c r="G55" s="148" t="e">
        <f t="shared" si="1"/>
        <v>#DIV/0!</v>
      </c>
    </row>
    <row r="56" spans="1:7" x14ac:dyDescent="0.2">
      <c r="A56" s="133">
        <v>5.7</v>
      </c>
      <c r="B56" s="134" t="s">
        <v>397</v>
      </c>
      <c r="C56" s="150">
        <v>48</v>
      </c>
      <c r="D56" s="138"/>
      <c r="E56" s="131"/>
      <c r="F56" s="136">
        <f t="shared" si="0"/>
        <v>0</v>
      </c>
      <c r="G56" s="148" t="e">
        <f t="shared" si="1"/>
        <v>#DIV/0!</v>
      </c>
    </row>
    <row r="57" spans="1:7" x14ac:dyDescent="0.2">
      <c r="A57" s="133">
        <v>5.8</v>
      </c>
      <c r="B57" s="134" t="s">
        <v>270</v>
      </c>
      <c r="C57" s="150">
        <v>49</v>
      </c>
      <c r="D57" s="138"/>
      <c r="E57" s="131"/>
      <c r="F57" s="136">
        <f t="shared" si="0"/>
        <v>0</v>
      </c>
      <c r="G57" s="148" t="e">
        <f t="shared" si="1"/>
        <v>#DIV/0!</v>
      </c>
    </row>
    <row r="58" spans="1:7" x14ac:dyDescent="0.2">
      <c r="A58" s="133">
        <v>5.9</v>
      </c>
      <c r="B58" s="134" t="s">
        <v>265</v>
      </c>
      <c r="C58" s="151">
        <v>50</v>
      </c>
      <c r="D58" s="138"/>
      <c r="E58" s="131"/>
      <c r="F58" s="136">
        <f t="shared" si="0"/>
        <v>0</v>
      </c>
      <c r="G58" s="148" t="e">
        <f t="shared" si="1"/>
        <v>#DIV/0!</v>
      </c>
    </row>
    <row r="59" spans="1:7" x14ac:dyDescent="0.2">
      <c r="A59" s="152">
        <v>5.0999999999999996</v>
      </c>
      <c r="B59" s="134" t="s">
        <v>269</v>
      </c>
      <c r="C59" s="150">
        <v>51</v>
      </c>
      <c r="D59" s="138"/>
      <c r="E59" s="131"/>
      <c r="F59" s="136">
        <f t="shared" si="0"/>
        <v>0</v>
      </c>
      <c r="G59" s="148" t="e">
        <f t="shared" si="1"/>
        <v>#DIV/0!</v>
      </c>
    </row>
    <row r="60" spans="1:7" x14ac:dyDescent="0.2">
      <c r="A60" s="133">
        <v>5.1100000000000003</v>
      </c>
      <c r="B60" s="134" t="s">
        <v>267</v>
      </c>
      <c r="C60" s="150">
        <v>52</v>
      </c>
      <c r="D60" s="138"/>
      <c r="E60" s="131"/>
      <c r="F60" s="136">
        <f t="shared" si="0"/>
        <v>0</v>
      </c>
      <c r="G60" s="148" t="e">
        <f t="shared" si="1"/>
        <v>#DIV/0!</v>
      </c>
    </row>
    <row r="61" spans="1:7" x14ac:dyDescent="0.2">
      <c r="A61" s="152">
        <v>5.12</v>
      </c>
      <c r="B61" s="134" t="s">
        <v>398</v>
      </c>
      <c r="C61" s="150">
        <v>53</v>
      </c>
      <c r="D61" s="138"/>
      <c r="E61" s="131"/>
      <c r="F61" s="136">
        <f t="shared" si="0"/>
        <v>0</v>
      </c>
      <c r="G61" s="148" t="e">
        <f t="shared" si="1"/>
        <v>#DIV/0!</v>
      </c>
    </row>
    <row r="62" spans="1:7" x14ac:dyDescent="0.2">
      <c r="A62" s="127">
        <v>6</v>
      </c>
      <c r="B62" s="140" t="s">
        <v>400</v>
      </c>
      <c r="C62" s="149">
        <v>54</v>
      </c>
      <c r="D62" s="132">
        <f>SUM(D63:D71)</f>
        <v>0</v>
      </c>
      <c r="E62" s="132">
        <f>SUM(E63:E71)</f>
        <v>0</v>
      </c>
      <c r="F62" s="132">
        <f t="shared" si="0"/>
        <v>0</v>
      </c>
      <c r="G62" s="148" t="e">
        <f t="shared" si="1"/>
        <v>#DIV/0!</v>
      </c>
    </row>
    <row r="63" spans="1:7" x14ac:dyDescent="0.2">
      <c r="A63" s="133">
        <v>6.1</v>
      </c>
      <c r="B63" s="134" t="s">
        <v>401</v>
      </c>
      <c r="C63" s="150">
        <v>55</v>
      </c>
      <c r="D63" s="131"/>
      <c r="E63" s="131"/>
      <c r="F63" s="136">
        <f t="shared" si="0"/>
        <v>0</v>
      </c>
      <c r="G63" s="148" t="e">
        <f t="shared" si="1"/>
        <v>#DIV/0!</v>
      </c>
    </row>
    <row r="64" spans="1:7" x14ac:dyDescent="0.2">
      <c r="A64" s="133">
        <v>6.2</v>
      </c>
      <c r="B64" s="134" t="s">
        <v>240</v>
      </c>
      <c r="C64" s="150">
        <v>56</v>
      </c>
      <c r="D64" s="131"/>
      <c r="E64" s="131"/>
      <c r="F64" s="136">
        <f t="shared" si="0"/>
        <v>0</v>
      </c>
      <c r="G64" s="148" t="e">
        <f t="shared" si="1"/>
        <v>#DIV/0!</v>
      </c>
    </row>
    <row r="65" spans="1:7" x14ac:dyDescent="0.2">
      <c r="A65" s="133">
        <v>6.3</v>
      </c>
      <c r="B65" s="134" t="s">
        <v>246</v>
      </c>
      <c r="C65" s="150">
        <v>57</v>
      </c>
      <c r="D65" s="131"/>
      <c r="E65" s="131"/>
      <c r="F65" s="136">
        <f t="shared" si="0"/>
        <v>0</v>
      </c>
      <c r="G65" s="148" t="e">
        <f t="shared" si="1"/>
        <v>#DIV/0!</v>
      </c>
    </row>
    <row r="66" spans="1:7" x14ac:dyDescent="0.2">
      <c r="A66" s="133">
        <v>6.4</v>
      </c>
      <c r="B66" s="134" t="s">
        <v>402</v>
      </c>
      <c r="C66" s="151">
        <v>58</v>
      </c>
      <c r="D66" s="131"/>
      <c r="E66" s="131"/>
      <c r="F66" s="136">
        <f t="shared" si="0"/>
        <v>0</v>
      </c>
      <c r="G66" s="148" t="e">
        <f t="shared" si="1"/>
        <v>#DIV/0!</v>
      </c>
    </row>
    <row r="67" spans="1:7" x14ac:dyDescent="0.2">
      <c r="A67" s="133">
        <v>6.5</v>
      </c>
      <c r="B67" s="134" t="s">
        <v>403</v>
      </c>
      <c r="C67" s="150">
        <v>59</v>
      </c>
      <c r="D67" s="131"/>
      <c r="E67" s="131"/>
      <c r="F67" s="136">
        <f t="shared" si="0"/>
        <v>0</v>
      </c>
      <c r="G67" s="148" t="e">
        <f t="shared" si="1"/>
        <v>#DIV/0!</v>
      </c>
    </row>
    <row r="68" spans="1:7" x14ac:dyDescent="0.2">
      <c r="A68" s="133">
        <v>6.6</v>
      </c>
      <c r="B68" s="134" t="s">
        <v>404</v>
      </c>
      <c r="C68" s="150">
        <v>60</v>
      </c>
      <c r="D68" s="131"/>
      <c r="E68" s="131"/>
      <c r="F68" s="136">
        <f t="shared" si="0"/>
        <v>0</v>
      </c>
      <c r="G68" s="148" t="e">
        <f t="shared" si="1"/>
        <v>#DIV/0!</v>
      </c>
    </row>
    <row r="69" spans="1:7" x14ac:dyDescent="0.2">
      <c r="A69" s="133">
        <v>6.7</v>
      </c>
      <c r="B69" s="134" t="s">
        <v>405</v>
      </c>
      <c r="C69" s="150">
        <v>61</v>
      </c>
      <c r="D69" s="131"/>
      <c r="E69" s="131"/>
      <c r="F69" s="136">
        <f t="shared" si="0"/>
        <v>0</v>
      </c>
      <c r="G69" s="148" t="e">
        <f t="shared" si="1"/>
        <v>#DIV/0!</v>
      </c>
    </row>
    <row r="70" spans="1:7" x14ac:dyDescent="0.2">
      <c r="A70" s="133">
        <v>6.8</v>
      </c>
      <c r="B70" s="134" t="s">
        <v>406</v>
      </c>
      <c r="C70" s="151">
        <v>62</v>
      </c>
      <c r="D70" s="131"/>
      <c r="E70" s="131"/>
      <c r="F70" s="136">
        <f t="shared" si="0"/>
        <v>0</v>
      </c>
      <c r="G70" s="148" t="e">
        <f t="shared" si="1"/>
        <v>#DIV/0!</v>
      </c>
    </row>
    <row r="71" spans="1:7" x14ac:dyDescent="0.2">
      <c r="A71" s="133">
        <v>6.9</v>
      </c>
      <c r="B71" s="134" t="s">
        <v>216</v>
      </c>
      <c r="C71" s="150">
        <v>63</v>
      </c>
      <c r="D71" s="131"/>
      <c r="E71" s="131"/>
      <c r="F71" s="136">
        <f t="shared" si="0"/>
        <v>0</v>
      </c>
      <c r="G71" s="148" t="e">
        <f t="shared" si="1"/>
        <v>#DIV/0!</v>
      </c>
    </row>
    <row r="72" spans="1:7" x14ac:dyDescent="0.2">
      <c r="A72" s="127">
        <v>7</v>
      </c>
      <c r="B72" s="153" t="s">
        <v>244</v>
      </c>
      <c r="C72" s="147">
        <v>64</v>
      </c>
      <c r="D72" s="138"/>
      <c r="E72" s="131"/>
      <c r="F72" s="136">
        <f t="shared" si="0"/>
        <v>0</v>
      </c>
      <c r="G72" s="148" t="e">
        <f t="shared" si="1"/>
        <v>#DIV/0!</v>
      </c>
    </row>
    <row r="73" spans="1:7" x14ac:dyDescent="0.2">
      <c r="A73" s="127">
        <v>8</v>
      </c>
      <c r="B73" s="153" t="s">
        <v>137</v>
      </c>
      <c r="C73" s="147">
        <v>65</v>
      </c>
      <c r="D73" s="138"/>
      <c r="E73" s="131"/>
      <c r="F73" s="136">
        <f t="shared" ref="F73:F86" si="2">D73+E73</f>
        <v>0</v>
      </c>
      <c r="G73" s="148" t="e">
        <f t="shared" si="1"/>
        <v>#DIV/0!</v>
      </c>
    </row>
    <row r="74" spans="1:7" x14ac:dyDescent="0.2">
      <c r="A74" s="127">
        <v>9</v>
      </c>
      <c r="B74" s="153" t="s">
        <v>138</v>
      </c>
      <c r="C74" s="147">
        <v>66</v>
      </c>
      <c r="D74" s="138"/>
      <c r="E74" s="131"/>
      <c r="F74" s="136">
        <f t="shared" si="2"/>
        <v>0</v>
      </c>
      <c r="G74" s="148" t="e">
        <f t="shared" ref="G74:G95" si="3">F74/$F$95</f>
        <v>#DIV/0!</v>
      </c>
    </row>
    <row r="75" spans="1:7" x14ac:dyDescent="0.2">
      <c r="A75" s="127">
        <v>10</v>
      </c>
      <c r="B75" s="154" t="s">
        <v>407</v>
      </c>
      <c r="C75" s="147">
        <v>67</v>
      </c>
      <c r="D75" s="132">
        <f>SUM(D76:D85)</f>
        <v>0</v>
      </c>
      <c r="E75" s="132">
        <f>SUM(E76:E85)</f>
        <v>0</v>
      </c>
      <c r="F75" s="132">
        <f t="shared" si="2"/>
        <v>0</v>
      </c>
      <c r="G75" s="148" t="e">
        <f t="shared" si="3"/>
        <v>#DIV/0!</v>
      </c>
    </row>
    <row r="76" spans="1:7" x14ac:dyDescent="0.2">
      <c r="A76" s="133">
        <v>10.1</v>
      </c>
      <c r="B76" s="134" t="s">
        <v>408</v>
      </c>
      <c r="C76" s="150">
        <v>68</v>
      </c>
      <c r="D76" s="131"/>
      <c r="E76" s="131"/>
      <c r="F76" s="136">
        <f t="shared" si="2"/>
        <v>0</v>
      </c>
      <c r="G76" s="148" t="e">
        <f t="shared" si="3"/>
        <v>#DIV/0!</v>
      </c>
    </row>
    <row r="77" spans="1:7" x14ac:dyDescent="0.2">
      <c r="A77" s="133">
        <v>10.199999999999999</v>
      </c>
      <c r="B77" s="134" t="s">
        <v>409</v>
      </c>
      <c r="C77" s="150">
        <v>69</v>
      </c>
      <c r="D77" s="131"/>
      <c r="E77" s="131"/>
      <c r="F77" s="136">
        <f t="shared" si="2"/>
        <v>0</v>
      </c>
      <c r="G77" s="148" t="e">
        <f t="shared" si="3"/>
        <v>#DIV/0!</v>
      </c>
    </row>
    <row r="78" spans="1:7" x14ac:dyDescent="0.2">
      <c r="A78" s="133">
        <v>10.3</v>
      </c>
      <c r="B78" s="134" t="s">
        <v>410</v>
      </c>
      <c r="C78" s="150">
        <v>70</v>
      </c>
      <c r="D78" s="131"/>
      <c r="E78" s="131"/>
      <c r="F78" s="136"/>
      <c r="G78" s="148"/>
    </row>
    <row r="79" spans="1:7" x14ac:dyDescent="0.2">
      <c r="A79" s="133">
        <v>10.4</v>
      </c>
      <c r="B79" s="134" t="s">
        <v>1093</v>
      </c>
      <c r="C79" s="150">
        <v>71</v>
      </c>
      <c r="D79" s="131"/>
      <c r="E79" s="131"/>
      <c r="F79" s="136"/>
      <c r="G79" s="148"/>
    </row>
    <row r="80" spans="1:7" x14ac:dyDescent="0.2">
      <c r="A80" s="133">
        <v>10.5</v>
      </c>
      <c r="B80" s="134" t="s">
        <v>1094</v>
      </c>
      <c r="C80" s="150">
        <v>72</v>
      </c>
      <c r="D80" s="131"/>
      <c r="E80" s="131"/>
      <c r="F80" s="136"/>
      <c r="G80" s="148"/>
    </row>
    <row r="81" spans="1:7" x14ac:dyDescent="0.2">
      <c r="A81" s="133">
        <v>10.6</v>
      </c>
      <c r="B81" s="134" t="s">
        <v>1095</v>
      </c>
      <c r="C81" s="150">
        <v>73</v>
      </c>
      <c r="D81" s="131"/>
      <c r="E81" s="131"/>
      <c r="F81" s="136"/>
      <c r="G81" s="148"/>
    </row>
    <row r="82" spans="1:7" x14ac:dyDescent="0.2">
      <c r="A82" s="133">
        <v>10.7</v>
      </c>
      <c r="B82" s="134" t="s">
        <v>1096</v>
      </c>
      <c r="C82" s="150">
        <v>74</v>
      </c>
      <c r="D82" s="131"/>
      <c r="E82" s="131"/>
      <c r="F82" s="136"/>
      <c r="G82" s="148"/>
    </row>
    <row r="83" spans="1:7" x14ac:dyDescent="0.2">
      <c r="A83" s="133">
        <v>10.8</v>
      </c>
      <c r="B83" s="134" t="s">
        <v>1097</v>
      </c>
      <c r="C83" s="150">
        <v>75</v>
      </c>
      <c r="D83" s="131"/>
      <c r="E83" s="131"/>
      <c r="F83" s="136"/>
      <c r="G83" s="148"/>
    </row>
    <row r="84" spans="1:7" x14ac:dyDescent="0.2">
      <c r="A84" s="133">
        <v>10.9</v>
      </c>
      <c r="B84" s="134" t="s">
        <v>1098</v>
      </c>
      <c r="C84" s="150">
        <v>76</v>
      </c>
      <c r="D84" s="131"/>
      <c r="E84" s="131"/>
      <c r="F84" s="136"/>
      <c r="G84" s="148"/>
    </row>
    <row r="85" spans="1:7" x14ac:dyDescent="0.2">
      <c r="A85" s="133">
        <v>11</v>
      </c>
      <c r="B85" s="134" t="s">
        <v>1099</v>
      </c>
      <c r="C85" s="150">
        <v>77</v>
      </c>
      <c r="D85" s="131"/>
      <c r="E85" s="131"/>
      <c r="F85" s="136">
        <f t="shared" si="2"/>
        <v>0</v>
      </c>
      <c r="G85" s="148" t="e">
        <f t="shared" si="3"/>
        <v>#DIV/0!</v>
      </c>
    </row>
    <row r="86" spans="1:7" x14ac:dyDescent="0.2">
      <c r="A86" s="127">
        <v>11</v>
      </c>
      <c r="B86" s="140" t="s">
        <v>411</v>
      </c>
      <c r="C86" s="147">
        <v>78</v>
      </c>
      <c r="D86" s="132">
        <f>D87+D88</f>
        <v>0</v>
      </c>
      <c r="E86" s="132">
        <f>E87+E88</f>
        <v>0</v>
      </c>
      <c r="F86" s="132">
        <f t="shared" si="2"/>
        <v>0</v>
      </c>
      <c r="G86" s="148" t="e">
        <f t="shared" si="3"/>
        <v>#DIV/0!</v>
      </c>
    </row>
    <row r="87" spans="1:7" x14ac:dyDescent="0.2">
      <c r="A87" s="133">
        <v>11.1</v>
      </c>
      <c r="B87" s="134" t="s">
        <v>258</v>
      </c>
      <c r="C87" s="150">
        <v>79</v>
      </c>
      <c r="D87" s="138"/>
      <c r="E87" s="138"/>
      <c r="F87" s="155"/>
      <c r="G87" s="148" t="e">
        <f t="shared" si="3"/>
        <v>#DIV/0!</v>
      </c>
    </row>
    <row r="88" spans="1:7" x14ac:dyDescent="0.2">
      <c r="A88" s="133">
        <v>11.2</v>
      </c>
      <c r="B88" s="134" t="s">
        <v>412</v>
      </c>
      <c r="C88" s="150">
        <v>80</v>
      </c>
      <c r="D88" s="138"/>
      <c r="E88" s="138"/>
      <c r="F88" s="155"/>
      <c r="G88" s="148" t="e">
        <f t="shared" si="3"/>
        <v>#DIV/0!</v>
      </c>
    </row>
    <row r="89" spans="1:7" x14ac:dyDescent="0.2">
      <c r="A89" s="127">
        <v>12</v>
      </c>
      <c r="B89" s="140" t="s">
        <v>413</v>
      </c>
      <c r="C89" s="149">
        <v>81</v>
      </c>
      <c r="D89" s="132">
        <v>0</v>
      </c>
      <c r="E89" s="132">
        <v>0</v>
      </c>
      <c r="F89" s="132">
        <f>D89+E89</f>
        <v>0</v>
      </c>
      <c r="G89" s="148" t="e">
        <f t="shared" si="3"/>
        <v>#DIV/0!</v>
      </c>
    </row>
    <row r="90" spans="1:7" x14ac:dyDescent="0.2">
      <c r="A90" s="133">
        <v>12.1</v>
      </c>
      <c r="B90" s="134" t="s">
        <v>125</v>
      </c>
      <c r="C90" s="150">
        <v>82</v>
      </c>
      <c r="D90" s="138"/>
      <c r="E90" s="138"/>
      <c r="F90" s="155"/>
      <c r="G90" s="148" t="e">
        <f t="shared" si="3"/>
        <v>#DIV/0!</v>
      </c>
    </row>
    <row r="91" spans="1:7" x14ac:dyDescent="0.2">
      <c r="A91" s="133">
        <v>12.2</v>
      </c>
      <c r="B91" s="134" t="s">
        <v>414</v>
      </c>
      <c r="C91" s="150">
        <v>83</v>
      </c>
      <c r="D91" s="138"/>
      <c r="E91" s="138"/>
      <c r="F91" s="155"/>
      <c r="G91" s="148" t="e">
        <f t="shared" si="3"/>
        <v>#DIV/0!</v>
      </c>
    </row>
    <row r="92" spans="1:7" x14ac:dyDescent="0.2">
      <c r="A92" s="133">
        <v>12.3</v>
      </c>
      <c r="B92" s="134" t="s">
        <v>139</v>
      </c>
      <c r="C92" s="150">
        <v>84</v>
      </c>
      <c r="D92" s="138"/>
      <c r="E92" s="138"/>
      <c r="F92" s="155"/>
      <c r="G92" s="148" t="e">
        <f t="shared" si="3"/>
        <v>#DIV/0!</v>
      </c>
    </row>
    <row r="93" spans="1:7" x14ac:dyDescent="0.2">
      <c r="A93" s="133">
        <v>12.4</v>
      </c>
      <c r="B93" s="134" t="s">
        <v>260</v>
      </c>
      <c r="C93" s="151">
        <v>85</v>
      </c>
      <c r="D93" s="138"/>
      <c r="E93" s="138"/>
      <c r="F93" s="155"/>
      <c r="G93" s="148" t="e">
        <f t="shared" si="3"/>
        <v>#DIV/0!</v>
      </c>
    </row>
    <row r="94" spans="1:7" x14ac:dyDescent="0.2">
      <c r="A94" s="133">
        <v>12.5</v>
      </c>
      <c r="B94" s="134" t="s">
        <v>415</v>
      </c>
      <c r="C94" s="150">
        <v>86</v>
      </c>
      <c r="D94" s="138"/>
      <c r="E94" s="131"/>
      <c r="F94" s="136">
        <f t="shared" ref="F94" si="4">D94+E94</f>
        <v>0</v>
      </c>
      <c r="G94" s="148" t="e">
        <f t="shared" si="3"/>
        <v>#DIV/0!</v>
      </c>
    </row>
    <row r="95" spans="1:7" x14ac:dyDescent="0.2">
      <c r="A95" s="127">
        <v>13</v>
      </c>
      <c r="B95" s="140" t="s">
        <v>416</v>
      </c>
      <c r="C95" s="147">
        <v>87</v>
      </c>
      <c r="D95" s="132">
        <f>D89+D86+D75+D74+D73+D72+D62+D49+D36+D23+D10+D9</f>
        <v>0</v>
      </c>
      <c r="E95" s="132">
        <f>E89+E86+E75+E74+E73+E72+E62+E49+E36+E23+E10+E9</f>
        <v>0</v>
      </c>
      <c r="F95" s="132">
        <f>D95+E95</f>
        <v>0</v>
      </c>
      <c r="G95" s="148" t="e">
        <f t="shared" si="3"/>
        <v>#DIV/0!</v>
      </c>
    </row>
    <row r="98" spans="2:5" x14ac:dyDescent="0.2">
      <c r="B98" s="2" t="s">
        <v>285</v>
      </c>
      <c r="C98" s="3"/>
      <c r="D98" s="4"/>
      <c r="E98" s="4"/>
    </row>
    <row r="99" spans="2:5" x14ac:dyDescent="0.2">
      <c r="B99" s="5"/>
      <c r="C99" s="3"/>
      <c r="D99" s="4"/>
      <c r="E99" s="4"/>
    </row>
    <row r="100" spans="2:5" x14ac:dyDescent="0.2">
      <c r="B100" s="5" t="s">
        <v>286</v>
      </c>
      <c r="C100" s="3"/>
      <c r="D100" s="4"/>
      <c r="E100" s="4"/>
    </row>
    <row r="101" spans="2:5" x14ac:dyDescent="0.2">
      <c r="B101" s="5"/>
      <c r="C101" s="3"/>
      <c r="D101" s="4"/>
      <c r="E101" s="4"/>
    </row>
    <row r="102" spans="2:5" x14ac:dyDescent="0.2">
      <c r="B102" s="6" t="s">
        <v>287</v>
      </c>
      <c r="C102" s="572" t="s">
        <v>288</v>
      </c>
      <c r="D102" s="572"/>
      <c r="E102" s="7" t="s">
        <v>289</v>
      </c>
    </row>
    <row r="103" spans="2:5" x14ac:dyDescent="0.2">
      <c r="B103" s="5"/>
      <c r="C103" s="572"/>
      <c r="D103" s="572"/>
      <c r="E103" s="4"/>
    </row>
    <row r="104" spans="2:5" x14ac:dyDescent="0.2">
      <c r="B104" s="6" t="s">
        <v>290</v>
      </c>
      <c r="C104" s="572" t="s">
        <v>291</v>
      </c>
      <c r="D104" s="572"/>
      <c r="E104" s="7" t="s">
        <v>292</v>
      </c>
    </row>
    <row r="105" spans="2:5" x14ac:dyDescent="0.2">
      <c r="B105" s="5"/>
      <c r="C105" s="572"/>
      <c r="D105" s="572"/>
      <c r="E105" s="4"/>
    </row>
    <row r="106" spans="2:5" x14ac:dyDescent="0.2">
      <c r="B106" s="8" t="s">
        <v>293</v>
      </c>
      <c r="C106" s="572" t="s">
        <v>288</v>
      </c>
      <c r="D106" s="572"/>
      <c r="E106" s="7" t="s">
        <v>292</v>
      </c>
    </row>
  </sheetData>
  <sheetProtection password="CA9F" sheet="1" objects="1" scenarios="1"/>
  <mergeCells count="8">
    <mergeCell ref="C105:D105"/>
    <mergeCell ref="C106:D106"/>
    <mergeCell ref="D1:G2"/>
    <mergeCell ref="B3:E3"/>
    <mergeCell ref="F5:G5"/>
    <mergeCell ref="C102:D102"/>
    <mergeCell ref="C103:D103"/>
    <mergeCell ref="C104:D104"/>
  </mergeCells>
  <dataValidations count="1">
    <dataValidation type="whole" allowBlank="1" showInputMessage="1" showErrorMessage="1" sqref="F6:G6" xr:uid="{AABB73D9-ECA3-4BF8-A61A-3605DAF7D6C1}">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9"/>
  <sheetViews>
    <sheetView zoomScaleNormal="100" zoomScalePageLayoutView="60" workbookViewId="0">
      <selection activeCell="E20" sqref="E20"/>
    </sheetView>
  </sheetViews>
  <sheetFormatPr defaultRowHeight="12.75" x14ac:dyDescent="0.2"/>
  <cols>
    <col min="1" max="1" width="11.5703125" style="286"/>
    <col min="2" max="2" width="81" style="286"/>
    <col min="3" max="3" width="12.28515625" style="286"/>
    <col min="4" max="9" width="26.85546875" style="286" customWidth="1"/>
    <col min="10" max="1025" width="11.5703125" style="286"/>
    <col min="1026" max="16384" width="9.140625" style="286"/>
  </cols>
  <sheetData>
    <row r="1" spans="1:9" x14ac:dyDescent="0.2">
      <c r="A1" s="293" t="s">
        <v>0</v>
      </c>
      <c r="B1" s="293"/>
      <c r="C1" s="293"/>
      <c r="D1" s="293"/>
      <c r="E1" s="293"/>
      <c r="F1" s="293"/>
      <c r="G1" s="293"/>
      <c r="H1" s="293"/>
      <c r="I1" s="293"/>
    </row>
    <row r="2" spans="1:9" x14ac:dyDescent="0.2">
      <c r="A2" s="293"/>
      <c r="B2" s="294"/>
      <c r="C2" s="294"/>
      <c r="D2" s="293"/>
      <c r="E2" s="293"/>
      <c r="F2" s="293"/>
      <c r="G2" s="293"/>
      <c r="H2" s="293"/>
      <c r="I2" s="293"/>
    </row>
    <row r="3" spans="1:9" x14ac:dyDescent="0.2">
      <c r="A3" s="293"/>
      <c r="B3" s="294"/>
      <c r="C3" s="294"/>
      <c r="D3" s="293"/>
      <c r="E3" s="577" t="s">
        <v>417</v>
      </c>
      <c r="F3" s="577"/>
      <c r="G3" s="577"/>
      <c r="H3" s="577"/>
      <c r="I3" s="577"/>
    </row>
    <row r="4" spans="1:9" x14ac:dyDescent="0.2">
      <c r="A4" s="293"/>
      <c r="B4" s="294"/>
      <c r="C4" s="294"/>
      <c r="D4" s="293"/>
      <c r="E4" s="577"/>
      <c r="F4" s="577"/>
      <c r="G4" s="577"/>
      <c r="H4" s="577"/>
      <c r="I4" s="577"/>
    </row>
    <row r="5" spans="1:9" x14ac:dyDescent="0.2">
      <c r="A5" s="293"/>
      <c r="B5" s="578" t="s">
        <v>418</v>
      </c>
      <c r="C5" s="578"/>
      <c r="D5" s="578"/>
      <c r="E5" s="578"/>
      <c r="F5" s="578"/>
      <c r="G5" s="578"/>
      <c r="H5" s="578"/>
      <c r="I5" s="578"/>
    </row>
    <row r="6" spans="1:9" x14ac:dyDescent="0.2">
      <c r="A6" s="293"/>
      <c r="B6" s="294"/>
      <c r="C6" s="294"/>
      <c r="D6" s="293"/>
      <c r="E6" s="293"/>
      <c r="F6" s="293"/>
      <c r="G6" s="293"/>
      <c r="H6" s="293"/>
      <c r="I6" s="293"/>
    </row>
    <row r="7" spans="1:9" x14ac:dyDescent="0.2">
      <c r="A7" s="293" t="s">
        <v>277</v>
      </c>
      <c r="B7" s="293"/>
      <c r="C7" s="293"/>
      <c r="D7" s="293"/>
      <c r="E7" s="293"/>
      <c r="F7" s="293"/>
      <c r="G7" s="293"/>
      <c r="H7" s="573" t="s">
        <v>278</v>
      </c>
      <c r="I7" s="573"/>
    </row>
    <row r="8" spans="1:9" x14ac:dyDescent="0.2">
      <c r="A8" s="293"/>
      <c r="B8" s="293"/>
      <c r="C8" s="293"/>
      <c r="D8" s="293"/>
      <c r="E8" s="293"/>
      <c r="F8" s="293"/>
      <c r="G8" s="293"/>
    </row>
    <row r="9" spans="1:9" x14ac:dyDescent="0.2">
      <c r="A9" s="506" t="s">
        <v>26</v>
      </c>
      <c r="B9" s="294"/>
      <c r="C9" s="294"/>
      <c r="D9" s="293"/>
      <c r="E9" s="293"/>
      <c r="F9" s="293"/>
      <c r="G9" s="293"/>
      <c r="H9" s="293"/>
      <c r="I9" s="293"/>
    </row>
    <row r="10" spans="1:9" x14ac:dyDescent="0.2">
      <c r="A10" s="293"/>
      <c r="B10" s="293"/>
      <c r="C10" s="293"/>
      <c r="D10" s="293"/>
      <c r="E10" s="293"/>
      <c r="F10" s="293"/>
      <c r="G10" s="293"/>
      <c r="H10" s="293"/>
      <c r="I10" s="290" t="s">
        <v>279</v>
      </c>
    </row>
    <row r="11" spans="1:9" ht="25.5" x14ac:dyDescent="0.2">
      <c r="A11" s="494" t="s">
        <v>280</v>
      </c>
      <c r="B11" s="507" t="s">
        <v>33</v>
      </c>
      <c r="C11" s="507" t="s">
        <v>295</v>
      </c>
      <c r="D11" s="507" t="s">
        <v>27</v>
      </c>
      <c r="E11" s="507" t="s">
        <v>28</v>
      </c>
      <c r="F11" s="507" t="s">
        <v>29</v>
      </c>
      <c r="G11" s="507" t="s">
        <v>30</v>
      </c>
      <c r="H11" s="507" t="s">
        <v>31</v>
      </c>
      <c r="I11" s="507" t="s">
        <v>32</v>
      </c>
    </row>
    <row r="12" spans="1:9" x14ac:dyDescent="0.2">
      <c r="A12" s="494" t="s">
        <v>282</v>
      </c>
      <c r="B12" s="507" t="s">
        <v>283</v>
      </c>
      <c r="C12" s="507" t="s">
        <v>297</v>
      </c>
      <c r="D12" s="507">
        <v>1</v>
      </c>
      <c r="E12" s="507">
        <v>2</v>
      </c>
      <c r="F12" s="507">
        <v>3</v>
      </c>
      <c r="G12" s="507">
        <v>4</v>
      </c>
      <c r="H12" s="507">
        <v>5</v>
      </c>
      <c r="I12" s="507">
        <v>6</v>
      </c>
    </row>
    <row r="13" spans="1:9" x14ac:dyDescent="0.2">
      <c r="A13" s="510">
        <v>1</v>
      </c>
      <c r="B13" s="511" t="s">
        <v>33</v>
      </c>
      <c r="C13" s="503">
        <v>1</v>
      </c>
      <c r="D13" s="285"/>
      <c r="E13" s="285"/>
      <c r="F13" s="285"/>
      <c r="G13" s="285"/>
      <c r="H13" s="285"/>
      <c r="I13" s="285"/>
    </row>
    <row r="14" spans="1:9" x14ac:dyDescent="0.2">
      <c r="A14" s="512">
        <v>1.1000000000000001</v>
      </c>
      <c r="B14" s="156" t="s">
        <v>34</v>
      </c>
      <c r="C14" s="508">
        <v>2</v>
      </c>
      <c r="D14" s="131" t="s">
        <v>0</v>
      </c>
      <c r="E14" s="131" t="s">
        <v>0</v>
      </c>
      <c r="F14" s="131" t="s">
        <v>0</v>
      </c>
      <c r="G14" s="131" t="s">
        <v>0</v>
      </c>
      <c r="H14" s="131" t="s">
        <v>0</v>
      </c>
      <c r="I14" s="497">
        <f>SUM(D14:H14)</f>
        <v>0</v>
      </c>
    </row>
    <row r="15" spans="1:9" x14ac:dyDescent="0.2">
      <c r="A15" s="512">
        <v>1.2</v>
      </c>
      <c r="B15" s="156" t="s">
        <v>35</v>
      </c>
      <c r="C15" s="508">
        <v>3</v>
      </c>
      <c r="D15" s="131" t="s">
        <v>0</v>
      </c>
      <c r="E15" s="131" t="s">
        <v>0</v>
      </c>
      <c r="F15" s="131" t="s">
        <v>0</v>
      </c>
      <c r="G15" s="131" t="s">
        <v>0</v>
      </c>
      <c r="H15" s="131" t="s">
        <v>0</v>
      </c>
      <c r="I15" s="497">
        <f t="shared" ref="I15:I18" si="0">SUM(D15:H15)</f>
        <v>0</v>
      </c>
    </row>
    <row r="16" spans="1:9" x14ac:dyDescent="0.2">
      <c r="A16" s="512">
        <v>1.3</v>
      </c>
      <c r="B16" s="156" t="s">
        <v>36</v>
      </c>
      <c r="C16" s="508">
        <v>4</v>
      </c>
      <c r="D16" s="131"/>
      <c r="E16" s="131" t="s">
        <v>0</v>
      </c>
      <c r="F16" s="131" t="s">
        <v>0</v>
      </c>
      <c r="G16" s="131" t="s">
        <v>0</v>
      </c>
      <c r="H16" s="131" t="s">
        <v>0</v>
      </c>
      <c r="I16" s="497">
        <f t="shared" si="0"/>
        <v>0</v>
      </c>
    </row>
    <row r="17" spans="1:9" x14ac:dyDescent="0.2">
      <c r="A17" s="512">
        <v>1.4</v>
      </c>
      <c r="B17" s="156" t="s">
        <v>37</v>
      </c>
      <c r="C17" s="508">
        <v>5</v>
      </c>
      <c r="D17" s="131" t="s">
        <v>0</v>
      </c>
      <c r="E17" s="131"/>
      <c r="F17" s="131" t="s">
        <v>0</v>
      </c>
      <c r="G17" s="131" t="s">
        <v>0</v>
      </c>
      <c r="H17" s="131" t="s">
        <v>0</v>
      </c>
      <c r="I17" s="497">
        <f t="shared" si="0"/>
        <v>0</v>
      </c>
    </row>
    <row r="18" spans="1:9" x14ac:dyDescent="0.2">
      <c r="A18" s="512">
        <v>1.5</v>
      </c>
      <c r="B18" s="156" t="s">
        <v>38</v>
      </c>
      <c r="C18" s="508">
        <v>6</v>
      </c>
      <c r="D18" s="131" t="s">
        <v>0</v>
      </c>
      <c r="E18" s="131" t="s">
        <v>0</v>
      </c>
      <c r="F18" s="131" t="s">
        <v>0</v>
      </c>
      <c r="G18" s="131" t="s">
        <v>0</v>
      </c>
      <c r="H18" s="131" t="s">
        <v>0</v>
      </c>
      <c r="I18" s="497">
        <f t="shared" si="0"/>
        <v>0</v>
      </c>
    </row>
    <row r="19" spans="1:9" x14ac:dyDescent="0.2">
      <c r="A19" s="510">
        <v>2</v>
      </c>
      <c r="B19" s="511" t="s">
        <v>39</v>
      </c>
      <c r="C19" s="503">
        <v>7</v>
      </c>
      <c r="D19" s="285">
        <f>SUM(D14:D18)</f>
        <v>0</v>
      </c>
      <c r="E19" s="285">
        <f t="shared" ref="E19:H19" si="1">SUM(E14:E18)</f>
        <v>0</v>
      </c>
      <c r="F19" s="285">
        <f t="shared" si="1"/>
        <v>0</v>
      </c>
      <c r="G19" s="285">
        <f t="shared" si="1"/>
        <v>0</v>
      </c>
      <c r="H19" s="285">
        <f t="shared" si="1"/>
        <v>0</v>
      </c>
      <c r="I19" s="285">
        <f>SUM(D19:H19)</f>
        <v>0</v>
      </c>
    </row>
    <row r="20" spans="1:9" x14ac:dyDescent="0.2">
      <c r="A20" s="510">
        <v>3</v>
      </c>
      <c r="B20" s="511" t="s">
        <v>40</v>
      </c>
      <c r="C20" s="503">
        <v>8</v>
      </c>
      <c r="D20" s="285">
        <f>D19*0%</f>
        <v>0</v>
      </c>
      <c r="E20" s="285">
        <f>E19*5%</f>
        <v>0</v>
      </c>
      <c r="F20" s="285">
        <f>F19*25%</f>
        <v>0</v>
      </c>
      <c r="G20" s="285">
        <f>G19*50%</f>
        <v>0</v>
      </c>
      <c r="H20" s="285">
        <f>H19*100%</f>
        <v>0</v>
      </c>
      <c r="I20" s="285">
        <f>SUM(D20:H20)</f>
        <v>0</v>
      </c>
    </row>
    <row r="21" spans="1:9" x14ac:dyDescent="0.2">
      <c r="A21" s="510">
        <v>4</v>
      </c>
      <c r="B21" s="511" t="s">
        <v>41</v>
      </c>
      <c r="C21" s="503">
        <v>9</v>
      </c>
      <c r="D21" s="285">
        <f>D19-D20</f>
        <v>0</v>
      </c>
      <c r="E21" s="285">
        <f t="shared" ref="E21:H21" si="2">E19-E20</f>
        <v>0</v>
      </c>
      <c r="F21" s="285">
        <f t="shared" si="2"/>
        <v>0</v>
      </c>
      <c r="G21" s="285">
        <f t="shared" si="2"/>
        <v>0</v>
      </c>
      <c r="H21" s="285">
        <f t="shared" si="2"/>
        <v>0</v>
      </c>
      <c r="I21" s="285">
        <f>SUM(D21:H21)</f>
        <v>0</v>
      </c>
    </row>
    <row r="22" spans="1:9" x14ac:dyDescent="0.2">
      <c r="A22" s="293"/>
      <c r="B22" s="293"/>
      <c r="C22" s="293"/>
      <c r="D22" s="293"/>
      <c r="E22" s="293"/>
      <c r="F22" s="293"/>
      <c r="G22" s="293"/>
      <c r="H22" s="293"/>
      <c r="I22" s="293"/>
    </row>
    <row r="23" spans="1:9" x14ac:dyDescent="0.2">
      <c r="A23" s="293"/>
      <c r="B23" s="293"/>
      <c r="C23" s="293"/>
      <c r="D23" s="293"/>
      <c r="E23" s="293"/>
      <c r="F23" s="293"/>
      <c r="G23" s="293"/>
      <c r="H23" s="293"/>
      <c r="I23" s="293"/>
    </row>
    <row r="24" spans="1:9" x14ac:dyDescent="0.2">
      <c r="A24" s="506" t="s">
        <v>42</v>
      </c>
      <c r="B24" s="294"/>
      <c r="C24" s="294"/>
      <c r="D24" s="293"/>
      <c r="E24" s="293"/>
      <c r="F24" s="293"/>
      <c r="G24" s="293"/>
      <c r="H24" s="293"/>
      <c r="I24" s="293"/>
    </row>
    <row r="25" spans="1:9" x14ac:dyDescent="0.2">
      <c r="A25" s="293"/>
      <c r="B25" s="293"/>
      <c r="C25" s="293"/>
      <c r="D25" s="293"/>
      <c r="E25" s="293"/>
      <c r="F25" s="293"/>
      <c r="G25" s="293"/>
      <c r="H25" s="293"/>
      <c r="I25" s="293"/>
    </row>
    <row r="26" spans="1:9" ht="25.5" x14ac:dyDescent="0.2">
      <c r="A26" s="501" t="s">
        <v>280</v>
      </c>
      <c r="B26" s="507" t="s">
        <v>43</v>
      </c>
      <c r="C26" s="507" t="s">
        <v>295</v>
      </c>
      <c r="D26" s="507" t="s">
        <v>27</v>
      </c>
      <c r="E26" s="507" t="s">
        <v>28</v>
      </c>
      <c r="F26" s="507" t="s">
        <v>29</v>
      </c>
      <c r="G26" s="507" t="s">
        <v>30</v>
      </c>
      <c r="H26" s="507" t="s">
        <v>31</v>
      </c>
      <c r="I26" s="507" t="s">
        <v>32</v>
      </c>
    </row>
    <row r="27" spans="1:9" x14ac:dyDescent="0.2">
      <c r="A27" s="501" t="s">
        <v>282</v>
      </c>
      <c r="B27" s="507" t="s">
        <v>283</v>
      </c>
      <c r="C27" s="507" t="s">
        <v>297</v>
      </c>
      <c r="D27" s="507">
        <v>1</v>
      </c>
      <c r="E27" s="507">
        <v>2</v>
      </c>
      <c r="F27" s="507">
        <v>3</v>
      </c>
      <c r="G27" s="507">
        <v>4</v>
      </c>
      <c r="H27" s="507">
        <v>5</v>
      </c>
      <c r="I27" s="507">
        <v>6</v>
      </c>
    </row>
    <row r="28" spans="1:9" x14ac:dyDescent="0.2">
      <c r="A28" s="501">
        <v>1</v>
      </c>
      <c r="B28" s="502" t="s">
        <v>43</v>
      </c>
      <c r="C28" s="503">
        <v>1</v>
      </c>
      <c r="D28" s="504"/>
      <c r="E28" s="504"/>
      <c r="F28" s="504"/>
      <c r="G28" s="504"/>
      <c r="H28" s="504"/>
      <c r="I28" s="504"/>
    </row>
    <row r="29" spans="1:9" x14ac:dyDescent="0.2">
      <c r="A29" s="499">
        <v>1.1000000000000001</v>
      </c>
      <c r="B29" s="134" t="s">
        <v>44</v>
      </c>
      <c r="C29" s="508">
        <v>2</v>
      </c>
      <c r="D29" s="131" t="s">
        <v>0</v>
      </c>
      <c r="E29" s="131" t="s">
        <v>0</v>
      </c>
      <c r="F29" s="131" t="s">
        <v>0</v>
      </c>
      <c r="G29" s="131" t="s">
        <v>0</v>
      </c>
      <c r="H29" s="131" t="s">
        <v>0</v>
      </c>
      <c r="I29" s="497">
        <f>SUM(D29:H29)</f>
        <v>0</v>
      </c>
    </row>
    <row r="30" spans="1:9" x14ac:dyDescent="0.2">
      <c r="A30" s="499">
        <v>1.2</v>
      </c>
      <c r="B30" s="134" t="s">
        <v>45</v>
      </c>
      <c r="C30" s="508">
        <v>3</v>
      </c>
      <c r="D30" s="131" t="s">
        <v>0</v>
      </c>
      <c r="E30" s="131" t="s">
        <v>0</v>
      </c>
      <c r="F30" s="131" t="s">
        <v>0</v>
      </c>
      <c r="G30" s="131" t="s">
        <v>0</v>
      </c>
      <c r="H30" s="131" t="s">
        <v>0</v>
      </c>
      <c r="I30" s="497">
        <f t="shared" ref="I30:I38" si="3">SUM(D30:H30)</f>
        <v>0</v>
      </c>
    </row>
    <row r="31" spans="1:9" x14ac:dyDescent="0.2">
      <c r="A31" s="499">
        <v>1.3</v>
      </c>
      <c r="B31" s="134" t="s">
        <v>46</v>
      </c>
      <c r="C31" s="508">
        <v>4</v>
      </c>
      <c r="D31" s="131"/>
      <c r="E31" s="131" t="s">
        <v>0</v>
      </c>
      <c r="F31" s="131" t="s">
        <v>0</v>
      </c>
      <c r="G31" s="131" t="s">
        <v>0</v>
      </c>
      <c r="H31" s="131" t="s">
        <v>0</v>
      </c>
      <c r="I31" s="497">
        <f t="shared" si="3"/>
        <v>0</v>
      </c>
    </row>
    <row r="32" spans="1:9" x14ac:dyDescent="0.2">
      <c r="A32" s="499">
        <v>1.4</v>
      </c>
      <c r="B32" s="134" t="s">
        <v>47</v>
      </c>
      <c r="C32" s="508">
        <v>5</v>
      </c>
      <c r="D32" s="131" t="s">
        <v>0</v>
      </c>
      <c r="E32" s="131" t="s">
        <v>0</v>
      </c>
      <c r="F32" s="131" t="s">
        <v>0</v>
      </c>
      <c r="G32" s="131" t="s">
        <v>0</v>
      </c>
      <c r="H32" s="131" t="s">
        <v>0</v>
      </c>
      <c r="I32" s="497">
        <f t="shared" si="3"/>
        <v>0</v>
      </c>
    </row>
    <row r="33" spans="1:9" x14ac:dyDescent="0.2">
      <c r="A33" s="499">
        <v>1.5</v>
      </c>
      <c r="B33" s="134" t="s">
        <v>48</v>
      </c>
      <c r="C33" s="508">
        <v>6</v>
      </c>
      <c r="D33" s="131" t="s">
        <v>0</v>
      </c>
      <c r="E33" s="131"/>
      <c r="F33" s="131" t="s">
        <v>0</v>
      </c>
      <c r="G33" s="131" t="s">
        <v>0</v>
      </c>
      <c r="H33" s="131" t="s">
        <v>0</v>
      </c>
      <c r="I33" s="497">
        <f t="shared" si="3"/>
        <v>0</v>
      </c>
    </row>
    <row r="34" spans="1:9" x14ac:dyDescent="0.2">
      <c r="A34" s="499">
        <v>1.6</v>
      </c>
      <c r="B34" s="134" t="s">
        <v>49</v>
      </c>
      <c r="C34" s="508">
        <v>7</v>
      </c>
      <c r="D34" s="131" t="s">
        <v>0</v>
      </c>
      <c r="E34" s="131" t="s">
        <v>0</v>
      </c>
      <c r="F34" s="131" t="s">
        <v>0</v>
      </c>
      <c r="G34" s="131" t="s">
        <v>0</v>
      </c>
      <c r="H34" s="131" t="s">
        <v>0</v>
      </c>
      <c r="I34" s="497">
        <f t="shared" si="3"/>
        <v>0</v>
      </c>
    </row>
    <row r="35" spans="1:9" x14ac:dyDescent="0.2">
      <c r="A35" s="499">
        <v>1.7</v>
      </c>
      <c r="B35" s="134" t="s">
        <v>50</v>
      </c>
      <c r="C35" s="508">
        <v>8</v>
      </c>
      <c r="D35" s="131" t="s">
        <v>0</v>
      </c>
      <c r="E35" s="131" t="s">
        <v>0</v>
      </c>
      <c r="F35" s="131" t="s">
        <v>0</v>
      </c>
      <c r="G35" s="131" t="s">
        <v>0</v>
      </c>
      <c r="H35" s="131" t="s">
        <v>0</v>
      </c>
      <c r="I35" s="497">
        <f t="shared" si="3"/>
        <v>0</v>
      </c>
    </row>
    <row r="36" spans="1:9" x14ac:dyDescent="0.2">
      <c r="A36" s="499">
        <v>1.8</v>
      </c>
      <c r="B36" s="134" t="s">
        <v>51</v>
      </c>
      <c r="C36" s="508">
        <v>9</v>
      </c>
      <c r="D36" s="131" t="s">
        <v>0</v>
      </c>
      <c r="E36" s="131" t="s">
        <v>0</v>
      </c>
      <c r="F36" s="131" t="s">
        <v>0</v>
      </c>
      <c r="G36" s="131" t="s">
        <v>0</v>
      </c>
      <c r="H36" s="131" t="s">
        <v>0</v>
      </c>
      <c r="I36" s="497">
        <f t="shared" si="3"/>
        <v>0</v>
      </c>
    </row>
    <row r="37" spans="1:9" x14ac:dyDescent="0.2">
      <c r="A37" s="499">
        <v>1.9</v>
      </c>
      <c r="B37" s="134" t="s">
        <v>52</v>
      </c>
      <c r="C37" s="508">
        <v>10</v>
      </c>
      <c r="D37" s="131" t="s">
        <v>0</v>
      </c>
      <c r="E37" s="131" t="s">
        <v>0</v>
      </c>
      <c r="F37" s="131" t="s">
        <v>0</v>
      </c>
      <c r="G37" s="131" t="s">
        <v>0</v>
      </c>
      <c r="H37" s="131" t="s">
        <v>0</v>
      </c>
      <c r="I37" s="497">
        <f t="shared" si="3"/>
        <v>0</v>
      </c>
    </row>
    <row r="38" spans="1:9" x14ac:dyDescent="0.2">
      <c r="A38" s="509">
        <v>1.1000000000000001</v>
      </c>
      <c r="B38" s="134" t="s">
        <v>53</v>
      </c>
      <c r="C38" s="508">
        <v>11</v>
      </c>
      <c r="D38" s="131" t="s">
        <v>0</v>
      </c>
      <c r="E38" s="131" t="s">
        <v>0</v>
      </c>
      <c r="F38" s="131" t="s">
        <v>0</v>
      </c>
      <c r="G38" s="131" t="s">
        <v>0</v>
      </c>
      <c r="H38" s="131" t="s">
        <v>0</v>
      </c>
      <c r="I38" s="497">
        <f t="shared" si="3"/>
        <v>0</v>
      </c>
    </row>
    <row r="39" spans="1:9" x14ac:dyDescent="0.2">
      <c r="A39" s="501">
        <v>2</v>
      </c>
      <c r="B39" s="502" t="s">
        <v>54</v>
      </c>
      <c r="C39" s="503">
        <v>12</v>
      </c>
      <c r="D39" s="504">
        <f>SUM(D29:D38)</f>
        <v>0</v>
      </c>
      <c r="E39" s="504">
        <f t="shared" ref="E39:H39" si="4">SUM(E29:E38)</f>
        <v>0</v>
      </c>
      <c r="F39" s="504">
        <f t="shared" si="4"/>
        <v>0</v>
      </c>
      <c r="G39" s="504">
        <f t="shared" si="4"/>
        <v>0</v>
      </c>
      <c r="H39" s="504">
        <f t="shared" si="4"/>
        <v>0</v>
      </c>
      <c r="I39" s="504">
        <f>SUM(D39:H39)</f>
        <v>0</v>
      </c>
    </row>
    <row r="40" spans="1:9" x14ac:dyDescent="0.2">
      <c r="A40" s="501">
        <v>3</v>
      </c>
      <c r="B40" s="502" t="s">
        <v>55</v>
      </c>
      <c r="C40" s="503">
        <v>13</v>
      </c>
      <c r="D40" s="285">
        <f>D39*0%</f>
        <v>0</v>
      </c>
      <c r="E40" s="285">
        <f>E39*5%</f>
        <v>0</v>
      </c>
      <c r="F40" s="285">
        <f>F39*25%</f>
        <v>0</v>
      </c>
      <c r="G40" s="285">
        <f>G39*50%</f>
        <v>0</v>
      </c>
      <c r="H40" s="285">
        <f>H39*100%</f>
        <v>0</v>
      </c>
      <c r="I40" s="504">
        <f>SUM(D40:H40)</f>
        <v>0</v>
      </c>
    </row>
    <row r="41" spans="1:9" x14ac:dyDescent="0.2">
      <c r="A41" s="501">
        <v>4</v>
      </c>
      <c r="B41" s="502" t="s">
        <v>56</v>
      </c>
      <c r="C41" s="505">
        <v>14</v>
      </c>
      <c r="D41" s="504">
        <f>D39-D40</f>
        <v>0</v>
      </c>
      <c r="E41" s="504">
        <f t="shared" ref="E41:H41" si="5">E39-E40</f>
        <v>0</v>
      </c>
      <c r="F41" s="504">
        <f t="shared" si="5"/>
        <v>0</v>
      </c>
      <c r="G41" s="504">
        <f t="shared" si="5"/>
        <v>0</v>
      </c>
      <c r="H41" s="504">
        <f t="shared" si="5"/>
        <v>0</v>
      </c>
      <c r="I41" s="504">
        <f>SUM(D41:H41)</f>
        <v>0</v>
      </c>
    </row>
    <row r="42" spans="1:9" x14ac:dyDescent="0.2">
      <c r="A42" s="293"/>
      <c r="B42" s="293"/>
      <c r="C42" s="293"/>
      <c r="D42" s="293"/>
      <c r="E42" s="293"/>
      <c r="F42" s="293"/>
      <c r="G42" s="293"/>
      <c r="H42" s="293"/>
      <c r="I42" s="293"/>
    </row>
    <row r="43" spans="1:9" x14ac:dyDescent="0.2">
      <c r="A43" s="293"/>
      <c r="B43" s="293"/>
      <c r="C43" s="293"/>
      <c r="D43" s="293"/>
      <c r="E43" s="293"/>
      <c r="F43" s="293"/>
      <c r="G43" s="293"/>
      <c r="H43" s="293"/>
      <c r="I43" s="293"/>
    </row>
    <row r="44" spans="1:9" x14ac:dyDescent="0.2">
      <c r="A44" s="506" t="s">
        <v>57</v>
      </c>
      <c r="B44" s="294"/>
      <c r="C44" s="294"/>
      <c r="D44" s="293"/>
      <c r="E44" s="293"/>
      <c r="F44" s="293"/>
      <c r="G44" s="293"/>
      <c r="H44" s="293"/>
      <c r="I44" s="293"/>
    </row>
    <row r="45" spans="1:9" x14ac:dyDescent="0.2">
      <c r="A45" s="293"/>
      <c r="B45" s="293"/>
      <c r="C45" s="293"/>
      <c r="D45" s="293"/>
      <c r="E45" s="293"/>
      <c r="F45" s="293"/>
      <c r="G45" s="293"/>
      <c r="H45" s="293"/>
      <c r="I45" s="293"/>
    </row>
    <row r="46" spans="1:9" ht="25.5" x14ac:dyDescent="0.2">
      <c r="A46" s="494" t="s">
        <v>280</v>
      </c>
      <c r="B46" s="507" t="s">
        <v>1</v>
      </c>
      <c r="C46" s="507" t="s">
        <v>295</v>
      </c>
      <c r="D46" s="507" t="s">
        <v>27</v>
      </c>
      <c r="E46" s="507" t="s">
        <v>28</v>
      </c>
      <c r="F46" s="507" t="s">
        <v>29</v>
      </c>
      <c r="G46" s="507" t="s">
        <v>30</v>
      </c>
      <c r="H46" s="507" t="s">
        <v>31</v>
      </c>
      <c r="I46" s="507" t="s">
        <v>32</v>
      </c>
    </row>
    <row r="47" spans="1:9" x14ac:dyDescent="0.2">
      <c r="A47" s="494" t="s">
        <v>282</v>
      </c>
      <c r="B47" s="507" t="s">
        <v>283</v>
      </c>
      <c r="C47" s="507" t="s">
        <v>297</v>
      </c>
      <c r="D47" s="507">
        <v>1</v>
      </c>
      <c r="E47" s="507">
        <v>2</v>
      </c>
      <c r="F47" s="507">
        <v>3</v>
      </c>
      <c r="G47" s="507">
        <v>4</v>
      </c>
      <c r="H47" s="507">
        <v>5</v>
      </c>
      <c r="I47" s="507">
        <v>6</v>
      </c>
    </row>
    <row r="48" spans="1:9" x14ac:dyDescent="0.2">
      <c r="A48" s="494" t="s">
        <v>419</v>
      </c>
      <c r="B48" s="495" t="s">
        <v>58</v>
      </c>
      <c r="C48" s="496">
        <v>1</v>
      </c>
      <c r="D48" s="285"/>
      <c r="E48" s="285"/>
      <c r="F48" s="285"/>
      <c r="G48" s="285"/>
      <c r="H48" s="285"/>
      <c r="I48" s="285"/>
    </row>
    <row r="49" spans="1:9" x14ac:dyDescent="0.2">
      <c r="A49" s="499">
        <v>1</v>
      </c>
      <c r="B49" s="500" t="s">
        <v>59</v>
      </c>
      <c r="C49" s="498">
        <v>2</v>
      </c>
      <c r="D49" s="131"/>
      <c r="E49" s="131" t="s">
        <v>0</v>
      </c>
      <c r="F49" s="131" t="s">
        <v>0</v>
      </c>
      <c r="G49" s="131" t="s">
        <v>0</v>
      </c>
      <c r="H49" s="131" t="s">
        <v>0</v>
      </c>
      <c r="I49" s="497">
        <f>SUM(D49:H49)</f>
        <v>0</v>
      </c>
    </row>
    <row r="50" spans="1:9" x14ac:dyDescent="0.2">
      <c r="A50" s="499">
        <v>2</v>
      </c>
      <c r="B50" s="500" t="s">
        <v>60</v>
      </c>
      <c r="C50" s="498">
        <v>3</v>
      </c>
      <c r="D50" s="131"/>
      <c r="E50" s="131"/>
      <c r="F50" s="131"/>
      <c r="G50" s="131"/>
      <c r="H50" s="131"/>
      <c r="I50" s="497">
        <f>SUM(D50:H50)</f>
        <v>0</v>
      </c>
    </row>
    <row r="51" spans="1:9" x14ac:dyDescent="0.2">
      <c r="A51" s="499">
        <v>3</v>
      </c>
      <c r="B51" s="500" t="s">
        <v>61</v>
      </c>
      <c r="C51" s="498">
        <v>4</v>
      </c>
      <c r="D51" s="131" t="s">
        <v>0</v>
      </c>
      <c r="E51" s="131" t="s">
        <v>0</v>
      </c>
      <c r="F51" s="131" t="s">
        <v>0</v>
      </c>
      <c r="G51" s="131" t="s">
        <v>0</v>
      </c>
      <c r="H51" s="131" t="s">
        <v>0</v>
      </c>
      <c r="I51" s="497">
        <f t="shared" ref="I51" si="6">SUM(D51:H51)</f>
        <v>0</v>
      </c>
    </row>
    <row r="52" spans="1:9" x14ac:dyDescent="0.2">
      <c r="A52" s="494">
        <v>4</v>
      </c>
      <c r="B52" s="495" t="s">
        <v>62</v>
      </c>
      <c r="C52" s="496">
        <v>5</v>
      </c>
      <c r="D52" s="285">
        <f>SUM(D49:D51)</f>
        <v>0</v>
      </c>
      <c r="E52" s="285">
        <f>SUM(E49:E51)</f>
        <v>0</v>
      </c>
      <c r="F52" s="285">
        <f>SUM(F49:F51)</f>
        <v>0</v>
      </c>
      <c r="G52" s="285">
        <f>SUM(G49:G51)</f>
        <v>0</v>
      </c>
      <c r="H52" s="285">
        <f>SUM(H49:H51)</f>
        <v>0</v>
      </c>
      <c r="I52" s="285">
        <f>SUM(D52:H52)</f>
        <v>0</v>
      </c>
    </row>
    <row r="53" spans="1:9" x14ac:dyDescent="0.2">
      <c r="A53" s="494">
        <v>5</v>
      </c>
      <c r="B53" s="495" t="s">
        <v>63</v>
      </c>
      <c r="C53" s="496">
        <v>6</v>
      </c>
      <c r="D53" s="285">
        <f>D52*0%</f>
        <v>0</v>
      </c>
      <c r="E53" s="285">
        <f>E52*5%</f>
        <v>0</v>
      </c>
      <c r="F53" s="285">
        <f>F52*25%</f>
        <v>0</v>
      </c>
      <c r="G53" s="285">
        <f>G52*50%</f>
        <v>0</v>
      </c>
      <c r="H53" s="285">
        <f>H52*100%</f>
        <v>0</v>
      </c>
      <c r="I53" s="285">
        <f>SUM(D53:H53)</f>
        <v>0</v>
      </c>
    </row>
    <row r="54" spans="1:9" x14ac:dyDescent="0.2">
      <c r="A54" s="494">
        <v>6</v>
      </c>
      <c r="B54" s="495" t="s">
        <v>64</v>
      </c>
      <c r="C54" s="496">
        <v>7</v>
      </c>
      <c r="D54" s="285">
        <f>D52-D53</f>
        <v>0</v>
      </c>
      <c r="E54" s="285">
        <f t="shared" ref="E54:H54" si="7">E52-E53</f>
        <v>0</v>
      </c>
      <c r="F54" s="285">
        <f t="shared" si="7"/>
        <v>0</v>
      </c>
      <c r="G54" s="285">
        <f t="shared" si="7"/>
        <v>0</v>
      </c>
      <c r="H54" s="285">
        <f t="shared" si="7"/>
        <v>0</v>
      </c>
      <c r="I54" s="285">
        <f>SUM(D54:H54)</f>
        <v>0</v>
      </c>
    </row>
    <row r="55" spans="1:9" x14ac:dyDescent="0.2">
      <c r="A55" s="494" t="s">
        <v>420</v>
      </c>
      <c r="B55" s="495" t="s">
        <v>65</v>
      </c>
      <c r="C55" s="496">
        <v>8</v>
      </c>
      <c r="D55" s="285"/>
      <c r="E55" s="285"/>
      <c r="F55" s="285"/>
      <c r="G55" s="285"/>
      <c r="H55" s="285"/>
      <c r="I55" s="285"/>
    </row>
    <row r="56" spans="1:9" x14ac:dyDescent="0.2">
      <c r="A56" s="499">
        <v>1</v>
      </c>
      <c r="B56" s="134" t="s">
        <v>66</v>
      </c>
      <c r="C56" s="498">
        <v>9</v>
      </c>
      <c r="D56" s="131"/>
      <c r="E56" s="131" t="s">
        <v>0</v>
      </c>
      <c r="F56" s="131" t="s">
        <v>0</v>
      </c>
      <c r="G56" s="131" t="s">
        <v>0</v>
      </c>
      <c r="H56" s="131" t="s">
        <v>0</v>
      </c>
      <c r="I56" s="497">
        <f>SUM(D56:H56)</f>
        <v>0</v>
      </c>
    </row>
    <row r="57" spans="1:9" x14ac:dyDescent="0.2">
      <c r="A57" s="499">
        <v>2</v>
      </c>
      <c r="B57" s="134" t="s">
        <v>67</v>
      </c>
      <c r="C57" s="498">
        <v>10</v>
      </c>
      <c r="D57" s="131"/>
      <c r="E57" s="131" t="s">
        <v>0</v>
      </c>
      <c r="F57" s="131" t="s">
        <v>0</v>
      </c>
      <c r="G57" s="131" t="s">
        <v>0</v>
      </c>
      <c r="H57" s="131" t="s">
        <v>0</v>
      </c>
      <c r="I57" s="497">
        <f t="shared" ref="I57:I65" si="8">SUM(D57:H57)</f>
        <v>0</v>
      </c>
    </row>
    <row r="58" spans="1:9" x14ac:dyDescent="0.2">
      <c r="A58" s="499">
        <v>3</v>
      </c>
      <c r="B58" s="134" t="s">
        <v>68</v>
      </c>
      <c r="C58" s="498">
        <v>11</v>
      </c>
      <c r="D58" s="131" t="s">
        <v>0</v>
      </c>
      <c r="E58" s="131" t="s">
        <v>0</v>
      </c>
      <c r="F58" s="131" t="s">
        <v>0</v>
      </c>
      <c r="G58" s="131" t="s">
        <v>0</v>
      </c>
      <c r="H58" s="131" t="s">
        <v>0</v>
      </c>
      <c r="I58" s="497">
        <f t="shared" si="8"/>
        <v>0</v>
      </c>
    </row>
    <row r="59" spans="1:9" x14ac:dyDescent="0.2">
      <c r="A59" s="499">
        <v>4</v>
      </c>
      <c r="B59" s="134" t="s">
        <v>69</v>
      </c>
      <c r="C59" s="498">
        <v>12</v>
      </c>
      <c r="D59" s="131" t="s">
        <v>0</v>
      </c>
      <c r="E59" s="131"/>
      <c r="F59" s="131" t="s">
        <v>0</v>
      </c>
      <c r="G59" s="131" t="s">
        <v>0</v>
      </c>
      <c r="H59" s="131" t="s">
        <v>0</v>
      </c>
      <c r="I59" s="497">
        <f t="shared" si="8"/>
        <v>0</v>
      </c>
    </row>
    <row r="60" spans="1:9" x14ac:dyDescent="0.2">
      <c r="A60" s="499">
        <v>5</v>
      </c>
      <c r="B60" s="134" t="s">
        <v>70</v>
      </c>
      <c r="C60" s="498">
        <v>13</v>
      </c>
      <c r="D60" s="131" t="s">
        <v>0</v>
      </c>
      <c r="E60" s="131" t="s">
        <v>0</v>
      </c>
      <c r="F60" s="131" t="s">
        <v>0</v>
      </c>
      <c r="G60" s="131" t="s">
        <v>0</v>
      </c>
      <c r="H60" s="131" t="s">
        <v>0</v>
      </c>
      <c r="I60" s="497">
        <f t="shared" si="8"/>
        <v>0</v>
      </c>
    </row>
    <row r="61" spans="1:9" x14ac:dyDescent="0.2">
      <c r="A61" s="499">
        <v>6</v>
      </c>
      <c r="B61" s="134" t="s">
        <v>71</v>
      </c>
      <c r="C61" s="498">
        <v>14</v>
      </c>
      <c r="D61" s="131" t="s">
        <v>0</v>
      </c>
      <c r="E61" s="131" t="s">
        <v>0</v>
      </c>
      <c r="F61" s="131" t="s">
        <v>0</v>
      </c>
      <c r="G61" s="131" t="s">
        <v>0</v>
      </c>
      <c r="H61" s="131" t="s">
        <v>0</v>
      </c>
      <c r="I61" s="497">
        <f t="shared" si="8"/>
        <v>0</v>
      </c>
    </row>
    <row r="62" spans="1:9" x14ac:dyDescent="0.2">
      <c r="A62" s="499">
        <v>7</v>
      </c>
      <c r="B62" s="134" t="s">
        <v>72</v>
      </c>
      <c r="C62" s="498">
        <v>15</v>
      </c>
      <c r="D62" s="131" t="s">
        <v>0</v>
      </c>
      <c r="E62" s="131" t="s">
        <v>0</v>
      </c>
      <c r="F62" s="131" t="s">
        <v>0</v>
      </c>
      <c r="G62" s="131" t="s">
        <v>0</v>
      </c>
      <c r="H62" s="131" t="s">
        <v>0</v>
      </c>
      <c r="I62" s="497">
        <f t="shared" si="8"/>
        <v>0</v>
      </c>
    </row>
    <row r="63" spans="1:9" x14ac:dyDescent="0.2">
      <c r="A63" s="499">
        <v>8</v>
      </c>
      <c r="B63" s="134" t="s">
        <v>73</v>
      </c>
      <c r="C63" s="498">
        <v>16</v>
      </c>
      <c r="D63" s="131" t="s">
        <v>0</v>
      </c>
      <c r="E63" s="131" t="s">
        <v>0</v>
      </c>
      <c r="F63" s="131" t="s">
        <v>0</v>
      </c>
      <c r="G63" s="131" t="s">
        <v>0</v>
      </c>
      <c r="H63" s="131" t="s">
        <v>0</v>
      </c>
      <c r="I63" s="497">
        <f t="shared" si="8"/>
        <v>0</v>
      </c>
    </row>
    <row r="64" spans="1:9" x14ac:dyDescent="0.2">
      <c r="A64" s="499">
        <v>9</v>
      </c>
      <c r="B64" s="134" t="s">
        <v>74</v>
      </c>
      <c r="C64" s="498">
        <v>17</v>
      </c>
      <c r="D64" s="131" t="s">
        <v>0</v>
      </c>
      <c r="E64" s="131" t="s">
        <v>0</v>
      </c>
      <c r="F64" s="131" t="s">
        <v>0</v>
      </c>
      <c r="G64" s="131" t="s">
        <v>0</v>
      </c>
      <c r="H64" s="131" t="s">
        <v>0</v>
      </c>
      <c r="I64" s="497">
        <f t="shared" si="8"/>
        <v>0</v>
      </c>
    </row>
    <row r="65" spans="1:9" x14ac:dyDescent="0.2">
      <c r="A65" s="499">
        <v>10</v>
      </c>
      <c r="B65" s="134" t="s">
        <v>75</v>
      </c>
      <c r="C65" s="498">
        <v>18</v>
      </c>
      <c r="D65" s="131" t="s">
        <v>0</v>
      </c>
      <c r="E65" s="131" t="s">
        <v>0</v>
      </c>
      <c r="F65" s="131" t="s">
        <v>0</v>
      </c>
      <c r="G65" s="131" t="s">
        <v>0</v>
      </c>
      <c r="H65" s="131" t="s">
        <v>0</v>
      </c>
      <c r="I65" s="497">
        <f t="shared" si="8"/>
        <v>0</v>
      </c>
    </row>
    <row r="66" spans="1:9" x14ac:dyDescent="0.2">
      <c r="A66" s="494">
        <v>3</v>
      </c>
      <c r="B66" s="495" t="s">
        <v>76</v>
      </c>
      <c r="C66" s="496">
        <v>19</v>
      </c>
      <c r="D66" s="285">
        <f>SUM(D56:D65)</f>
        <v>0</v>
      </c>
      <c r="E66" s="285">
        <f t="shared" ref="E66:H66" si="9">SUM(E56:E65)</f>
        <v>0</v>
      </c>
      <c r="F66" s="285">
        <f t="shared" si="9"/>
        <v>0</v>
      </c>
      <c r="G66" s="285">
        <f t="shared" si="9"/>
        <v>0</v>
      </c>
      <c r="H66" s="285">
        <f t="shared" si="9"/>
        <v>0</v>
      </c>
      <c r="I66" s="285">
        <f>SUM(D66:H66)</f>
        <v>0</v>
      </c>
    </row>
    <row r="67" spans="1:9" x14ac:dyDescent="0.2">
      <c r="A67" s="494">
        <v>4</v>
      </c>
      <c r="B67" s="495" t="s">
        <v>77</v>
      </c>
      <c r="C67" s="496">
        <v>20</v>
      </c>
      <c r="D67" s="285">
        <f>D66*0%</f>
        <v>0</v>
      </c>
      <c r="E67" s="285">
        <f>E66*5%</f>
        <v>0</v>
      </c>
      <c r="F67" s="285">
        <f>F66*25%</f>
        <v>0</v>
      </c>
      <c r="G67" s="285">
        <f>G66*50%</f>
        <v>0</v>
      </c>
      <c r="H67" s="285">
        <f>H66*100%</f>
        <v>0</v>
      </c>
      <c r="I67" s="285">
        <f>SUM(D67:H67)</f>
        <v>0</v>
      </c>
    </row>
    <row r="68" spans="1:9" x14ac:dyDescent="0.2">
      <c r="A68" s="494">
        <v>5</v>
      </c>
      <c r="B68" s="495" t="s">
        <v>78</v>
      </c>
      <c r="C68" s="496">
        <v>21</v>
      </c>
      <c r="D68" s="285">
        <f>D66-D67</f>
        <v>0</v>
      </c>
      <c r="E68" s="285">
        <f t="shared" ref="E68:H68" si="10">E66-E67</f>
        <v>0</v>
      </c>
      <c r="F68" s="285">
        <f t="shared" si="10"/>
        <v>0</v>
      </c>
      <c r="G68" s="285">
        <f t="shared" si="10"/>
        <v>0</v>
      </c>
      <c r="H68" s="285">
        <f t="shared" si="10"/>
        <v>0</v>
      </c>
      <c r="I68" s="285">
        <f>SUM(D68:H68)</f>
        <v>0</v>
      </c>
    </row>
    <row r="71" spans="1:9" x14ac:dyDescent="0.2">
      <c r="B71" s="2" t="s">
        <v>285</v>
      </c>
      <c r="C71" s="443"/>
      <c r="D71" s="4"/>
      <c r="E71" s="4"/>
    </row>
    <row r="72" spans="1:9" x14ac:dyDescent="0.2">
      <c r="B72" s="5"/>
      <c r="C72" s="443"/>
      <c r="D72" s="4"/>
      <c r="E72" s="4"/>
    </row>
    <row r="73" spans="1:9" x14ac:dyDescent="0.2">
      <c r="B73" s="5" t="s">
        <v>286</v>
      </c>
      <c r="C73" s="443"/>
      <c r="D73" s="4"/>
      <c r="E73" s="4"/>
    </row>
    <row r="74" spans="1:9" x14ac:dyDescent="0.2">
      <c r="B74" s="5"/>
      <c r="C74" s="443"/>
      <c r="D74" s="4"/>
      <c r="E74" s="4"/>
    </row>
    <row r="75" spans="1:9" x14ac:dyDescent="0.2">
      <c r="B75" s="6" t="s">
        <v>287</v>
      </c>
      <c r="C75" s="576" t="s">
        <v>288</v>
      </c>
      <c r="D75" s="576"/>
      <c r="E75" s="4" t="s">
        <v>289</v>
      </c>
    </row>
    <row r="76" spans="1:9" x14ac:dyDescent="0.2">
      <c r="B76" s="5"/>
      <c r="C76" s="576"/>
      <c r="D76" s="576"/>
      <c r="E76" s="4"/>
    </row>
    <row r="77" spans="1:9" x14ac:dyDescent="0.2">
      <c r="B77" s="6" t="s">
        <v>290</v>
      </c>
      <c r="C77" s="576" t="s">
        <v>291</v>
      </c>
      <c r="D77" s="576"/>
      <c r="E77" s="4" t="s">
        <v>292</v>
      </c>
    </row>
    <row r="78" spans="1:9" x14ac:dyDescent="0.2">
      <c r="B78" s="5"/>
      <c r="C78" s="576"/>
      <c r="D78" s="576"/>
      <c r="E78" s="4"/>
    </row>
    <row r="79" spans="1:9" x14ac:dyDescent="0.2">
      <c r="B79" s="6" t="s">
        <v>293</v>
      </c>
      <c r="C79" s="576" t="s">
        <v>288</v>
      </c>
      <c r="D79" s="576"/>
      <c r="E79" s="4" t="s">
        <v>292</v>
      </c>
    </row>
  </sheetData>
  <sheetProtection password="CA9F" sheet="1" objects="1" scenarios="1"/>
  <mergeCells count="8">
    <mergeCell ref="C78:D78"/>
    <mergeCell ref="C79:D79"/>
    <mergeCell ref="E3:I4"/>
    <mergeCell ref="B5:I5"/>
    <mergeCell ref="H7:I7"/>
    <mergeCell ref="C75:D75"/>
    <mergeCell ref="C76:D76"/>
    <mergeCell ref="C77:D77"/>
  </mergeCells>
  <dataValidations count="1">
    <dataValidation type="whole" allowBlank="1" showInputMessage="1" showErrorMessage="1" sqref="I10" xr:uid="{624BE14D-B67A-4640-9A9E-9CE9CE710ECB}">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2"/>
  <sheetViews>
    <sheetView zoomScaleNormal="100" zoomScalePageLayoutView="60" workbookViewId="0">
      <selection activeCell="G32" sqref="G32"/>
    </sheetView>
  </sheetViews>
  <sheetFormatPr defaultRowHeight="12.75" x14ac:dyDescent="0.2"/>
  <cols>
    <col min="1" max="1" width="11.5703125" style="286"/>
    <col min="2" max="2" width="21.7109375" style="286" customWidth="1"/>
    <col min="3" max="3" width="12.7109375" style="286"/>
    <col min="4" max="19" width="19.5703125" style="286" customWidth="1"/>
    <col min="20" max="1025" width="11.5703125" style="286"/>
    <col min="1026" max="16384" width="9.140625" style="286"/>
  </cols>
  <sheetData>
    <row r="1" spans="1:19" x14ac:dyDescent="0.2">
      <c r="A1" s="10"/>
      <c r="B1" s="11"/>
      <c r="C1" s="10"/>
      <c r="D1" s="11"/>
      <c r="E1" s="11"/>
      <c r="F1" s="11"/>
      <c r="G1" s="11"/>
      <c r="H1" s="11"/>
      <c r="I1" s="11"/>
      <c r="J1" s="11"/>
      <c r="K1" s="11"/>
      <c r="L1" s="580" t="s">
        <v>421</v>
      </c>
      <c r="M1" s="580"/>
      <c r="N1" s="580"/>
      <c r="O1" s="580"/>
      <c r="P1" s="580"/>
      <c r="Q1" s="580"/>
      <c r="R1" s="580"/>
      <c r="S1" s="580"/>
    </row>
    <row r="2" spans="1:19" x14ac:dyDescent="0.2">
      <c r="A2" s="10"/>
      <c r="B2" s="11"/>
      <c r="C2" s="10"/>
      <c r="D2" s="11"/>
      <c r="E2" s="11"/>
      <c r="F2" s="11"/>
      <c r="G2" s="11"/>
      <c r="H2" s="11"/>
      <c r="I2" s="11"/>
      <c r="J2" s="11"/>
      <c r="K2" s="11"/>
      <c r="L2" s="580"/>
      <c r="M2" s="580"/>
      <c r="N2" s="580"/>
      <c r="O2" s="580"/>
      <c r="P2" s="580"/>
      <c r="Q2" s="580"/>
      <c r="R2" s="580"/>
      <c r="S2" s="580"/>
    </row>
    <row r="3" spans="1:19" x14ac:dyDescent="0.2">
      <c r="A3" s="581" t="s">
        <v>422</v>
      </c>
      <c r="B3" s="582"/>
      <c r="C3" s="582"/>
      <c r="D3" s="582"/>
      <c r="E3" s="582"/>
      <c r="F3" s="582"/>
      <c r="G3" s="582"/>
      <c r="H3" s="582"/>
      <c r="I3" s="582"/>
      <c r="J3" s="582"/>
      <c r="K3" s="582"/>
      <c r="L3" s="582"/>
      <c r="M3" s="582"/>
      <c r="N3" s="582"/>
      <c r="O3" s="582"/>
      <c r="P3" s="582"/>
      <c r="Q3" s="582"/>
      <c r="R3" s="582"/>
      <c r="S3" s="11"/>
    </row>
    <row r="4" spans="1:19" x14ac:dyDescent="0.2">
      <c r="A4" s="10"/>
      <c r="B4" s="11"/>
      <c r="C4" s="10"/>
      <c r="D4" s="11"/>
      <c r="E4" s="11"/>
      <c r="F4" s="11"/>
      <c r="G4" s="11"/>
      <c r="H4" s="11"/>
      <c r="I4" s="11"/>
      <c r="J4" s="11"/>
      <c r="K4" s="11"/>
      <c r="L4" s="11"/>
      <c r="M4" s="11"/>
      <c r="N4" s="11"/>
      <c r="O4" s="11"/>
      <c r="P4" s="11"/>
      <c r="Q4" s="11"/>
      <c r="R4" s="11"/>
      <c r="S4" s="11"/>
    </row>
    <row r="5" spans="1:19" x14ac:dyDescent="0.2">
      <c r="A5" s="583" t="s">
        <v>277</v>
      </c>
      <c r="B5" s="584"/>
      <c r="C5" s="584"/>
      <c r="D5" s="584"/>
      <c r="E5" s="269"/>
      <c r="F5" s="269"/>
      <c r="G5" s="12"/>
      <c r="H5" s="585"/>
      <c r="I5" s="584"/>
      <c r="J5" s="584"/>
      <c r="K5" s="584"/>
      <c r="L5" s="11"/>
      <c r="M5" s="11"/>
      <c r="N5" s="11"/>
      <c r="O5" s="13"/>
      <c r="P5" s="13"/>
      <c r="Q5" s="13"/>
      <c r="R5" s="573" t="s">
        <v>278</v>
      </c>
      <c r="S5" s="573"/>
    </row>
    <row r="6" spans="1:19" x14ac:dyDescent="0.2">
      <c r="A6" s="14"/>
      <c r="B6" s="11"/>
      <c r="C6" s="10"/>
      <c r="D6" s="11"/>
      <c r="E6" s="11"/>
      <c r="F6" s="11"/>
      <c r="G6" s="11"/>
      <c r="H6" s="11"/>
      <c r="I6" s="11"/>
      <c r="J6" s="11"/>
      <c r="K6" s="11"/>
      <c r="L6" s="11"/>
      <c r="M6" s="11"/>
      <c r="N6" s="11"/>
      <c r="O6" s="11"/>
      <c r="P6" s="11"/>
      <c r="Q6" s="15"/>
      <c r="R6" s="270"/>
      <c r="S6" s="290" t="s">
        <v>279</v>
      </c>
    </row>
    <row r="7" spans="1:19" x14ac:dyDescent="0.2">
      <c r="A7" s="579" t="s">
        <v>280</v>
      </c>
      <c r="B7" s="579" t="s">
        <v>423</v>
      </c>
      <c r="C7" s="579" t="s">
        <v>295</v>
      </c>
      <c r="D7" s="579" t="s">
        <v>79</v>
      </c>
      <c r="E7" s="579" t="s">
        <v>424</v>
      </c>
      <c r="F7" s="579"/>
      <c r="G7" s="579"/>
      <c r="H7" s="579" t="s">
        <v>80</v>
      </c>
      <c r="I7" s="579" t="s">
        <v>81</v>
      </c>
      <c r="J7" s="579" t="s">
        <v>82</v>
      </c>
      <c r="K7" s="579" t="s">
        <v>83</v>
      </c>
      <c r="L7" s="579" t="s">
        <v>14</v>
      </c>
      <c r="M7" s="579" t="s">
        <v>84</v>
      </c>
      <c r="N7" s="579" t="s">
        <v>425</v>
      </c>
      <c r="O7" s="586"/>
      <c r="P7" s="586"/>
      <c r="Q7" s="579" t="s">
        <v>426</v>
      </c>
      <c r="R7" s="586"/>
      <c r="S7" s="586"/>
    </row>
    <row r="8" spans="1:19" ht="25.5" x14ac:dyDescent="0.2">
      <c r="A8" s="579"/>
      <c r="B8" s="579"/>
      <c r="C8" s="579"/>
      <c r="D8" s="579"/>
      <c r="E8" s="268" t="s">
        <v>427</v>
      </c>
      <c r="F8" s="268" t="s">
        <v>21</v>
      </c>
      <c r="G8" s="268" t="s">
        <v>428</v>
      </c>
      <c r="H8" s="579"/>
      <c r="I8" s="579"/>
      <c r="J8" s="579"/>
      <c r="K8" s="579"/>
      <c r="L8" s="579"/>
      <c r="M8" s="579"/>
      <c r="N8" s="268" t="s">
        <v>429</v>
      </c>
      <c r="O8" s="268" t="s">
        <v>430</v>
      </c>
      <c r="P8" s="16" t="s">
        <v>431</v>
      </c>
      <c r="Q8" s="268" t="s">
        <v>429</v>
      </c>
      <c r="R8" s="268" t="s">
        <v>430</v>
      </c>
      <c r="S8" s="268" t="s">
        <v>432</v>
      </c>
    </row>
    <row r="9" spans="1:19" x14ac:dyDescent="0.2">
      <c r="A9" s="268" t="s">
        <v>282</v>
      </c>
      <c r="B9" s="268" t="s">
        <v>283</v>
      </c>
      <c r="C9" s="268" t="s">
        <v>297</v>
      </c>
      <c r="D9" s="268">
        <v>1</v>
      </c>
      <c r="E9" s="268">
        <f>+D9+1</f>
        <v>2</v>
      </c>
      <c r="F9" s="268">
        <f t="shared" ref="F9:S9" si="0">+E9+1</f>
        <v>3</v>
      </c>
      <c r="G9" s="268">
        <f t="shared" si="0"/>
        <v>4</v>
      </c>
      <c r="H9" s="268">
        <f t="shared" si="0"/>
        <v>5</v>
      </c>
      <c r="I9" s="268">
        <f t="shared" si="0"/>
        <v>6</v>
      </c>
      <c r="J9" s="268">
        <f t="shared" si="0"/>
        <v>7</v>
      </c>
      <c r="K9" s="268">
        <f t="shared" si="0"/>
        <v>8</v>
      </c>
      <c r="L9" s="268">
        <f t="shared" si="0"/>
        <v>9</v>
      </c>
      <c r="M9" s="268">
        <f t="shared" si="0"/>
        <v>10</v>
      </c>
      <c r="N9" s="268">
        <f t="shared" si="0"/>
        <v>11</v>
      </c>
      <c r="O9" s="268">
        <f t="shared" si="0"/>
        <v>12</v>
      </c>
      <c r="P9" s="268">
        <f t="shared" si="0"/>
        <v>13</v>
      </c>
      <c r="Q9" s="268">
        <f t="shared" si="0"/>
        <v>14</v>
      </c>
      <c r="R9" s="268">
        <f t="shared" si="0"/>
        <v>15</v>
      </c>
      <c r="S9" s="268">
        <f t="shared" si="0"/>
        <v>16</v>
      </c>
    </row>
    <row r="10" spans="1:19" x14ac:dyDescent="0.2">
      <c r="A10" s="17">
        <v>1</v>
      </c>
      <c r="B10" s="18" t="s">
        <v>85</v>
      </c>
      <c r="C10" s="289">
        <v>1</v>
      </c>
      <c r="D10" s="282"/>
      <c r="E10" s="282"/>
      <c r="F10" s="282"/>
      <c r="G10" s="282"/>
      <c r="H10" s="282"/>
      <c r="I10" s="282"/>
      <c r="J10" s="282"/>
      <c r="K10" s="282"/>
      <c r="L10" s="282"/>
      <c r="M10" s="282"/>
      <c r="N10" s="282"/>
      <c r="O10" s="282"/>
      <c r="P10" s="282"/>
      <c r="Q10" s="282"/>
      <c r="R10" s="282"/>
      <c r="S10" s="131"/>
    </row>
    <row r="11" spans="1:19" x14ac:dyDescent="0.2">
      <c r="A11" s="17">
        <f t="shared" ref="A11:A40" si="1">+A10+1</f>
        <v>2</v>
      </c>
      <c r="B11" s="18" t="s">
        <v>86</v>
      </c>
      <c r="C11" s="289">
        <v>2</v>
      </c>
      <c r="D11" s="283"/>
      <c r="E11" s="283"/>
      <c r="F11" s="283"/>
      <c r="G11" s="283"/>
      <c r="H11" s="283"/>
      <c r="I11" s="283"/>
      <c r="J11" s="283"/>
      <c r="K11" s="283"/>
      <c r="L11" s="283"/>
      <c r="M11" s="283"/>
      <c r="N11" s="283"/>
      <c r="O11" s="283"/>
      <c r="P11" s="283"/>
      <c r="Q11" s="283"/>
      <c r="R11" s="283"/>
      <c r="S11" s="131"/>
    </row>
    <row r="12" spans="1:19" x14ac:dyDescent="0.2">
      <c r="A12" s="17">
        <f t="shared" si="1"/>
        <v>3</v>
      </c>
      <c r="B12" s="18" t="s">
        <v>87</v>
      </c>
      <c r="C12" s="289">
        <v>3</v>
      </c>
      <c r="D12" s="131"/>
      <c r="E12" s="131"/>
      <c r="F12" s="131"/>
      <c r="G12" s="131"/>
      <c r="H12" s="131"/>
      <c r="I12" s="131"/>
      <c r="J12" s="131"/>
      <c r="K12" s="131"/>
      <c r="L12" s="131"/>
      <c r="M12" s="131"/>
      <c r="N12" s="131"/>
      <c r="O12" s="131"/>
      <c r="P12" s="131"/>
      <c r="Q12" s="131"/>
      <c r="R12" s="131"/>
      <c r="S12" s="131"/>
    </row>
    <row r="13" spans="1:19" x14ac:dyDescent="0.2">
      <c r="A13" s="17">
        <f t="shared" si="1"/>
        <v>4</v>
      </c>
      <c r="B13" s="18" t="s">
        <v>433</v>
      </c>
      <c r="C13" s="289">
        <v>4</v>
      </c>
      <c r="D13" s="131"/>
      <c r="E13" s="131"/>
      <c r="F13" s="131"/>
      <c r="G13" s="131"/>
      <c r="H13" s="131"/>
      <c r="I13" s="131"/>
      <c r="J13" s="131"/>
      <c r="K13" s="131"/>
      <c r="L13" s="131"/>
      <c r="M13" s="131"/>
      <c r="N13" s="131"/>
      <c r="O13" s="131"/>
      <c r="P13" s="131"/>
      <c r="Q13" s="131"/>
      <c r="R13" s="131"/>
      <c r="S13" s="131"/>
    </row>
    <row r="14" spans="1:19" x14ac:dyDescent="0.2">
      <c r="A14" s="17">
        <f t="shared" si="1"/>
        <v>5</v>
      </c>
      <c r="B14" s="18" t="s">
        <v>88</v>
      </c>
      <c r="C14" s="289">
        <v>5</v>
      </c>
      <c r="D14" s="131" t="s">
        <v>0</v>
      </c>
      <c r="E14" s="131" t="s">
        <v>0</v>
      </c>
      <c r="F14" s="131" t="s">
        <v>0</v>
      </c>
      <c r="G14" s="131" t="s">
        <v>0</v>
      </c>
      <c r="H14" s="131" t="s">
        <v>0</v>
      </c>
      <c r="I14" s="131" t="s">
        <v>0</v>
      </c>
      <c r="J14" s="131" t="s">
        <v>0</v>
      </c>
      <c r="K14" s="131" t="s">
        <v>0</v>
      </c>
      <c r="L14" s="131" t="s">
        <v>0</v>
      </c>
      <c r="M14" s="131" t="s">
        <v>0</v>
      </c>
      <c r="N14" s="131" t="s">
        <v>0</v>
      </c>
      <c r="O14" s="131" t="s">
        <v>0</v>
      </c>
      <c r="P14" s="131" t="s">
        <v>0</v>
      </c>
      <c r="Q14" s="131" t="s">
        <v>0</v>
      </c>
      <c r="R14" s="131" t="s">
        <v>0</v>
      </c>
      <c r="S14" s="131"/>
    </row>
    <row r="15" spans="1:19" x14ac:dyDescent="0.2">
      <c r="A15" s="17">
        <f t="shared" si="1"/>
        <v>6</v>
      </c>
      <c r="B15" s="18" t="s">
        <v>89</v>
      </c>
      <c r="C15" s="289">
        <v>6</v>
      </c>
      <c r="D15" s="131" t="s">
        <v>0</v>
      </c>
      <c r="E15" s="131" t="s">
        <v>0</v>
      </c>
      <c r="F15" s="131" t="s">
        <v>0</v>
      </c>
      <c r="G15" s="131" t="s">
        <v>0</v>
      </c>
      <c r="H15" s="131" t="s">
        <v>0</v>
      </c>
      <c r="I15" s="131" t="s">
        <v>0</v>
      </c>
      <c r="J15" s="131" t="s">
        <v>0</v>
      </c>
      <c r="K15" s="131" t="s">
        <v>0</v>
      </c>
      <c r="L15" s="131" t="s">
        <v>0</v>
      </c>
      <c r="M15" s="131" t="s">
        <v>0</v>
      </c>
      <c r="N15" s="131" t="s">
        <v>0</v>
      </c>
      <c r="O15" s="131" t="s">
        <v>0</v>
      </c>
      <c r="P15" s="131" t="s">
        <v>0</v>
      </c>
      <c r="Q15" s="131" t="s">
        <v>0</v>
      </c>
      <c r="R15" s="131" t="s">
        <v>0</v>
      </c>
      <c r="S15" s="131"/>
    </row>
    <row r="16" spans="1:19" x14ac:dyDescent="0.2">
      <c r="A16" s="17">
        <f t="shared" si="1"/>
        <v>7</v>
      </c>
      <c r="B16" s="18" t="s">
        <v>90</v>
      </c>
      <c r="C16" s="289">
        <v>7</v>
      </c>
      <c r="D16" s="131" t="s">
        <v>0</v>
      </c>
      <c r="E16" s="131" t="s">
        <v>0</v>
      </c>
      <c r="F16" s="131" t="s">
        <v>0</v>
      </c>
      <c r="G16" s="131" t="s">
        <v>0</v>
      </c>
      <c r="H16" s="131" t="s">
        <v>0</v>
      </c>
      <c r="I16" s="131" t="s">
        <v>0</v>
      </c>
      <c r="J16" s="131" t="s">
        <v>0</v>
      </c>
      <c r="K16" s="131" t="s">
        <v>0</v>
      </c>
      <c r="L16" s="131" t="s">
        <v>0</v>
      </c>
      <c r="M16" s="131" t="s">
        <v>0</v>
      </c>
      <c r="N16" s="131" t="s">
        <v>0</v>
      </c>
      <c r="O16" s="131" t="s">
        <v>0</v>
      </c>
      <c r="P16" s="131" t="s">
        <v>0</v>
      </c>
      <c r="Q16" s="131" t="s">
        <v>0</v>
      </c>
      <c r="R16" s="131" t="s">
        <v>0</v>
      </c>
      <c r="S16" s="131"/>
    </row>
    <row r="17" spans="1:19" x14ac:dyDescent="0.2">
      <c r="A17" s="17">
        <f t="shared" si="1"/>
        <v>8</v>
      </c>
      <c r="B17" s="18" t="s">
        <v>91</v>
      </c>
      <c r="C17" s="289">
        <v>8</v>
      </c>
      <c r="D17" s="131" t="s">
        <v>0</v>
      </c>
      <c r="E17" s="131" t="s">
        <v>0</v>
      </c>
      <c r="F17" s="131" t="s">
        <v>0</v>
      </c>
      <c r="G17" s="131" t="s">
        <v>0</v>
      </c>
      <c r="H17" s="131" t="s">
        <v>0</v>
      </c>
      <c r="I17" s="131" t="s">
        <v>0</v>
      </c>
      <c r="J17" s="131" t="s">
        <v>0</v>
      </c>
      <c r="K17" s="131" t="s">
        <v>0</v>
      </c>
      <c r="L17" s="131" t="s">
        <v>0</v>
      </c>
      <c r="M17" s="131" t="s">
        <v>0</v>
      </c>
      <c r="N17" s="131" t="s">
        <v>0</v>
      </c>
      <c r="O17" s="131" t="s">
        <v>0</v>
      </c>
      <c r="P17" s="131" t="s">
        <v>0</v>
      </c>
      <c r="Q17" s="131" t="s">
        <v>0</v>
      </c>
      <c r="R17" s="131" t="s">
        <v>0</v>
      </c>
      <c r="S17" s="131"/>
    </row>
    <row r="18" spans="1:19" x14ac:dyDescent="0.2">
      <c r="A18" s="17">
        <f t="shared" si="1"/>
        <v>9</v>
      </c>
      <c r="B18" s="18" t="s">
        <v>92</v>
      </c>
      <c r="C18" s="289">
        <v>9</v>
      </c>
      <c r="D18" s="131" t="s">
        <v>0</v>
      </c>
      <c r="E18" s="131" t="s">
        <v>0</v>
      </c>
      <c r="F18" s="131" t="s">
        <v>0</v>
      </c>
      <c r="G18" s="131" t="s">
        <v>0</v>
      </c>
      <c r="H18" s="131" t="s">
        <v>0</v>
      </c>
      <c r="I18" s="131" t="s">
        <v>0</v>
      </c>
      <c r="J18" s="131" t="s">
        <v>0</v>
      </c>
      <c r="K18" s="131" t="s">
        <v>0</v>
      </c>
      <c r="L18" s="131" t="s">
        <v>0</v>
      </c>
      <c r="M18" s="131" t="s">
        <v>0</v>
      </c>
      <c r="N18" s="131" t="s">
        <v>0</v>
      </c>
      <c r="O18" s="131" t="s">
        <v>0</v>
      </c>
      <c r="P18" s="131" t="s">
        <v>0</v>
      </c>
      <c r="Q18" s="131" t="s">
        <v>0</v>
      </c>
      <c r="R18" s="131" t="s">
        <v>0</v>
      </c>
      <c r="S18" s="131"/>
    </row>
    <row r="19" spans="1:19" x14ac:dyDescent="0.2">
      <c r="A19" s="17">
        <f t="shared" si="1"/>
        <v>10</v>
      </c>
      <c r="B19" s="18" t="s">
        <v>93</v>
      </c>
      <c r="C19" s="289">
        <v>10</v>
      </c>
      <c r="D19" s="131"/>
      <c r="E19" s="131" t="s">
        <v>0</v>
      </c>
      <c r="F19" s="131" t="s">
        <v>0</v>
      </c>
      <c r="G19" s="131" t="s">
        <v>0</v>
      </c>
      <c r="H19" s="131" t="s">
        <v>0</v>
      </c>
      <c r="I19" s="131" t="s">
        <v>0</v>
      </c>
      <c r="J19" s="131" t="s">
        <v>0</v>
      </c>
      <c r="K19" s="131" t="s">
        <v>0</v>
      </c>
      <c r="L19" s="131" t="s">
        <v>0</v>
      </c>
      <c r="M19" s="131" t="s">
        <v>0</v>
      </c>
      <c r="N19" s="131" t="s">
        <v>0</v>
      </c>
      <c r="O19" s="131" t="s">
        <v>0</v>
      </c>
      <c r="P19" s="131" t="s">
        <v>0</v>
      </c>
      <c r="Q19" s="131" t="s">
        <v>0</v>
      </c>
      <c r="R19" s="131" t="s">
        <v>0</v>
      </c>
      <c r="S19" s="131"/>
    </row>
    <row r="20" spans="1:19" x14ac:dyDescent="0.2">
      <c r="A20" s="17">
        <f t="shared" si="1"/>
        <v>11</v>
      </c>
      <c r="B20" s="18" t="s">
        <v>94</v>
      </c>
      <c r="C20" s="289">
        <v>11</v>
      </c>
      <c r="D20" s="131"/>
      <c r="E20" s="131" t="s">
        <v>0</v>
      </c>
      <c r="F20" s="131" t="s">
        <v>0</v>
      </c>
      <c r="G20" s="131" t="s">
        <v>0</v>
      </c>
      <c r="H20" s="131" t="s">
        <v>0</v>
      </c>
      <c r="I20" s="131" t="s">
        <v>0</v>
      </c>
      <c r="J20" s="131" t="s">
        <v>0</v>
      </c>
      <c r="K20" s="131" t="s">
        <v>0</v>
      </c>
      <c r="L20" s="131" t="s">
        <v>0</v>
      </c>
      <c r="M20" s="131" t="s">
        <v>0</v>
      </c>
      <c r="N20" s="131" t="s">
        <v>0</v>
      </c>
      <c r="O20" s="131" t="s">
        <v>0</v>
      </c>
      <c r="P20" s="131" t="s">
        <v>0</v>
      </c>
      <c r="Q20" s="131" t="s">
        <v>0</v>
      </c>
      <c r="R20" s="131" t="s">
        <v>0</v>
      </c>
      <c r="S20" s="131"/>
    </row>
    <row r="21" spans="1:19" x14ac:dyDescent="0.2">
      <c r="A21" s="17">
        <f t="shared" si="1"/>
        <v>12</v>
      </c>
      <c r="B21" s="18" t="s">
        <v>95</v>
      </c>
      <c r="C21" s="289">
        <v>12</v>
      </c>
      <c r="D21" s="131"/>
      <c r="E21" s="131" t="s">
        <v>0</v>
      </c>
      <c r="F21" s="131" t="s">
        <v>0</v>
      </c>
      <c r="G21" s="131" t="s">
        <v>0</v>
      </c>
      <c r="H21" s="131" t="s">
        <v>0</v>
      </c>
      <c r="I21" s="131" t="s">
        <v>0</v>
      </c>
      <c r="J21" s="131" t="s">
        <v>0</v>
      </c>
      <c r="K21" s="131" t="s">
        <v>0</v>
      </c>
      <c r="L21" s="131" t="s">
        <v>0</v>
      </c>
      <c r="M21" s="131" t="s">
        <v>0</v>
      </c>
      <c r="N21" s="131" t="s">
        <v>0</v>
      </c>
      <c r="O21" s="131" t="s">
        <v>0</v>
      </c>
      <c r="P21" s="131" t="s">
        <v>0</v>
      </c>
      <c r="Q21" s="131" t="s">
        <v>0</v>
      </c>
      <c r="R21" s="131" t="s">
        <v>0</v>
      </c>
      <c r="S21" s="131"/>
    </row>
    <row r="22" spans="1:19" x14ac:dyDescent="0.2">
      <c r="A22" s="17">
        <f t="shared" si="1"/>
        <v>13</v>
      </c>
      <c r="B22" s="18" t="s">
        <v>96</v>
      </c>
      <c r="C22" s="289">
        <v>13</v>
      </c>
      <c r="D22" s="131"/>
      <c r="E22" s="131" t="s">
        <v>0</v>
      </c>
      <c r="F22" s="131" t="s">
        <v>0</v>
      </c>
      <c r="G22" s="131" t="s">
        <v>0</v>
      </c>
      <c r="H22" s="131" t="s">
        <v>0</v>
      </c>
      <c r="I22" s="131" t="s">
        <v>0</v>
      </c>
      <c r="J22" s="131" t="s">
        <v>0</v>
      </c>
      <c r="K22" s="131" t="s">
        <v>0</v>
      </c>
      <c r="L22" s="131" t="s">
        <v>0</v>
      </c>
      <c r="M22" s="131" t="s">
        <v>0</v>
      </c>
      <c r="N22" s="131" t="s">
        <v>0</v>
      </c>
      <c r="O22" s="131" t="s">
        <v>0</v>
      </c>
      <c r="P22" s="131" t="s">
        <v>0</v>
      </c>
      <c r="Q22" s="131" t="s">
        <v>0</v>
      </c>
      <c r="R22" s="131" t="s">
        <v>0</v>
      </c>
      <c r="S22" s="131"/>
    </row>
    <row r="23" spans="1:19" x14ac:dyDescent="0.2">
      <c r="A23" s="17">
        <f t="shared" si="1"/>
        <v>14</v>
      </c>
      <c r="B23" s="18" t="s">
        <v>97</v>
      </c>
      <c r="C23" s="289">
        <v>14</v>
      </c>
      <c r="D23" s="131"/>
      <c r="E23" s="131" t="s">
        <v>0</v>
      </c>
      <c r="F23" s="131" t="s">
        <v>0</v>
      </c>
      <c r="G23" s="131" t="s">
        <v>0</v>
      </c>
      <c r="H23" s="131" t="s">
        <v>0</v>
      </c>
      <c r="I23" s="131" t="s">
        <v>0</v>
      </c>
      <c r="J23" s="131" t="s">
        <v>0</v>
      </c>
      <c r="K23" s="131" t="s">
        <v>0</v>
      </c>
      <c r="L23" s="131" t="s">
        <v>0</v>
      </c>
      <c r="M23" s="131" t="s">
        <v>0</v>
      </c>
      <c r="N23" s="131" t="s">
        <v>0</v>
      </c>
      <c r="O23" s="131" t="s">
        <v>0</v>
      </c>
      <c r="P23" s="131" t="s">
        <v>0</v>
      </c>
      <c r="Q23" s="131" t="s">
        <v>0</v>
      </c>
      <c r="R23" s="131" t="s">
        <v>0</v>
      </c>
      <c r="S23" s="131"/>
    </row>
    <row r="24" spans="1:19" x14ac:dyDescent="0.2">
      <c r="A24" s="17">
        <f t="shared" si="1"/>
        <v>15</v>
      </c>
      <c r="B24" s="18" t="s">
        <v>98</v>
      </c>
      <c r="C24" s="289">
        <v>15</v>
      </c>
      <c r="D24" s="131"/>
      <c r="E24" s="131" t="s">
        <v>0</v>
      </c>
      <c r="F24" s="131" t="s">
        <v>0</v>
      </c>
      <c r="G24" s="131" t="s">
        <v>0</v>
      </c>
      <c r="H24" s="131" t="s">
        <v>0</v>
      </c>
      <c r="I24" s="131" t="s">
        <v>0</v>
      </c>
      <c r="J24" s="131" t="s">
        <v>0</v>
      </c>
      <c r="K24" s="131" t="s">
        <v>0</v>
      </c>
      <c r="L24" s="131" t="s">
        <v>0</v>
      </c>
      <c r="M24" s="131" t="s">
        <v>0</v>
      </c>
      <c r="N24" s="131" t="s">
        <v>0</v>
      </c>
      <c r="O24" s="131" t="s">
        <v>0</v>
      </c>
      <c r="P24" s="131" t="s">
        <v>0</v>
      </c>
      <c r="Q24" s="131"/>
      <c r="R24" s="131" t="s">
        <v>0</v>
      </c>
      <c r="S24" s="131"/>
    </row>
    <row r="25" spans="1:19" x14ac:dyDescent="0.2">
      <c r="A25" s="17">
        <f t="shared" si="1"/>
        <v>16</v>
      </c>
      <c r="B25" s="18" t="s">
        <v>99</v>
      </c>
      <c r="C25" s="289">
        <v>16</v>
      </c>
      <c r="D25" s="131" t="s">
        <v>0</v>
      </c>
      <c r="E25" s="131" t="s">
        <v>0</v>
      </c>
      <c r="F25" s="131" t="s">
        <v>0</v>
      </c>
      <c r="G25" s="131" t="s">
        <v>0</v>
      </c>
      <c r="H25" s="131" t="s">
        <v>0</v>
      </c>
      <c r="I25" s="131" t="s">
        <v>0</v>
      </c>
      <c r="J25" s="131" t="s">
        <v>0</v>
      </c>
      <c r="K25" s="131" t="s">
        <v>0</v>
      </c>
      <c r="L25" s="131" t="s">
        <v>0</v>
      </c>
      <c r="M25" s="131" t="s">
        <v>0</v>
      </c>
      <c r="N25" s="131" t="s">
        <v>0</v>
      </c>
      <c r="O25" s="131" t="s">
        <v>0</v>
      </c>
      <c r="P25" s="131" t="s">
        <v>0</v>
      </c>
      <c r="Q25" s="131" t="s">
        <v>0</v>
      </c>
      <c r="R25" s="131" t="s">
        <v>0</v>
      </c>
      <c r="S25" s="131"/>
    </row>
    <row r="26" spans="1:19" x14ac:dyDescent="0.2">
      <c r="A26" s="17">
        <f t="shared" si="1"/>
        <v>17</v>
      </c>
      <c r="B26" s="18" t="s">
        <v>100</v>
      </c>
      <c r="C26" s="289">
        <v>17</v>
      </c>
      <c r="D26" s="131" t="s">
        <v>0</v>
      </c>
      <c r="E26" s="131" t="s">
        <v>0</v>
      </c>
      <c r="F26" s="131" t="s">
        <v>0</v>
      </c>
      <c r="G26" s="131" t="s">
        <v>0</v>
      </c>
      <c r="H26" s="131" t="s">
        <v>0</v>
      </c>
      <c r="I26" s="131" t="s">
        <v>0</v>
      </c>
      <c r="J26" s="131" t="s">
        <v>0</v>
      </c>
      <c r="K26" s="131" t="s">
        <v>0</v>
      </c>
      <c r="L26" s="131" t="s">
        <v>0</v>
      </c>
      <c r="M26" s="131" t="s">
        <v>0</v>
      </c>
      <c r="N26" s="131" t="s">
        <v>0</v>
      </c>
      <c r="O26" s="131" t="s">
        <v>0</v>
      </c>
      <c r="P26" s="131" t="s">
        <v>0</v>
      </c>
      <c r="Q26" s="131" t="s">
        <v>0</v>
      </c>
      <c r="R26" s="131" t="s">
        <v>0</v>
      </c>
      <c r="S26" s="131"/>
    </row>
    <row r="27" spans="1:19" x14ac:dyDescent="0.2">
      <c r="A27" s="17">
        <f t="shared" si="1"/>
        <v>18</v>
      </c>
      <c r="B27" s="18" t="s">
        <v>101</v>
      </c>
      <c r="C27" s="289">
        <v>18</v>
      </c>
      <c r="D27" s="131" t="s">
        <v>0</v>
      </c>
      <c r="E27" s="131" t="s">
        <v>0</v>
      </c>
      <c r="F27" s="131" t="s">
        <v>0</v>
      </c>
      <c r="G27" s="131" t="s">
        <v>0</v>
      </c>
      <c r="H27" s="131" t="s">
        <v>0</v>
      </c>
      <c r="I27" s="131" t="s">
        <v>0</v>
      </c>
      <c r="J27" s="131" t="s">
        <v>0</v>
      </c>
      <c r="K27" s="131" t="s">
        <v>0</v>
      </c>
      <c r="L27" s="131" t="s">
        <v>0</v>
      </c>
      <c r="M27" s="131" t="s">
        <v>0</v>
      </c>
      <c r="N27" s="131" t="s">
        <v>0</v>
      </c>
      <c r="O27" s="131" t="s">
        <v>0</v>
      </c>
      <c r="P27" s="131" t="s">
        <v>0</v>
      </c>
      <c r="Q27" s="131" t="s">
        <v>0</v>
      </c>
      <c r="R27" s="131" t="s">
        <v>0</v>
      </c>
      <c r="S27" s="131"/>
    </row>
    <row r="28" spans="1:19" x14ac:dyDescent="0.2">
      <c r="A28" s="17">
        <f t="shared" si="1"/>
        <v>19</v>
      </c>
      <c r="B28" s="18" t="s">
        <v>102</v>
      </c>
      <c r="C28" s="289">
        <v>19</v>
      </c>
      <c r="D28" s="131" t="s">
        <v>0</v>
      </c>
      <c r="E28" s="131" t="s">
        <v>0</v>
      </c>
      <c r="F28" s="131" t="s">
        <v>0</v>
      </c>
      <c r="G28" s="131" t="s">
        <v>0</v>
      </c>
      <c r="H28" s="131" t="s">
        <v>0</v>
      </c>
      <c r="I28" s="131" t="s">
        <v>0</v>
      </c>
      <c r="J28" s="131" t="s">
        <v>0</v>
      </c>
      <c r="K28" s="131" t="s">
        <v>0</v>
      </c>
      <c r="L28" s="131" t="s">
        <v>0</v>
      </c>
      <c r="M28" s="131" t="s">
        <v>0</v>
      </c>
      <c r="N28" s="131" t="s">
        <v>0</v>
      </c>
      <c r="O28" s="131" t="s">
        <v>0</v>
      </c>
      <c r="P28" s="131" t="s">
        <v>0</v>
      </c>
      <c r="Q28" s="131" t="s">
        <v>0</v>
      </c>
      <c r="R28" s="131" t="s">
        <v>0</v>
      </c>
      <c r="S28" s="131"/>
    </row>
    <row r="29" spans="1:19" x14ac:dyDescent="0.2">
      <c r="A29" s="17">
        <f t="shared" si="1"/>
        <v>20</v>
      </c>
      <c r="B29" s="18" t="s">
        <v>434</v>
      </c>
      <c r="C29" s="289">
        <v>20</v>
      </c>
      <c r="D29" s="131" t="s">
        <v>0</v>
      </c>
      <c r="E29" s="131" t="s">
        <v>0</v>
      </c>
      <c r="F29" s="131" t="s">
        <v>0</v>
      </c>
      <c r="G29" s="131" t="s">
        <v>0</v>
      </c>
      <c r="H29" s="131" t="s">
        <v>0</v>
      </c>
      <c r="I29" s="131" t="s">
        <v>0</v>
      </c>
      <c r="J29" s="131" t="s">
        <v>0</v>
      </c>
      <c r="K29" s="131" t="s">
        <v>0</v>
      </c>
      <c r="L29" s="131" t="s">
        <v>0</v>
      </c>
      <c r="M29" s="131" t="s">
        <v>0</v>
      </c>
      <c r="N29" s="131" t="s">
        <v>0</v>
      </c>
      <c r="O29" s="131" t="s">
        <v>0</v>
      </c>
      <c r="P29" s="131" t="s">
        <v>0</v>
      </c>
      <c r="Q29" s="131" t="s">
        <v>0</v>
      </c>
      <c r="R29" s="131" t="s">
        <v>0</v>
      </c>
      <c r="S29" s="131"/>
    </row>
    <row r="30" spans="1:19" x14ac:dyDescent="0.2">
      <c r="A30" s="17">
        <f t="shared" si="1"/>
        <v>21</v>
      </c>
      <c r="B30" s="18" t="s">
        <v>103</v>
      </c>
      <c r="C30" s="289">
        <v>21</v>
      </c>
      <c r="D30" s="131" t="s">
        <v>0</v>
      </c>
      <c r="E30" s="131" t="s">
        <v>0</v>
      </c>
      <c r="F30" s="131" t="s">
        <v>0</v>
      </c>
      <c r="G30" s="131" t="s">
        <v>0</v>
      </c>
      <c r="H30" s="131" t="s">
        <v>0</v>
      </c>
      <c r="I30" s="131" t="s">
        <v>0</v>
      </c>
      <c r="J30" s="131" t="s">
        <v>0</v>
      </c>
      <c r="K30" s="131" t="s">
        <v>0</v>
      </c>
      <c r="L30" s="131" t="s">
        <v>0</v>
      </c>
      <c r="M30" s="131" t="s">
        <v>0</v>
      </c>
      <c r="N30" s="131" t="s">
        <v>0</v>
      </c>
      <c r="O30" s="131" t="s">
        <v>0</v>
      </c>
      <c r="P30" s="131" t="s">
        <v>0</v>
      </c>
      <c r="Q30" s="131" t="s">
        <v>0</v>
      </c>
      <c r="R30" s="131" t="s">
        <v>0</v>
      </c>
      <c r="S30" s="131"/>
    </row>
    <row r="31" spans="1:19" x14ac:dyDescent="0.2">
      <c r="A31" s="17">
        <f t="shared" si="1"/>
        <v>22</v>
      </c>
      <c r="B31" s="18" t="s">
        <v>104</v>
      </c>
      <c r="C31" s="289">
        <v>22</v>
      </c>
      <c r="D31" s="131" t="s">
        <v>0</v>
      </c>
      <c r="E31" s="131" t="s">
        <v>0</v>
      </c>
      <c r="F31" s="131" t="s">
        <v>0</v>
      </c>
      <c r="G31" s="131" t="s">
        <v>0</v>
      </c>
      <c r="H31" s="131" t="s">
        <v>0</v>
      </c>
      <c r="I31" s="131" t="s">
        <v>0</v>
      </c>
      <c r="J31" s="131" t="s">
        <v>0</v>
      </c>
      <c r="K31" s="131" t="s">
        <v>0</v>
      </c>
      <c r="L31" s="131" t="s">
        <v>0</v>
      </c>
      <c r="M31" s="131" t="s">
        <v>0</v>
      </c>
      <c r="N31" s="131" t="s">
        <v>0</v>
      </c>
      <c r="O31" s="131" t="s">
        <v>0</v>
      </c>
      <c r="P31" s="131" t="s">
        <v>0</v>
      </c>
      <c r="Q31" s="131" t="s">
        <v>0</v>
      </c>
      <c r="R31" s="131" t="s">
        <v>0</v>
      </c>
      <c r="S31" s="131"/>
    </row>
    <row r="32" spans="1:19" x14ac:dyDescent="0.2">
      <c r="A32" s="17">
        <f t="shared" si="1"/>
        <v>23</v>
      </c>
      <c r="B32" s="18" t="s">
        <v>105</v>
      </c>
      <c r="C32" s="289">
        <v>23</v>
      </c>
      <c r="D32" s="131" t="s">
        <v>0</v>
      </c>
      <c r="E32" s="131" t="s">
        <v>0</v>
      </c>
      <c r="F32" s="131" t="s">
        <v>0</v>
      </c>
      <c r="G32" s="131" t="s">
        <v>0</v>
      </c>
      <c r="H32" s="131" t="s">
        <v>0</v>
      </c>
      <c r="I32" s="131" t="s">
        <v>0</v>
      </c>
      <c r="J32" s="131" t="s">
        <v>0</v>
      </c>
      <c r="K32" s="131" t="s">
        <v>0</v>
      </c>
      <c r="L32" s="131" t="s">
        <v>0</v>
      </c>
      <c r="M32" s="131" t="s">
        <v>0</v>
      </c>
      <c r="N32" s="131" t="s">
        <v>0</v>
      </c>
      <c r="O32" s="131" t="s">
        <v>0</v>
      </c>
      <c r="P32" s="131" t="s">
        <v>0</v>
      </c>
      <c r="Q32" s="131" t="s">
        <v>0</v>
      </c>
      <c r="R32" s="131" t="s">
        <v>0</v>
      </c>
      <c r="S32" s="131"/>
    </row>
    <row r="33" spans="1:19" x14ac:dyDescent="0.2">
      <c r="A33" s="17">
        <f t="shared" si="1"/>
        <v>24</v>
      </c>
      <c r="B33" s="18" t="s">
        <v>435</v>
      </c>
      <c r="C33" s="289">
        <v>24</v>
      </c>
      <c r="D33" s="131" t="s">
        <v>0</v>
      </c>
      <c r="E33" s="131" t="s">
        <v>0</v>
      </c>
      <c r="F33" s="131" t="s">
        <v>0</v>
      </c>
      <c r="G33" s="131" t="s">
        <v>0</v>
      </c>
      <c r="H33" s="131" t="s">
        <v>0</v>
      </c>
      <c r="I33" s="131" t="s">
        <v>0</v>
      </c>
      <c r="J33" s="131" t="s">
        <v>0</v>
      </c>
      <c r="K33" s="131" t="s">
        <v>0</v>
      </c>
      <c r="L33" s="131" t="s">
        <v>0</v>
      </c>
      <c r="M33" s="131"/>
      <c r="N33" s="131" t="s">
        <v>0</v>
      </c>
      <c r="O33" s="131" t="s">
        <v>0</v>
      </c>
      <c r="P33" s="131" t="s">
        <v>0</v>
      </c>
      <c r="Q33" s="131" t="s">
        <v>0</v>
      </c>
      <c r="R33" s="131" t="s">
        <v>0</v>
      </c>
      <c r="S33" s="131"/>
    </row>
    <row r="34" spans="1:19" x14ac:dyDescent="0.2">
      <c r="A34" s="17">
        <f t="shared" si="1"/>
        <v>25</v>
      </c>
      <c r="B34" s="18" t="s">
        <v>106</v>
      </c>
      <c r="C34" s="289">
        <v>25</v>
      </c>
      <c r="D34" s="131" t="s">
        <v>0</v>
      </c>
      <c r="E34" s="131" t="s">
        <v>0</v>
      </c>
      <c r="F34" s="131" t="s">
        <v>0</v>
      </c>
      <c r="G34" s="131" t="s">
        <v>0</v>
      </c>
      <c r="H34" s="131" t="s">
        <v>0</v>
      </c>
      <c r="I34" s="131" t="s">
        <v>0</v>
      </c>
      <c r="J34" s="131" t="s">
        <v>0</v>
      </c>
      <c r="K34" s="131" t="s">
        <v>0</v>
      </c>
      <c r="L34" s="131" t="s">
        <v>0</v>
      </c>
      <c r="M34" s="131" t="s">
        <v>0</v>
      </c>
      <c r="N34" s="131" t="s">
        <v>0</v>
      </c>
      <c r="O34" s="131" t="s">
        <v>0</v>
      </c>
      <c r="P34" s="131" t="s">
        <v>0</v>
      </c>
      <c r="Q34" s="131" t="s">
        <v>0</v>
      </c>
      <c r="R34" s="131" t="s">
        <v>0</v>
      </c>
      <c r="S34" s="131"/>
    </row>
    <row r="35" spans="1:19" x14ac:dyDescent="0.2">
      <c r="A35" s="17">
        <f t="shared" si="1"/>
        <v>26</v>
      </c>
      <c r="B35" s="18" t="s">
        <v>107</v>
      </c>
      <c r="C35" s="289">
        <v>26</v>
      </c>
      <c r="D35" s="131" t="s">
        <v>0</v>
      </c>
      <c r="E35" s="131" t="s">
        <v>0</v>
      </c>
      <c r="F35" s="131" t="s">
        <v>0</v>
      </c>
      <c r="G35" s="131" t="s">
        <v>0</v>
      </c>
      <c r="H35" s="131" t="s">
        <v>0</v>
      </c>
      <c r="I35" s="131" t="s">
        <v>0</v>
      </c>
      <c r="J35" s="131" t="s">
        <v>0</v>
      </c>
      <c r="K35" s="131" t="s">
        <v>0</v>
      </c>
      <c r="L35" s="131" t="s">
        <v>0</v>
      </c>
      <c r="M35" s="131" t="s">
        <v>0</v>
      </c>
      <c r="N35" s="131" t="s">
        <v>0</v>
      </c>
      <c r="O35" s="131" t="s">
        <v>0</v>
      </c>
      <c r="P35" s="131" t="s">
        <v>0</v>
      </c>
      <c r="Q35" s="131" t="s">
        <v>0</v>
      </c>
      <c r="R35" s="131" t="s">
        <v>0</v>
      </c>
      <c r="S35" s="131"/>
    </row>
    <row r="36" spans="1:19" x14ac:dyDescent="0.2">
      <c r="A36" s="17">
        <f t="shared" si="1"/>
        <v>27</v>
      </c>
      <c r="B36" s="18" t="s">
        <v>108</v>
      </c>
      <c r="C36" s="289">
        <v>27</v>
      </c>
      <c r="D36" s="131" t="s">
        <v>0</v>
      </c>
      <c r="E36" s="131" t="s">
        <v>0</v>
      </c>
      <c r="F36" s="131" t="s">
        <v>0</v>
      </c>
      <c r="G36" s="131" t="s">
        <v>0</v>
      </c>
      <c r="H36" s="131" t="s">
        <v>0</v>
      </c>
      <c r="I36" s="131" t="s">
        <v>0</v>
      </c>
      <c r="J36" s="131" t="s">
        <v>0</v>
      </c>
      <c r="K36" s="131" t="s">
        <v>0</v>
      </c>
      <c r="L36" s="131" t="s">
        <v>0</v>
      </c>
      <c r="M36" s="131" t="s">
        <v>0</v>
      </c>
      <c r="N36" s="131" t="s">
        <v>0</v>
      </c>
      <c r="O36" s="131" t="s">
        <v>0</v>
      </c>
      <c r="P36" s="131" t="s">
        <v>0</v>
      </c>
      <c r="Q36" s="131" t="s">
        <v>0</v>
      </c>
      <c r="R36" s="131" t="s">
        <v>0</v>
      </c>
      <c r="S36" s="131"/>
    </row>
    <row r="37" spans="1:19" x14ac:dyDescent="0.2">
      <c r="A37" s="17">
        <f t="shared" si="1"/>
        <v>28</v>
      </c>
      <c r="B37" s="18" t="s">
        <v>109</v>
      </c>
      <c r="C37" s="289">
        <v>28</v>
      </c>
      <c r="D37" s="131" t="s">
        <v>0</v>
      </c>
      <c r="E37" s="131" t="s">
        <v>0</v>
      </c>
      <c r="F37" s="131" t="s">
        <v>0</v>
      </c>
      <c r="G37" s="131" t="s">
        <v>0</v>
      </c>
      <c r="H37" s="131" t="s">
        <v>0</v>
      </c>
      <c r="I37" s="131" t="s">
        <v>0</v>
      </c>
      <c r="J37" s="131" t="s">
        <v>0</v>
      </c>
      <c r="K37" s="131" t="s">
        <v>0</v>
      </c>
      <c r="L37" s="131" t="s">
        <v>0</v>
      </c>
      <c r="M37" s="131" t="s">
        <v>0</v>
      </c>
      <c r="N37" s="131" t="s">
        <v>0</v>
      </c>
      <c r="O37" s="131" t="s">
        <v>0</v>
      </c>
      <c r="P37" s="131" t="s">
        <v>0</v>
      </c>
      <c r="Q37" s="131" t="s">
        <v>0</v>
      </c>
      <c r="R37" s="131" t="s">
        <v>0</v>
      </c>
      <c r="S37" s="131"/>
    </row>
    <row r="38" spans="1:19" x14ac:dyDescent="0.2">
      <c r="A38" s="17">
        <f t="shared" si="1"/>
        <v>29</v>
      </c>
      <c r="B38" s="18" t="s">
        <v>110</v>
      </c>
      <c r="C38" s="289">
        <v>29</v>
      </c>
      <c r="D38" s="131" t="s">
        <v>0</v>
      </c>
      <c r="E38" s="131" t="s">
        <v>0</v>
      </c>
      <c r="F38" s="131" t="s">
        <v>0</v>
      </c>
      <c r="G38" s="131" t="s">
        <v>0</v>
      </c>
      <c r="H38" s="131" t="s">
        <v>0</v>
      </c>
      <c r="I38" s="131" t="s">
        <v>0</v>
      </c>
      <c r="J38" s="131" t="s">
        <v>0</v>
      </c>
      <c r="K38" s="131" t="s">
        <v>0</v>
      </c>
      <c r="L38" s="131" t="s">
        <v>0</v>
      </c>
      <c r="M38" s="131" t="s">
        <v>0</v>
      </c>
      <c r="N38" s="131" t="s">
        <v>0</v>
      </c>
      <c r="O38" s="131" t="s">
        <v>0</v>
      </c>
      <c r="P38" s="131" t="s">
        <v>0</v>
      </c>
      <c r="Q38" s="131" t="s">
        <v>0</v>
      </c>
      <c r="R38" s="131" t="s">
        <v>0</v>
      </c>
      <c r="S38" s="131"/>
    </row>
    <row r="39" spans="1:19" x14ac:dyDescent="0.2">
      <c r="A39" s="17">
        <f t="shared" si="1"/>
        <v>30</v>
      </c>
      <c r="B39" s="18" t="s">
        <v>111</v>
      </c>
      <c r="C39" s="289">
        <v>30</v>
      </c>
      <c r="D39" s="131" t="s">
        <v>0</v>
      </c>
      <c r="E39" s="131" t="s">
        <v>0</v>
      </c>
      <c r="F39" s="131" t="s">
        <v>0</v>
      </c>
      <c r="G39" s="131" t="s">
        <v>0</v>
      </c>
      <c r="H39" s="131" t="s">
        <v>0</v>
      </c>
      <c r="I39" s="131" t="s">
        <v>0</v>
      </c>
      <c r="J39" s="131" t="s">
        <v>0</v>
      </c>
      <c r="K39" s="131" t="s">
        <v>0</v>
      </c>
      <c r="L39" s="131" t="s">
        <v>0</v>
      </c>
      <c r="M39" s="131" t="s">
        <v>0</v>
      </c>
      <c r="N39" s="131" t="s">
        <v>0</v>
      </c>
      <c r="O39" s="131" t="s">
        <v>0</v>
      </c>
      <c r="P39" s="131" t="s">
        <v>0</v>
      </c>
      <c r="Q39" s="131" t="s">
        <v>0</v>
      </c>
      <c r="R39" s="131" t="s">
        <v>0</v>
      </c>
      <c r="S39" s="131"/>
    </row>
    <row r="40" spans="1:19" x14ac:dyDescent="0.2">
      <c r="A40" s="17">
        <f t="shared" si="1"/>
        <v>31</v>
      </c>
      <c r="B40" s="18" t="s">
        <v>112</v>
      </c>
      <c r="C40" s="289">
        <v>31</v>
      </c>
      <c r="D40" s="131"/>
      <c r="E40" s="131"/>
      <c r="F40" s="131"/>
      <c r="G40" s="131"/>
      <c r="H40" s="131"/>
      <c r="I40" s="131"/>
      <c r="J40" s="131"/>
      <c r="K40" s="131"/>
      <c r="L40" s="131"/>
      <c r="M40" s="131"/>
      <c r="N40" s="131"/>
      <c r="O40" s="131"/>
      <c r="P40" s="131"/>
      <c r="Q40" s="131"/>
      <c r="R40" s="131"/>
      <c r="S40" s="131"/>
    </row>
    <row r="41" spans="1:19" x14ac:dyDescent="0.2">
      <c r="A41" s="19"/>
      <c r="B41" s="20" t="s">
        <v>32</v>
      </c>
      <c r="C41" s="284">
        <v>41</v>
      </c>
      <c r="D41" s="285">
        <f>SUM(D10:D40)</f>
        <v>0</v>
      </c>
      <c r="E41" s="285">
        <f>SUM(E10:E40)</f>
        <v>0</v>
      </c>
      <c r="F41" s="285">
        <f t="shared" ref="F41:S41" si="2">SUM(F10:F40)</f>
        <v>0</v>
      </c>
      <c r="G41" s="285">
        <f>SUM(G10:G40)</f>
        <v>0</v>
      </c>
      <c r="H41" s="285">
        <f t="shared" si="2"/>
        <v>0</v>
      </c>
      <c r="I41" s="285">
        <f t="shared" si="2"/>
        <v>0</v>
      </c>
      <c r="J41" s="285">
        <f t="shared" si="2"/>
        <v>0</v>
      </c>
      <c r="K41" s="285">
        <f>SUM(K10:K40)</f>
        <v>0</v>
      </c>
      <c r="L41" s="285">
        <f>SUM(L10:L40)</f>
        <v>0</v>
      </c>
      <c r="M41" s="285">
        <f t="shared" si="2"/>
        <v>0</v>
      </c>
      <c r="N41" s="285">
        <f t="shared" si="2"/>
        <v>0</v>
      </c>
      <c r="O41" s="285">
        <f t="shared" si="2"/>
        <v>0</v>
      </c>
      <c r="P41" s="285">
        <f t="shared" si="2"/>
        <v>0</v>
      </c>
      <c r="Q41" s="285">
        <f>SUM(Q10:Q40)</f>
        <v>0</v>
      </c>
      <c r="R41" s="285">
        <f t="shared" si="2"/>
        <v>0</v>
      </c>
      <c r="S41" s="285">
        <f t="shared" si="2"/>
        <v>0</v>
      </c>
    </row>
    <row r="43" spans="1:19" x14ac:dyDescent="0.2">
      <c r="D43" s="287">
        <f>D41-i.04130!E46</f>
        <v>0</v>
      </c>
      <c r="E43" s="287">
        <f>E41-i.04130!E16</f>
        <v>0</v>
      </c>
      <c r="F43" s="287">
        <f>F41-i.04130!E37</f>
        <v>0</v>
      </c>
      <c r="G43" s="287">
        <f>G41-i.04130!E43</f>
        <v>0</v>
      </c>
      <c r="H43" s="287">
        <f>H41-i.04131!E10</f>
        <v>0</v>
      </c>
      <c r="I43" s="288"/>
      <c r="J43" s="287">
        <f>J41-i.04131!E17</f>
        <v>0</v>
      </c>
      <c r="K43" s="288"/>
      <c r="L43" s="287">
        <f>L41-i.04131!E64</f>
        <v>0</v>
      </c>
      <c r="M43" s="288"/>
      <c r="N43" s="288"/>
      <c r="O43" s="288"/>
      <c r="P43" s="288"/>
      <c r="Q43" s="288"/>
      <c r="R43" s="288"/>
      <c r="S43" s="288"/>
    </row>
    <row r="44" spans="1:19" x14ac:dyDescent="0.2">
      <c r="B44" s="2" t="s">
        <v>285</v>
      </c>
      <c r="C44" s="271"/>
      <c r="D44" s="4"/>
      <c r="E44" s="4"/>
    </row>
    <row r="45" spans="1:19" x14ac:dyDescent="0.2">
      <c r="B45" s="5"/>
      <c r="C45" s="271"/>
      <c r="D45" s="4"/>
      <c r="E45" s="4"/>
    </row>
    <row r="46" spans="1:19" x14ac:dyDescent="0.2">
      <c r="B46" s="5" t="s">
        <v>286</v>
      </c>
      <c r="C46" s="271"/>
      <c r="D46" s="4"/>
      <c r="E46" s="4"/>
    </row>
    <row r="47" spans="1:19" x14ac:dyDescent="0.2">
      <c r="B47" s="5"/>
      <c r="C47" s="271"/>
      <c r="D47" s="4"/>
      <c r="E47" s="4"/>
    </row>
    <row r="48" spans="1:19" x14ac:dyDescent="0.2">
      <c r="B48" s="6" t="s">
        <v>287</v>
      </c>
      <c r="C48" s="576" t="s">
        <v>288</v>
      </c>
      <c r="D48" s="576"/>
      <c r="E48" s="4" t="s">
        <v>289</v>
      </c>
    </row>
    <row r="49" spans="2:5" x14ac:dyDescent="0.2">
      <c r="B49" s="5"/>
      <c r="C49" s="576"/>
      <c r="D49" s="576"/>
      <c r="E49" s="4"/>
    </row>
    <row r="50" spans="2:5" x14ac:dyDescent="0.2">
      <c r="B50" s="6" t="s">
        <v>290</v>
      </c>
      <c r="C50" s="576" t="s">
        <v>291</v>
      </c>
      <c r="D50" s="576"/>
      <c r="E50" s="4" t="s">
        <v>292</v>
      </c>
    </row>
    <row r="51" spans="2:5" x14ac:dyDescent="0.2">
      <c r="B51" s="5"/>
      <c r="C51" s="576"/>
      <c r="D51" s="576"/>
      <c r="E51" s="4"/>
    </row>
    <row r="52" spans="2:5" ht="25.5" x14ac:dyDescent="0.2">
      <c r="B52" s="6" t="s">
        <v>293</v>
      </c>
      <c r="C52" s="576" t="s">
        <v>288</v>
      </c>
      <c r="D52" s="576"/>
      <c r="E52" s="4" t="s">
        <v>292</v>
      </c>
    </row>
  </sheetData>
  <sheetProtection password="CA9F" sheet="1" objects="1" scenarios="1"/>
  <mergeCells count="23">
    <mergeCell ref="C52:D52"/>
    <mergeCell ref="N7:P7"/>
    <mergeCell ref="Q7:S7"/>
    <mergeCell ref="C48:D48"/>
    <mergeCell ref="C49:D49"/>
    <mergeCell ref="C50:D50"/>
    <mergeCell ref="C51:D51"/>
    <mergeCell ref="H7:H8"/>
    <mergeCell ref="I7:I8"/>
    <mergeCell ref="J7:J8"/>
    <mergeCell ref="K7:K8"/>
    <mergeCell ref="L7:L8"/>
    <mergeCell ref="M7:M8"/>
    <mergeCell ref="L1:S2"/>
    <mergeCell ref="A3:R3"/>
    <mergeCell ref="A5:D5"/>
    <mergeCell ref="H5:K5"/>
    <mergeCell ref="R5:S5"/>
    <mergeCell ref="A7:A8"/>
    <mergeCell ref="B7:B8"/>
    <mergeCell ref="C7:C8"/>
    <mergeCell ref="D7:D8"/>
    <mergeCell ref="E7:G7"/>
  </mergeCells>
  <dataValidations count="1">
    <dataValidation type="whole" allowBlank="1" showInputMessage="1" showErrorMessage="1" sqref="R6:S6" xr:uid="{82DAB50D-53A4-45DB-B303-A752C0858738}">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1"/>
  <sheetViews>
    <sheetView zoomScale="80" zoomScaleNormal="80" zoomScalePageLayoutView="60" workbookViewId="0">
      <selection activeCell="F29" sqref="F29"/>
    </sheetView>
  </sheetViews>
  <sheetFormatPr defaultRowHeight="12.75" x14ac:dyDescent="0.2"/>
  <cols>
    <col min="1" max="1" width="11.5703125" style="286"/>
    <col min="2" max="2" width="62.140625" style="286"/>
    <col min="3" max="3" width="19.85546875" style="286"/>
    <col min="4" max="7" width="28.7109375" style="286" customWidth="1"/>
    <col min="8" max="8" width="6.5703125" style="286" customWidth="1"/>
    <col min="9" max="1025" width="11.5703125" style="286"/>
    <col min="1026" max="16384" width="9.140625" style="286"/>
  </cols>
  <sheetData>
    <row r="1" spans="1:8" x14ac:dyDescent="0.2">
      <c r="A1" s="4"/>
      <c r="B1" s="270"/>
      <c r="C1" s="21"/>
      <c r="D1" s="587" t="s">
        <v>436</v>
      </c>
      <c r="E1" s="587"/>
      <c r="F1" s="587"/>
      <c r="G1" s="587"/>
      <c r="H1" s="293"/>
    </row>
    <row r="2" spans="1:8" x14ac:dyDescent="0.2">
      <c r="A2" s="4"/>
      <c r="B2" s="21"/>
      <c r="C2" s="21"/>
      <c r="D2" s="587"/>
      <c r="E2" s="587"/>
      <c r="F2" s="587"/>
      <c r="G2" s="587"/>
      <c r="H2" s="293"/>
    </row>
    <row r="3" spans="1:8" x14ac:dyDescent="0.2">
      <c r="A3" s="588" t="s">
        <v>437</v>
      </c>
      <c r="B3" s="588"/>
      <c r="C3" s="588"/>
      <c r="D3" s="588"/>
      <c r="E3" s="588"/>
      <c r="F3" s="588"/>
      <c r="G3" s="588"/>
      <c r="H3" s="293"/>
    </row>
    <row r="4" spans="1:8" x14ac:dyDescent="0.2">
      <c r="A4" s="293"/>
      <c r="B4" s="294"/>
      <c r="C4" s="293"/>
      <c r="D4" s="293"/>
      <c r="E4" s="293"/>
      <c r="F4" s="293"/>
      <c r="G4" s="293"/>
      <c r="H4" s="293"/>
    </row>
    <row r="5" spans="1:8" x14ac:dyDescent="0.2">
      <c r="A5" s="583" t="s">
        <v>277</v>
      </c>
      <c r="B5" s="584"/>
      <c r="C5" s="584"/>
      <c r="D5" s="584"/>
      <c r="E5" s="293"/>
      <c r="F5" s="573" t="s">
        <v>278</v>
      </c>
      <c r="G5" s="573"/>
      <c r="H5" s="293"/>
    </row>
    <row r="6" spans="1:8" x14ac:dyDescent="0.2">
      <c r="A6" s="293"/>
      <c r="B6" s="294"/>
      <c r="C6" s="293"/>
      <c r="D6" s="293"/>
      <c r="E6" s="293"/>
      <c r="F6" s="270"/>
      <c r="G6" s="290" t="s">
        <v>279</v>
      </c>
      <c r="H6" s="293"/>
    </row>
    <row r="7" spans="1:8" x14ac:dyDescent="0.2">
      <c r="A7" s="22" t="s">
        <v>280</v>
      </c>
      <c r="B7" s="22" t="s">
        <v>113</v>
      </c>
      <c r="C7" s="22" t="s">
        <v>295</v>
      </c>
      <c r="D7" s="22" t="s">
        <v>114</v>
      </c>
      <c r="E7" s="22" t="s">
        <v>115</v>
      </c>
      <c r="F7" s="23" t="s">
        <v>116</v>
      </c>
      <c r="G7" s="23" t="s">
        <v>117</v>
      </c>
      <c r="H7" s="293"/>
    </row>
    <row r="8" spans="1:8" x14ac:dyDescent="0.2">
      <c r="A8" s="24" t="s">
        <v>282</v>
      </c>
      <c r="B8" s="24" t="s">
        <v>283</v>
      </c>
      <c r="C8" s="24" t="s">
        <v>297</v>
      </c>
      <c r="D8" s="24">
        <v>1</v>
      </c>
      <c r="E8" s="24">
        <v>2</v>
      </c>
      <c r="F8" s="25">
        <v>3</v>
      </c>
      <c r="G8" s="25">
        <v>4</v>
      </c>
      <c r="H8" s="293"/>
    </row>
    <row r="9" spans="1:8" x14ac:dyDescent="0.2">
      <c r="A9" s="26"/>
      <c r="B9" s="27" t="s">
        <v>22</v>
      </c>
      <c r="C9" s="26">
        <v>1</v>
      </c>
      <c r="D9" s="28">
        <f>SUM(D10:D29)</f>
        <v>0</v>
      </c>
      <c r="E9" s="28">
        <f t="shared" ref="E9:G9" si="0">SUM(E10:E29)</f>
        <v>0</v>
      </c>
      <c r="F9" s="28">
        <f t="shared" si="0"/>
        <v>0</v>
      </c>
      <c r="G9" s="28">
        <f t="shared" si="0"/>
        <v>0</v>
      </c>
      <c r="H9" s="293"/>
    </row>
    <row r="10" spans="1:8" x14ac:dyDescent="0.2">
      <c r="A10" s="292">
        <v>1</v>
      </c>
      <c r="B10" s="29" t="s">
        <v>438</v>
      </c>
      <c r="C10" s="292">
        <v>2</v>
      </c>
      <c r="D10" s="30"/>
      <c r="E10" s="30"/>
      <c r="F10" s="30"/>
      <c r="G10" s="30"/>
      <c r="H10" s="293"/>
    </row>
    <row r="11" spans="1:8" x14ac:dyDescent="0.2">
      <c r="A11" s="292">
        <f>+A10+1</f>
        <v>2</v>
      </c>
      <c r="B11" s="29" t="s">
        <v>438</v>
      </c>
      <c r="C11" s="292">
        <v>3</v>
      </c>
      <c r="D11" s="30"/>
      <c r="E11" s="30"/>
      <c r="F11" s="30"/>
      <c r="G11" s="30"/>
      <c r="H11" s="293"/>
    </row>
    <row r="12" spans="1:8" x14ac:dyDescent="0.2">
      <c r="A12" s="292">
        <f t="shared" ref="A12:A60" si="1">+A11+1</f>
        <v>3</v>
      </c>
      <c r="B12" s="29" t="s">
        <v>438</v>
      </c>
      <c r="C12" s="292">
        <v>4</v>
      </c>
      <c r="D12" s="30"/>
      <c r="E12" s="30"/>
      <c r="F12" s="30"/>
      <c r="G12" s="30"/>
      <c r="H12" s="293" t="s">
        <v>0</v>
      </c>
    </row>
    <row r="13" spans="1:8" x14ac:dyDescent="0.2">
      <c r="A13" s="292">
        <f t="shared" si="1"/>
        <v>4</v>
      </c>
      <c r="B13" s="29" t="s">
        <v>438</v>
      </c>
      <c r="C13" s="292">
        <v>5</v>
      </c>
      <c r="D13" s="30"/>
      <c r="E13" s="30"/>
      <c r="F13" s="30"/>
      <c r="G13" s="30"/>
      <c r="H13" s="293"/>
    </row>
    <row r="14" spans="1:8" x14ac:dyDescent="0.2">
      <c r="A14" s="292">
        <f t="shared" si="1"/>
        <v>5</v>
      </c>
      <c r="B14" s="29" t="s">
        <v>438</v>
      </c>
      <c r="C14" s="292">
        <v>6</v>
      </c>
      <c r="D14" s="30"/>
      <c r="E14" s="30"/>
      <c r="F14" s="30"/>
      <c r="G14" s="30"/>
      <c r="H14" s="293"/>
    </row>
    <row r="15" spans="1:8" x14ac:dyDescent="0.2">
      <c r="A15" s="292">
        <f t="shared" si="1"/>
        <v>6</v>
      </c>
      <c r="B15" s="29" t="s">
        <v>438</v>
      </c>
      <c r="C15" s="292">
        <v>7</v>
      </c>
      <c r="D15" s="30"/>
      <c r="E15" s="30"/>
      <c r="F15" s="30"/>
      <c r="G15" s="30"/>
    </row>
    <row r="16" spans="1:8" x14ac:dyDescent="0.2">
      <c r="A16" s="292">
        <f t="shared" si="1"/>
        <v>7</v>
      </c>
      <c r="B16" s="29" t="s">
        <v>438</v>
      </c>
      <c r="C16" s="292">
        <v>8</v>
      </c>
      <c r="D16" s="30"/>
      <c r="E16" s="30"/>
      <c r="F16" s="30"/>
      <c r="G16" s="30"/>
    </row>
    <row r="17" spans="1:7" x14ac:dyDescent="0.2">
      <c r="A17" s="292">
        <f t="shared" si="1"/>
        <v>8</v>
      </c>
      <c r="B17" s="29" t="s">
        <v>438</v>
      </c>
      <c r="C17" s="292">
        <v>9</v>
      </c>
      <c r="D17" s="30"/>
      <c r="E17" s="30"/>
      <c r="F17" s="30"/>
      <c r="G17" s="30"/>
    </row>
    <row r="18" spans="1:7" x14ac:dyDescent="0.2">
      <c r="A18" s="292">
        <f>+A17+1</f>
        <v>9</v>
      </c>
      <c r="B18" s="29" t="s">
        <v>438</v>
      </c>
      <c r="C18" s="292">
        <v>10</v>
      </c>
      <c r="D18" s="30"/>
      <c r="E18" s="30"/>
      <c r="F18" s="30"/>
      <c r="G18" s="30"/>
    </row>
    <row r="19" spans="1:7" x14ac:dyDescent="0.2">
      <c r="A19" s="292">
        <f t="shared" si="1"/>
        <v>10</v>
      </c>
      <c r="B19" s="29" t="s">
        <v>438</v>
      </c>
      <c r="C19" s="292">
        <v>11</v>
      </c>
      <c r="D19" s="30"/>
      <c r="E19" s="30"/>
      <c r="F19" s="30"/>
      <c r="G19" s="30"/>
    </row>
    <row r="20" spans="1:7" x14ac:dyDescent="0.2">
      <c r="A20" s="292">
        <f t="shared" si="1"/>
        <v>11</v>
      </c>
      <c r="B20" s="29" t="s">
        <v>438</v>
      </c>
      <c r="C20" s="292">
        <v>12</v>
      </c>
      <c r="D20" s="30"/>
      <c r="E20" s="30"/>
      <c r="F20" s="30"/>
      <c r="G20" s="30"/>
    </row>
    <row r="21" spans="1:7" x14ac:dyDescent="0.2">
      <c r="A21" s="292">
        <f t="shared" si="1"/>
        <v>12</v>
      </c>
      <c r="B21" s="29" t="s">
        <v>438</v>
      </c>
      <c r="C21" s="292">
        <v>13</v>
      </c>
      <c r="D21" s="30"/>
      <c r="E21" s="30"/>
      <c r="F21" s="30"/>
      <c r="G21" s="30"/>
    </row>
    <row r="22" spans="1:7" x14ac:dyDescent="0.2">
      <c r="A22" s="292">
        <f t="shared" si="1"/>
        <v>13</v>
      </c>
      <c r="B22" s="29" t="s">
        <v>438</v>
      </c>
      <c r="C22" s="292">
        <v>14</v>
      </c>
      <c r="D22" s="30"/>
      <c r="E22" s="30"/>
      <c r="F22" s="30"/>
      <c r="G22" s="30"/>
    </row>
    <row r="23" spans="1:7" x14ac:dyDescent="0.2">
      <c r="A23" s="292">
        <f t="shared" si="1"/>
        <v>14</v>
      </c>
      <c r="B23" s="29" t="s">
        <v>438</v>
      </c>
      <c r="C23" s="292">
        <v>15</v>
      </c>
      <c r="D23" s="30"/>
      <c r="E23" s="30"/>
      <c r="F23" s="30"/>
      <c r="G23" s="30"/>
    </row>
    <row r="24" spans="1:7" x14ac:dyDescent="0.2">
      <c r="A24" s="292">
        <f t="shared" si="1"/>
        <v>15</v>
      </c>
      <c r="B24" s="29" t="s">
        <v>438</v>
      </c>
      <c r="C24" s="292">
        <v>16</v>
      </c>
      <c r="D24" s="30"/>
      <c r="E24" s="30"/>
      <c r="F24" s="30"/>
      <c r="G24" s="30"/>
    </row>
    <row r="25" spans="1:7" x14ac:dyDescent="0.2">
      <c r="A25" s="292">
        <f t="shared" si="1"/>
        <v>16</v>
      </c>
      <c r="B25" s="29" t="s">
        <v>438</v>
      </c>
      <c r="C25" s="292">
        <v>17</v>
      </c>
      <c r="D25" s="30"/>
      <c r="E25" s="30"/>
      <c r="F25" s="30"/>
      <c r="G25" s="30"/>
    </row>
    <row r="26" spans="1:7" x14ac:dyDescent="0.2">
      <c r="A26" s="292">
        <f t="shared" si="1"/>
        <v>17</v>
      </c>
      <c r="B26" s="29" t="s">
        <v>438</v>
      </c>
      <c r="C26" s="292">
        <v>18</v>
      </c>
      <c r="D26" s="30"/>
      <c r="E26" s="30"/>
      <c r="F26" s="30"/>
      <c r="G26" s="30"/>
    </row>
    <row r="27" spans="1:7" x14ac:dyDescent="0.2">
      <c r="A27" s="292">
        <f t="shared" si="1"/>
        <v>18</v>
      </c>
      <c r="B27" s="29" t="s">
        <v>438</v>
      </c>
      <c r="C27" s="292">
        <v>19</v>
      </c>
      <c r="D27" s="30"/>
      <c r="E27" s="30"/>
      <c r="F27" s="30"/>
      <c r="G27" s="30"/>
    </row>
    <row r="28" spans="1:7" x14ac:dyDescent="0.2">
      <c r="A28" s="292">
        <f t="shared" si="1"/>
        <v>19</v>
      </c>
      <c r="B28" s="29" t="s">
        <v>438</v>
      </c>
      <c r="C28" s="292">
        <v>20</v>
      </c>
      <c r="D28" s="30"/>
      <c r="E28" s="30"/>
      <c r="F28" s="30"/>
      <c r="G28" s="30"/>
    </row>
    <row r="29" spans="1:7" x14ac:dyDescent="0.2">
      <c r="A29" s="291">
        <f t="shared" si="1"/>
        <v>20</v>
      </c>
      <c r="B29" s="31" t="s">
        <v>438</v>
      </c>
      <c r="C29" s="291">
        <v>21</v>
      </c>
      <c r="D29" s="32"/>
      <c r="E29" s="32"/>
      <c r="F29" s="32"/>
      <c r="G29" s="32"/>
    </row>
    <row r="30" spans="1:7" x14ac:dyDescent="0.2">
      <c r="A30" s="291">
        <f t="shared" si="1"/>
        <v>21</v>
      </c>
      <c r="B30" s="34"/>
      <c r="C30" s="292">
        <v>22</v>
      </c>
      <c r="D30" s="35"/>
      <c r="E30" s="35"/>
      <c r="F30" s="35"/>
      <c r="G30" s="35"/>
    </row>
    <row r="31" spans="1:7" x14ac:dyDescent="0.2">
      <c r="A31" s="291">
        <f t="shared" si="1"/>
        <v>22</v>
      </c>
      <c r="B31" s="33"/>
      <c r="C31" s="292">
        <v>23</v>
      </c>
      <c r="D31" s="36"/>
      <c r="E31" s="36"/>
      <c r="F31" s="36"/>
      <c r="G31" s="36"/>
    </row>
    <row r="32" spans="1:7" x14ac:dyDescent="0.2">
      <c r="A32" s="291">
        <f t="shared" si="1"/>
        <v>23</v>
      </c>
      <c r="B32" s="37"/>
      <c r="C32" s="291">
        <v>24</v>
      </c>
      <c r="D32" s="38"/>
      <c r="E32" s="38"/>
      <c r="F32" s="39"/>
      <c r="G32" s="39"/>
    </row>
    <row r="33" spans="1:7" x14ac:dyDescent="0.2">
      <c r="A33" s="291">
        <f t="shared" si="1"/>
        <v>24</v>
      </c>
      <c r="B33" s="157"/>
      <c r="C33" s="292">
        <v>25</v>
      </c>
      <c r="D33" s="158"/>
      <c r="E33" s="158"/>
      <c r="F33" s="39"/>
      <c r="G33" s="39"/>
    </row>
    <row r="34" spans="1:7" x14ac:dyDescent="0.2">
      <c r="A34" s="291">
        <f t="shared" si="1"/>
        <v>25</v>
      </c>
      <c r="B34" s="157"/>
      <c r="C34" s="292">
        <v>26</v>
      </c>
      <c r="D34" s="158"/>
      <c r="E34" s="158"/>
      <c r="F34" s="40"/>
      <c r="G34" s="40"/>
    </row>
    <row r="35" spans="1:7" x14ac:dyDescent="0.2">
      <c r="A35" s="291">
        <f t="shared" si="1"/>
        <v>26</v>
      </c>
      <c r="B35" s="157"/>
      <c r="C35" s="291">
        <v>27</v>
      </c>
      <c r="D35" s="158"/>
      <c r="E35" s="158"/>
      <c r="F35" s="39"/>
      <c r="G35" s="39"/>
    </row>
    <row r="36" spans="1:7" x14ac:dyDescent="0.2">
      <c r="A36" s="291">
        <f t="shared" si="1"/>
        <v>27</v>
      </c>
      <c r="B36" s="157"/>
      <c r="C36" s="292">
        <v>28</v>
      </c>
      <c r="D36" s="158"/>
      <c r="E36" s="158"/>
      <c r="F36" s="39"/>
      <c r="G36" s="39"/>
    </row>
    <row r="37" spans="1:7" x14ac:dyDescent="0.2">
      <c r="A37" s="291">
        <f t="shared" si="1"/>
        <v>28</v>
      </c>
      <c r="B37" s="157"/>
      <c r="C37" s="292">
        <v>29</v>
      </c>
      <c r="D37" s="158"/>
      <c r="E37" s="158"/>
      <c r="F37" s="36"/>
      <c r="G37" s="36"/>
    </row>
    <row r="38" spans="1:7" x14ac:dyDescent="0.2">
      <c r="A38" s="291">
        <f t="shared" si="1"/>
        <v>29</v>
      </c>
      <c r="B38" s="157"/>
      <c r="C38" s="291">
        <v>30</v>
      </c>
      <c r="D38" s="158"/>
      <c r="E38" s="158"/>
      <c r="F38" s="36"/>
      <c r="G38" s="36"/>
    </row>
    <row r="39" spans="1:7" x14ac:dyDescent="0.2">
      <c r="A39" s="291">
        <f t="shared" si="1"/>
        <v>30</v>
      </c>
      <c r="B39" s="157"/>
      <c r="C39" s="292">
        <v>31</v>
      </c>
      <c r="D39" s="158"/>
      <c r="E39" s="158"/>
      <c r="F39" s="36"/>
      <c r="G39" s="36"/>
    </row>
    <row r="40" spans="1:7" x14ac:dyDescent="0.2">
      <c r="A40" s="291">
        <f t="shared" si="1"/>
        <v>31</v>
      </c>
      <c r="B40" s="157"/>
      <c r="C40" s="292">
        <v>32</v>
      </c>
      <c r="D40" s="158"/>
      <c r="E40" s="158"/>
      <c r="F40" s="36"/>
      <c r="G40" s="36"/>
    </row>
    <row r="41" spans="1:7" x14ac:dyDescent="0.2">
      <c r="A41" s="291">
        <f t="shared" si="1"/>
        <v>32</v>
      </c>
      <c r="B41" s="157"/>
      <c r="C41" s="291">
        <v>33</v>
      </c>
      <c r="D41" s="158"/>
      <c r="E41" s="158"/>
      <c r="F41" s="158"/>
      <c r="G41" s="158"/>
    </row>
    <row r="42" spans="1:7" x14ac:dyDescent="0.2">
      <c r="A42" s="291">
        <f t="shared" si="1"/>
        <v>33</v>
      </c>
      <c r="B42" s="34"/>
      <c r="C42" s="292">
        <v>34</v>
      </c>
      <c r="D42" s="36"/>
      <c r="E42" s="36"/>
      <c r="F42" s="36"/>
      <c r="G42" s="36"/>
    </row>
    <row r="43" spans="1:7" x14ac:dyDescent="0.2">
      <c r="A43" s="291">
        <f t="shared" si="1"/>
        <v>34</v>
      </c>
      <c r="B43" s="34"/>
      <c r="C43" s="292">
        <v>35</v>
      </c>
      <c r="D43" s="36"/>
      <c r="E43" s="36"/>
      <c r="F43" s="36"/>
      <c r="G43" s="36"/>
    </row>
    <row r="44" spans="1:7" x14ac:dyDescent="0.2">
      <c r="A44" s="291">
        <f t="shared" si="1"/>
        <v>35</v>
      </c>
      <c r="B44" s="34"/>
      <c r="C44" s="291">
        <v>36</v>
      </c>
      <c r="D44" s="36"/>
      <c r="E44" s="36"/>
      <c r="F44" s="36"/>
      <c r="G44" s="36"/>
    </row>
    <row r="45" spans="1:7" x14ac:dyDescent="0.2">
      <c r="A45" s="291">
        <f t="shared" si="1"/>
        <v>36</v>
      </c>
      <c r="B45" s="34"/>
      <c r="C45" s="292">
        <v>37</v>
      </c>
      <c r="D45" s="36"/>
      <c r="E45" s="36"/>
      <c r="F45" s="36"/>
      <c r="G45" s="36"/>
    </row>
    <row r="46" spans="1:7" x14ac:dyDescent="0.2">
      <c r="A46" s="291">
        <f t="shared" si="1"/>
        <v>37</v>
      </c>
      <c r="B46" s="34"/>
      <c r="C46" s="292">
        <v>38</v>
      </c>
      <c r="D46" s="36"/>
      <c r="E46" s="36"/>
      <c r="F46" s="36"/>
      <c r="G46" s="36"/>
    </row>
    <row r="47" spans="1:7" x14ac:dyDescent="0.2">
      <c r="A47" s="291">
        <f t="shared" si="1"/>
        <v>38</v>
      </c>
      <c r="B47" s="34"/>
      <c r="C47" s="291">
        <v>39</v>
      </c>
      <c r="D47" s="36"/>
      <c r="E47" s="36"/>
      <c r="F47" s="36"/>
      <c r="G47" s="36"/>
    </row>
    <row r="48" spans="1:7" x14ac:dyDescent="0.2">
      <c r="A48" s="291">
        <f t="shared" si="1"/>
        <v>39</v>
      </c>
      <c r="B48" s="34"/>
      <c r="C48" s="292">
        <v>40</v>
      </c>
      <c r="D48" s="36"/>
      <c r="E48" s="36"/>
      <c r="F48" s="36"/>
      <c r="G48" s="36"/>
    </row>
    <row r="49" spans="1:7" x14ac:dyDescent="0.2">
      <c r="A49" s="291">
        <f t="shared" si="1"/>
        <v>40</v>
      </c>
      <c r="B49" s="34"/>
      <c r="C49" s="292">
        <v>41</v>
      </c>
      <c r="D49" s="36"/>
      <c r="E49" s="36"/>
      <c r="F49" s="36"/>
      <c r="G49" s="36"/>
    </row>
    <row r="50" spans="1:7" x14ac:dyDescent="0.2">
      <c r="A50" s="291">
        <f t="shared" si="1"/>
        <v>41</v>
      </c>
      <c r="B50" s="34"/>
      <c r="C50" s="291">
        <v>42</v>
      </c>
      <c r="D50" s="36"/>
      <c r="E50" s="36"/>
      <c r="F50" s="36"/>
      <c r="G50" s="36"/>
    </row>
    <row r="51" spans="1:7" x14ac:dyDescent="0.2">
      <c r="A51" s="291">
        <f t="shared" si="1"/>
        <v>42</v>
      </c>
      <c r="B51" s="34"/>
      <c r="C51" s="292">
        <v>43</v>
      </c>
      <c r="D51" s="36"/>
      <c r="E51" s="36"/>
      <c r="F51" s="36"/>
      <c r="G51" s="36"/>
    </row>
    <row r="52" spans="1:7" x14ac:dyDescent="0.2">
      <c r="A52" s="291">
        <f t="shared" si="1"/>
        <v>43</v>
      </c>
      <c r="B52" s="157"/>
      <c r="C52" s="292">
        <v>44</v>
      </c>
      <c r="D52" s="158"/>
      <c r="E52" s="158"/>
      <c r="F52" s="36"/>
      <c r="G52" s="36"/>
    </row>
    <row r="53" spans="1:7" x14ac:dyDescent="0.2">
      <c r="A53" s="291">
        <f t="shared" si="1"/>
        <v>44</v>
      </c>
      <c r="B53" s="157"/>
      <c r="C53" s="291">
        <v>45</v>
      </c>
      <c r="D53" s="158"/>
      <c r="E53" s="158"/>
      <c r="F53" s="36"/>
      <c r="G53" s="36"/>
    </row>
    <row r="54" spans="1:7" x14ac:dyDescent="0.2">
      <c r="A54" s="291">
        <f t="shared" si="1"/>
        <v>45</v>
      </c>
      <c r="B54" s="157"/>
      <c r="C54" s="292">
        <v>46</v>
      </c>
      <c r="D54" s="158"/>
      <c r="E54" s="158"/>
      <c r="F54" s="36"/>
      <c r="G54" s="36"/>
    </row>
    <row r="55" spans="1:7" x14ac:dyDescent="0.2">
      <c r="A55" s="291">
        <f t="shared" si="1"/>
        <v>46</v>
      </c>
      <c r="B55" s="157"/>
      <c r="C55" s="292">
        <v>47</v>
      </c>
      <c r="D55" s="158"/>
      <c r="E55" s="158"/>
      <c r="F55" s="36"/>
      <c r="G55" s="36"/>
    </row>
    <row r="56" spans="1:7" x14ac:dyDescent="0.2">
      <c r="A56" s="291">
        <f t="shared" si="1"/>
        <v>47</v>
      </c>
      <c r="B56" s="157"/>
      <c r="C56" s="291">
        <v>48</v>
      </c>
      <c r="D56" s="158"/>
      <c r="E56" s="158"/>
      <c r="F56" s="36"/>
      <c r="G56" s="36"/>
    </row>
    <row r="57" spans="1:7" x14ac:dyDescent="0.2">
      <c r="A57" s="291">
        <f t="shared" si="1"/>
        <v>48</v>
      </c>
      <c r="B57" s="157"/>
      <c r="C57" s="292">
        <v>49</v>
      </c>
      <c r="D57" s="158"/>
      <c r="E57" s="158"/>
      <c r="F57" s="36"/>
      <c r="G57" s="36"/>
    </row>
    <row r="58" spans="1:7" x14ac:dyDescent="0.2">
      <c r="A58" s="291">
        <f t="shared" si="1"/>
        <v>49</v>
      </c>
      <c r="B58" s="157"/>
      <c r="C58" s="292">
        <v>50</v>
      </c>
      <c r="D58" s="158"/>
      <c r="E58" s="158"/>
      <c r="F58" s="36"/>
      <c r="G58" s="36"/>
    </row>
    <row r="59" spans="1:7" x14ac:dyDescent="0.2">
      <c r="A59" s="291">
        <f t="shared" si="1"/>
        <v>50</v>
      </c>
      <c r="B59" s="157"/>
      <c r="C59" s="291">
        <v>51</v>
      </c>
      <c r="D59" s="158"/>
      <c r="E59" s="158"/>
      <c r="F59" s="36"/>
      <c r="G59" s="36"/>
    </row>
    <row r="60" spans="1:7" x14ac:dyDescent="0.2">
      <c r="A60" s="291">
        <f t="shared" si="1"/>
        <v>51</v>
      </c>
      <c r="B60" s="157"/>
      <c r="C60" s="292">
        <v>52</v>
      </c>
      <c r="D60" s="158"/>
      <c r="E60" s="158"/>
      <c r="F60" s="36"/>
      <c r="G60" s="36"/>
    </row>
    <row r="63" spans="1:7" x14ac:dyDescent="0.2">
      <c r="B63" s="2" t="s">
        <v>285</v>
      </c>
      <c r="C63" s="271"/>
      <c r="D63" s="4"/>
      <c r="E63" s="4"/>
    </row>
    <row r="64" spans="1:7" x14ac:dyDescent="0.2">
      <c r="B64" s="5"/>
      <c r="C64" s="271"/>
      <c r="D64" s="4"/>
      <c r="E64" s="4"/>
    </row>
    <row r="65" spans="2:5" x14ac:dyDescent="0.2">
      <c r="B65" s="5" t="s">
        <v>286</v>
      </c>
      <c r="C65" s="271"/>
      <c r="D65" s="4"/>
      <c r="E65" s="4"/>
    </row>
    <row r="66" spans="2:5" x14ac:dyDescent="0.2">
      <c r="B66" s="5"/>
      <c r="C66" s="271"/>
      <c r="D66" s="4"/>
      <c r="E66" s="4"/>
    </row>
    <row r="67" spans="2:5" x14ac:dyDescent="0.2">
      <c r="B67" s="6" t="s">
        <v>287</v>
      </c>
      <c r="C67" s="576" t="s">
        <v>288</v>
      </c>
      <c r="D67" s="576"/>
      <c r="E67" s="4" t="s">
        <v>289</v>
      </c>
    </row>
    <row r="68" spans="2:5" x14ac:dyDescent="0.2">
      <c r="B68" s="5"/>
      <c r="C68" s="576"/>
      <c r="D68" s="576"/>
      <c r="E68" s="4"/>
    </row>
    <row r="69" spans="2:5" x14ac:dyDescent="0.2">
      <c r="B69" s="6" t="s">
        <v>290</v>
      </c>
      <c r="C69" s="576" t="s">
        <v>291</v>
      </c>
      <c r="D69" s="576"/>
      <c r="E69" s="4" t="s">
        <v>292</v>
      </c>
    </row>
    <row r="70" spans="2:5" x14ac:dyDescent="0.2">
      <c r="B70" s="5"/>
      <c r="C70" s="576"/>
      <c r="D70" s="576"/>
      <c r="E70" s="4"/>
    </row>
    <row r="71" spans="2:5" x14ac:dyDescent="0.2">
      <c r="B71" s="6" t="s">
        <v>293</v>
      </c>
      <c r="C71" s="576" t="s">
        <v>288</v>
      </c>
      <c r="D71" s="576"/>
      <c r="E71" s="4" t="s">
        <v>292</v>
      </c>
    </row>
  </sheetData>
  <sheetProtection password="CA9F" sheet="1" objects="1" scenarios="1"/>
  <mergeCells count="9">
    <mergeCell ref="C69:D69"/>
    <mergeCell ref="C70:D70"/>
    <mergeCell ref="C71:D71"/>
    <mergeCell ref="D1:G2"/>
    <mergeCell ref="A3:G3"/>
    <mergeCell ref="A5:D5"/>
    <mergeCell ref="F5:G5"/>
    <mergeCell ref="C67:D67"/>
    <mergeCell ref="C68:D68"/>
  </mergeCells>
  <dataValidations count="2">
    <dataValidation type="decimal" allowBlank="1" showInputMessage="1" showErrorMessage="1" sqref="E10:G30" xr:uid="{9464C092-674A-4D7C-9690-7547F3A0901C}">
      <formula1>0</formula1>
      <formula2>1E+38</formula2>
    </dataValidation>
    <dataValidation type="whole" allowBlank="1" showInputMessage="1" showErrorMessage="1" sqref="F6:G6" xr:uid="{35F9B54A-4ED5-4B9F-96AE-EAAD11B0AF36}">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40"/>
  <sheetViews>
    <sheetView topLeftCell="B1" zoomScaleNormal="100" zoomScalePageLayoutView="60" workbookViewId="0">
      <selection activeCell="G21" sqref="G21"/>
    </sheetView>
  </sheetViews>
  <sheetFormatPr defaultColWidth="15.140625" defaultRowHeight="12.75" x14ac:dyDescent="0.2"/>
  <cols>
    <col min="1" max="1" width="4.140625" style="570" customWidth="1"/>
    <col min="2" max="2" width="43" style="571" bestFit="1" customWidth="1"/>
    <col min="3" max="9" width="24.7109375" style="554" customWidth="1"/>
    <col min="10" max="10" width="26.140625" style="554" customWidth="1"/>
    <col min="11" max="11" width="27.28515625" style="554" customWidth="1"/>
    <col min="12" max="25" width="7.42578125" style="554" customWidth="1"/>
    <col min="26" max="16384" width="15.140625" style="554"/>
  </cols>
  <sheetData>
    <row r="1" spans="1:27" ht="12.75" customHeight="1" x14ac:dyDescent="0.2">
      <c r="A1" s="41"/>
      <c r="B1" s="5"/>
      <c r="C1" s="4"/>
      <c r="D1" s="4"/>
      <c r="E1" s="4"/>
      <c r="F1" s="592" t="s">
        <v>439</v>
      </c>
      <c r="G1" s="590"/>
      <c r="H1" s="590"/>
      <c r="I1" s="590"/>
      <c r="J1" s="590"/>
      <c r="K1" s="590"/>
      <c r="L1" s="4"/>
      <c r="M1" s="4"/>
      <c r="N1" s="4"/>
      <c r="O1" s="4"/>
      <c r="P1" s="4"/>
      <c r="Q1" s="4"/>
      <c r="R1" s="4"/>
      <c r="S1" s="4"/>
      <c r="T1" s="4"/>
      <c r="U1" s="4"/>
      <c r="V1" s="4"/>
      <c r="W1" s="4"/>
      <c r="X1" s="4"/>
      <c r="Y1" s="4"/>
    </row>
    <row r="2" spans="1:27" ht="12.75" customHeight="1" x14ac:dyDescent="0.2">
      <c r="A2" s="41"/>
      <c r="B2" s="5"/>
      <c r="C2" s="4"/>
      <c r="D2" s="4"/>
      <c r="E2" s="4"/>
      <c r="F2" s="590"/>
      <c r="G2" s="590"/>
      <c r="H2" s="590"/>
      <c r="I2" s="590"/>
      <c r="J2" s="590"/>
      <c r="K2" s="590"/>
      <c r="L2" s="4"/>
      <c r="M2" s="4"/>
      <c r="N2" s="4"/>
      <c r="O2" s="4"/>
      <c r="P2" s="4"/>
      <c r="Q2" s="4"/>
      <c r="R2" s="4"/>
      <c r="S2" s="4"/>
      <c r="T2" s="4"/>
      <c r="U2" s="4"/>
      <c r="V2" s="4"/>
      <c r="W2" s="4"/>
      <c r="X2" s="4"/>
      <c r="Y2" s="4"/>
    </row>
    <row r="3" spans="1:27" ht="12.75" customHeight="1" x14ac:dyDescent="0.2">
      <c r="A3" s="41"/>
      <c r="B3" s="5"/>
      <c r="C3" s="4"/>
      <c r="D3" s="4"/>
      <c r="E3" s="4"/>
      <c r="F3" s="590"/>
      <c r="G3" s="590"/>
      <c r="H3" s="590"/>
      <c r="I3" s="590"/>
      <c r="J3" s="590"/>
      <c r="K3" s="590"/>
      <c r="L3" s="4"/>
      <c r="M3" s="4"/>
      <c r="N3" s="4"/>
      <c r="O3" s="4"/>
      <c r="P3" s="4"/>
      <c r="Q3" s="4"/>
      <c r="R3" s="4"/>
      <c r="S3" s="4"/>
      <c r="T3" s="4"/>
      <c r="U3" s="4"/>
      <c r="V3" s="4"/>
      <c r="W3" s="4"/>
      <c r="X3" s="4"/>
      <c r="Y3" s="4"/>
    </row>
    <row r="4" spans="1:27" ht="12.75" customHeight="1" x14ac:dyDescent="0.2">
      <c r="A4" s="593" t="s">
        <v>440</v>
      </c>
      <c r="B4" s="590"/>
      <c r="C4" s="590"/>
      <c r="D4" s="590"/>
      <c r="E4" s="590"/>
      <c r="F4" s="590"/>
      <c r="G4" s="590"/>
      <c r="H4" s="590"/>
      <c r="I4" s="590"/>
      <c r="J4" s="590"/>
      <c r="K4" s="590"/>
      <c r="L4" s="4"/>
      <c r="M4" s="4"/>
      <c r="N4" s="4"/>
      <c r="O4" s="4"/>
      <c r="P4" s="4"/>
      <c r="Q4" s="4"/>
      <c r="R4" s="4"/>
      <c r="S4" s="4"/>
      <c r="T4" s="4"/>
      <c r="U4" s="4"/>
      <c r="V4" s="4"/>
      <c r="W4" s="4"/>
      <c r="X4" s="4"/>
      <c r="Y4" s="4"/>
    </row>
    <row r="5" spans="1:27" ht="12.75" customHeight="1" x14ac:dyDescent="0.2">
      <c r="A5" s="555"/>
      <c r="B5" s="553"/>
      <c r="C5" s="553"/>
      <c r="D5" s="4"/>
      <c r="E5" s="4"/>
      <c r="F5" s="4"/>
      <c r="G5" s="4"/>
      <c r="H5" s="4"/>
      <c r="I5" s="4"/>
      <c r="J5" s="4"/>
      <c r="K5" s="4"/>
      <c r="L5" s="4"/>
      <c r="M5" s="4"/>
      <c r="N5" s="4"/>
      <c r="O5" s="4"/>
      <c r="P5" s="4"/>
      <c r="Q5" s="4"/>
      <c r="R5" s="4"/>
      <c r="S5" s="4"/>
      <c r="T5" s="4"/>
      <c r="U5" s="4"/>
      <c r="V5" s="4"/>
      <c r="W5" s="4"/>
      <c r="X5" s="4"/>
      <c r="Y5" s="4"/>
    </row>
    <row r="6" spans="1:27" ht="15.75" customHeight="1" x14ac:dyDescent="0.25">
      <c r="A6" s="594" t="str">
        <f>+[1]i.04108!A7</f>
        <v>Даатгагчийн нэр:</v>
      </c>
      <c r="B6" s="595"/>
      <c r="C6" s="595"/>
      <c r="D6" s="595"/>
      <c r="H6" s="556"/>
      <c r="I6" s="608" t="str">
        <f>+[1]i.04108!F7</f>
        <v>..... оны .... сарын ...-ны өдөр</v>
      </c>
      <c r="J6" s="608"/>
      <c r="K6" s="608"/>
      <c r="L6" s="4"/>
      <c r="M6" s="589"/>
      <c r="N6" s="590"/>
      <c r="O6" s="590"/>
      <c r="P6" s="590"/>
      <c r="Q6" s="557"/>
      <c r="R6" s="4"/>
      <c r="S6" s="4"/>
      <c r="T6" s="4"/>
      <c r="U6" s="4"/>
      <c r="V6" s="4"/>
      <c r="W6" s="4"/>
      <c r="X6" s="4"/>
      <c r="Y6" s="4"/>
      <c r="Z6" s="4"/>
      <c r="AA6" s="4"/>
    </row>
    <row r="7" spans="1:27" ht="12.75" customHeight="1" x14ac:dyDescent="0.2">
      <c r="A7" s="557"/>
      <c r="B7" s="4"/>
      <c r="C7" s="519"/>
      <c r="D7" s="4"/>
      <c r="E7" s="4"/>
      <c r="H7" s="4"/>
      <c r="I7" s="4"/>
      <c r="J7" s="591" t="s">
        <v>279</v>
      </c>
      <c r="K7" s="590"/>
      <c r="L7" s="4"/>
      <c r="M7" s="4"/>
      <c r="N7" s="4"/>
      <c r="Q7" s="4"/>
      <c r="R7" s="4"/>
      <c r="S7" s="4"/>
      <c r="T7" s="4"/>
      <c r="U7" s="4"/>
      <c r="V7" s="4"/>
      <c r="W7" s="4"/>
      <c r="X7" s="4"/>
      <c r="Y7" s="4"/>
      <c r="Z7" s="4"/>
      <c r="AA7" s="4"/>
    </row>
    <row r="8" spans="1:27" ht="12" customHeight="1" x14ac:dyDescent="0.25">
      <c r="A8" s="596" t="s">
        <v>280</v>
      </c>
      <c r="B8" s="599" t="s">
        <v>441</v>
      </c>
      <c r="C8" s="599" t="s">
        <v>442</v>
      </c>
      <c r="D8" s="604" t="s">
        <v>301</v>
      </c>
      <c r="E8" s="605"/>
      <c r="F8" s="605"/>
      <c r="G8" s="605"/>
      <c r="H8" s="605"/>
      <c r="I8" s="605"/>
      <c r="J8" s="606"/>
      <c r="K8" s="599" t="s">
        <v>119</v>
      </c>
      <c r="L8" s="558"/>
      <c r="M8" s="558"/>
      <c r="N8" s="558"/>
      <c r="O8" s="558"/>
      <c r="P8" s="558"/>
      <c r="Q8" s="558"/>
      <c r="R8" s="558"/>
      <c r="S8" s="558"/>
      <c r="T8" s="558"/>
      <c r="U8" s="558"/>
      <c r="V8" s="558"/>
      <c r="W8" s="558"/>
      <c r="X8" s="558"/>
      <c r="Y8" s="558"/>
    </row>
    <row r="9" spans="1:27" ht="13.5" customHeight="1" x14ac:dyDescent="0.25">
      <c r="A9" s="597"/>
      <c r="B9" s="600"/>
      <c r="C9" s="602"/>
      <c r="D9" s="607" t="s">
        <v>443</v>
      </c>
      <c r="E9" s="609" t="s">
        <v>444</v>
      </c>
      <c r="F9" s="610"/>
      <c r="G9" s="605"/>
      <c r="H9" s="605"/>
      <c r="I9" s="606"/>
      <c r="J9" s="607" t="s">
        <v>445</v>
      </c>
      <c r="K9" s="602"/>
      <c r="L9" s="558"/>
      <c r="M9" s="558"/>
      <c r="N9" s="558"/>
      <c r="O9" s="558"/>
      <c r="P9" s="558"/>
      <c r="Q9" s="558"/>
      <c r="R9" s="558"/>
      <c r="S9" s="558"/>
      <c r="T9" s="558"/>
      <c r="U9" s="558"/>
      <c r="V9" s="558"/>
      <c r="W9" s="558"/>
      <c r="X9" s="558"/>
      <c r="Y9" s="558"/>
    </row>
    <row r="10" spans="1:27" ht="25.5" x14ac:dyDescent="0.2">
      <c r="A10" s="598"/>
      <c r="B10" s="601"/>
      <c r="C10" s="603"/>
      <c r="D10" s="603"/>
      <c r="E10" s="42" t="s">
        <v>446</v>
      </c>
      <c r="F10" s="43" t="s">
        <v>118</v>
      </c>
      <c r="G10" s="44" t="s">
        <v>447</v>
      </c>
      <c r="H10" s="45" t="s">
        <v>448</v>
      </c>
      <c r="I10" s="45" t="s">
        <v>216</v>
      </c>
      <c r="J10" s="603"/>
      <c r="K10" s="603"/>
      <c r="L10" s="558"/>
      <c r="M10" s="558"/>
      <c r="N10" s="558"/>
      <c r="O10" s="558"/>
      <c r="P10" s="558"/>
      <c r="Q10" s="558"/>
      <c r="R10" s="558"/>
      <c r="S10" s="558"/>
      <c r="T10" s="558"/>
      <c r="U10" s="558"/>
      <c r="V10" s="558"/>
      <c r="W10" s="558"/>
      <c r="X10" s="558"/>
      <c r="Y10" s="558"/>
    </row>
    <row r="11" spans="1:27" s="516" customFormat="1" x14ac:dyDescent="0.2">
      <c r="A11" s="46" t="s">
        <v>282</v>
      </c>
      <c r="B11" s="47" t="s">
        <v>283</v>
      </c>
      <c r="C11" s="48">
        <v>1</v>
      </c>
      <c r="D11" s="47">
        <v>2</v>
      </c>
      <c r="E11" s="49">
        <v>3</v>
      </c>
      <c r="F11" s="50">
        <v>4</v>
      </c>
      <c r="G11" s="51">
        <v>5</v>
      </c>
      <c r="H11" s="24">
        <v>6</v>
      </c>
      <c r="I11" s="24">
        <v>7</v>
      </c>
      <c r="J11" s="47">
        <v>8</v>
      </c>
      <c r="K11" s="47">
        <v>9</v>
      </c>
      <c r="L11" s="552"/>
      <c r="M11" s="552"/>
      <c r="N11" s="552"/>
      <c r="O11" s="552"/>
      <c r="P11" s="552"/>
      <c r="Q11" s="552"/>
      <c r="R11" s="552"/>
      <c r="S11" s="552"/>
      <c r="T11" s="552"/>
      <c r="U11" s="552"/>
      <c r="V11" s="552"/>
      <c r="W11" s="552"/>
      <c r="X11" s="552"/>
      <c r="Y11" s="552"/>
    </row>
    <row r="12" spans="1:27" ht="39" customHeight="1" x14ac:dyDescent="0.2">
      <c r="A12" s="52" t="s">
        <v>235</v>
      </c>
      <c r="B12" s="53" t="s">
        <v>449</v>
      </c>
      <c r="C12" s="559">
        <f>SUM(C13:INDEX(C:C,ROWS(C:C)))</f>
        <v>0</v>
      </c>
      <c r="D12" s="559">
        <f>SUM(D13:INDEX(D:D,ROWS(D:D)))</f>
        <v>0</v>
      </c>
      <c r="E12" s="559">
        <f>SUM(E13:INDEX(E:E,ROWS(E:E)))</f>
        <v>0</v>
      </c>
      <c r="F12" s="559">
        <f>SUM(F13:INDEX(F:F,ROWS(F:F)))</f>
        <v>0</v>
      </c>
      <c r="G12" s="559">
        <f>SUM(G13:INDEX(G:G,ROWS(G:G)))</f>
        <v>0</v>
      </c>
      <c r="H12" s="559">
        <f>SUM(H13:INDEX(H:H,ROWS(H:H)))</f>
        <v>0</v>
      </c>
      <c r="I12" s="559">
        <f>SUM(I13:INDEX(I:I,ROWS(I:I)))</f>
        <v>0</v>
      </c>
      <c r="J12" s="559">
        <f>SUM(J13:INDEX(J:J,ROWS(J:J)))</f>
        <v>0</v>
      </c>
      <c r="K12" s="559">
        <f>SUM(K13:INDEX(K:K,ROWS(K:K)))</f>
        <v>0</v>
      </c>
      <c r="L12" s="4"/>
      <c r="M12" s="4"/>
      <c r="N12" s="4"/>
      <c r="O12" s="4"/>
      <c r="P12" s="4"/>
      <c r="Q12" s="4"/>
      <c r="R12" s="4"/>
      <c r="S12" s="4"/>
      <c r="T12" s="4"/>
      <c r="U12" s="4"/>
      <c r="V12" s="4"/>
      <c r="W12" s="4"/>
      <c r="X12" s="4"/>
      <c r="Y12" s="4"/>
    </row>
    <row r="13" spans="1:27" ht="12.75" customHeight="1" x14ac:dyDescent="0.2">
      <c r="A13" s="296" t="s">
        <v>236</v>
      </c>
      <c r="B13" s="560" t="s">
        <v>1130</v>
      </c>
      <c r="C13" s="561"/>
      <c r="D13" s="562"/>
      <c r="E13" s="563"/>
      <c r="F13" s="563"/>
      <c r="G13" s="563"/>
      <c r="H13" s="563"/>
      <c r="I13" s="563"/>
      <c r="J13" s="564">
        <f>SUM(D13,E13,G13:I13)</f>
        <v>0</v>
      </c>
      <c r="K13" s="563"/>
      <c r="L13" s="4"/>
      <c r="M13" s="4"/>
      <c r="N13" s="4"/>
      <c r="O13" s="4"/>
      <c r="P13" s="4"/>
      <c r="Q13" s="4"/>
      <c r="R13" s="4"/>
      <c r="S13" s="4"/>
      <c r="T13" s="4"/>
      <c r="U13" s="4"/>
      <c r="V13" s="4"/>
      <c r="W13" s="4"/>
      <c r="X13" s="4"/>
      <c r="Y13" s="4"/>
    </row>
    <row r="14" spans="1:27" ht="12.75" customHeight="1" x14ac:dyDescent="0.2">
      <c r="A14" s="296" t="s">
        <v>237</v>
      </c>
      <c r="B14" s="560" t="s">
        <v>1131</v>
      </c>
      <c r="C14" s="561"/>
      <c r="D14" s="562"/>
      <c r="E14" s="563"/>
      <c r="F14" s="563"/>
      <c r="G14" s="563"/>
      <c r="H14" s="563"/>
      <c r="I14" s="563"/>
      <c r="J14" s="564">
        <f>SUM(D14,E14,G14:I14)</f>
        <v>0</v>
      </c>
      <c r="K14" s="563"/>
      <c r="L14" s="4"/>
      <c r="M14" s="4"/>
      <c r="N14" s="4"/>
      <c r="O14" s="4"/>
      <c r="P14" s="4"/>
      <c r="Q14" s="4"/>
      <c r="R14" s="4"/>
      <c r="S14" s="4"/>
      <c r="T14" s="4"/>
      <c r="U14" s="4"/>
      <c r="V14" s="4"/>
      <c r="W14" s="4"/>
      <c r="X14" s="4"/>
      <c r="Y14" s="4"/>
    </row>
    <row r="15" spans="1:27" ht="15" x14ac:dyDescent="0.2">
      <c r="A15" s="296" t="s">
        <v>238</v>
      </c>
      <c r="B15" s="560" t="s">
        <v>1132</v>
      </c>
      <c r="C15" s="561"/>
      <c r="D15" s="562"/>
      <c r="E15" s="563"/>
      <c r="F15" s="563"/>
      <c r="G15" s="563"/>
      <c r="H15" s="563"/>
      <c r="I15" s="563"/>
      <c r="J15" s="564">
        <f t="shared" ref="J15:J73" si="0">SUM(D15,E15,G15:I15)</f>
        <v>0</v>
      </c>
      <c r="K15" s="563"/>
      <c r="L15" s="4"/>
      <c r="M15" s="4"/>
      <c r="N15" s="4"/>
      <c r="O15" s="4"/>
      <c r="P15" s="4"/>
      <c r="Q15" s="4"/>
      <c r="R15" s="4"/>
      <c r="S15" s="4"/>
      <c r="T15" s="4"/>
      <c r="U15" s="4"/>
      <c r="V15" s="4"/>
      <c r="W15" s="4"/>
      <c r="X15" s="4"/>
      <c r="Y15" s="4"/>
    </row>
    <row r="16" spans="1:27" ht="15" x14ac:dyDescent="0.2">
      <c r="A16" s="296" t="s">
        <v>239</v>
      </c>
      <c r="B16" s="560" t="s">
        <v>1133</v>
      </c>
      <c r="C16" s="561"/>
      <c r="D16" s="562"/>
      <c r="E16" s="563"/>
      <c r="F16" s="563"/>
      <c r="G16" s="563"/>
      <c r="H16" s="563"/>
      <c r="I16" s="563"/>
      <c r="J16" s="564">
        <f t="shared" si="0"/>
        <v>0</v>
      </c>
      <c r="K16" s="563"/>
      <c r="L16" s="4"/>
      <c r="M16" s="4"/>
      <c r="N16" s="4"/>
      <c r="O16" s="4"/>
      <c r="P16" s="4"/>
      <c r="Q16" s="4"/>
      <c r="R16" s="4"/>
      <c r="S16" s="4"/>
      <c r="T16" s="4"/>
      <c r="U16" s="4"/>
      <c r="V16" s="4"/>
      <c r="W16" s="4"/>
      <c r="X16" s="4"/>
      <c r="Y16" s="4"/>
    </row>
    <row r="17" spans="1:25" ht="15" x14ac:dyDescent="0.2">
      <c r="A17" s="296" t="s">
        <v>241</v>
      </c>
      <c r="B17" s="560" t="s">
        <v>1134</v>
      </c>
      <c r="C17" s="561"/>
      <c r="D17" s="562"/>
      <c r="E17" s="563"/>
      <c r="F17" s="563"/>
      <c r="G17" s="563"/>
      <c r="H17" s="563"/>
      <c r="I17" s="563"/>
      <c r="J17" s="564">
        <f>SUM(D17,E17,G17:I17)</f>
        <v>0</v>
      </c>
      <c r="K17" s="563"/>
      <c r="L17" s="4"/>
      <c r="M17" s="4"/>
      <c r="N17" s="4"/>
      <c r="O17" s="4"/>
      <c r="P17" s="4"/>
      <c r="Q17" s="4"/>
      <c r="R17" s="4"/>
      <c r="S17" s="4"/>
      <c r="T17" s="4"/>
      <c r="U17" s="4"/>
      <c r="V17" s="4"/>
      <c r="W17" s="4"/>
      <c r="X17" s="4"/>
      <c r="Y17" s="4"/>
    </row>
    <row r="18" spans="1:25" ht="15" x14ac:dyDescent="0.2">
      <c r="A18" s="296" t="s">
        <v>242</v>
      </c>
      <c r="B18" s="560" t="s">
        <v>1135</v>
      </c>
      <c r="C18" s="561"/>
      <c r="D18" s="562"/>
      <c r="E18" s="563"/>
      <c r="F18" s="563"/>
      <c r="G18" s="563"/>
      <c r="H18" s="563"/>
      <c r="I18" s="563"/>
      <c r="J18" s="564">
        <f t="shared" si="0"/>
        <v>0</v>
      </c>
      <c r="K18" s="563"/>
      <c r="L18" s="4"/>
      <c r="M18" s="4"/>
      <c r="N18" s="4"/>
      <c r="O18" s="4"/>
      <c r="P18" s="4"/>
      <c r="Q18" s="4"/>
      <c r="R18" s="4"/>
      <c r="S18" s="4"/>
      <c r="T18" s="4"/>
      <c r="U18" s="4"/>
      <c r="V18" s="4"/>
      <c r="W18" s="4"/>
      <c r="X18" s="4"/>
      <c r="Y18" s="4"/>
    </row>
    <row r="19" spans="1:25" ht="15" x14ac:dyDescent="0.2">
      <c r="A19" s="296" t="s">
        <v>243</v>
      </c>
      <c r="B19" s="560" t="s">
        <v>1136</v>
      </c>
      <c r="C19" s="561"/>
      <c r="D19" s="562"/>
      <c r="E19" s="563"/>
      <c r="F19" s="563"/>
      <c r="G19" s="563"/>
      <c r="H19" s="563"/>
      <c r="I19" s="563"/>
      <c r="J19" s="564">
        <f t="shared" si="0"/>
        <v>0</v>
      </c>
      <c r="K19" s="563"/>
      <c r="L19" s="4"/>
      <c r="M19" s="4"/>
      <c r="N19" s="4"/>
      <c r="O19" s="4"/>
      <c r="P19" s="4"/>
      <c r="Q19" s="4"/>
      <c r="R19" s="4"/>
      <c r="S19" s="4"/>
      <c r="T19" s="4"/>
      <c r="U19" s="4"/>
      <c r="V19" s="4"/>
      <c r="W19" s="4"/>
      <c r="X19" s="4"/>
      <c r="Y19" s="4"/>
    </row>
    <row r="20" spans="1:25" ht="15" x14ac:dyDescent="0.2">
      <c r="A20" s="296" t="s">
        <v>245</v>
      </c>
      <c r="B20" s="560" t="s">
        <v>1137</v>
      </c>
      <c r="C20" s="561"/>
      <c r="D20" s="562"/>
      <c r="E20" s="563"/>
      <c r="F20" s="563"/>
      <c r="G20" s="563"/>
      <c r="H20" s="563"/>
      <c r="I20" s="563"/>
      <c r="J20" s="564">
        <f t="shared" si="0"/>
        <v>0</v>
      </c>
      <c r="K20" s="563"/>
      <c r="L20" s="4"/>
      <c r="M20" s="4"/>
      <c r="N20" s="4"/>
      <c r="O20" s="4"/>
      <c r="P20" s="4"/>
      <c r="Q20" s="4"/>
      <c r="R20" s="4"/>
      <c r="S20" s="4"/>
      <c r="T20" s="4"/>
      <c r="U20" s="4"/>
      <c r="V20" s="4"/>
      <c r="W20" s="4"/>
      <c r="X20" s="4"/>
      <c r="Y20" s="4"/>
    </row>
    <row r="21" spans="1:25" ht="15" x14ac:dyDescent="0.2">
      <c r="A21" s="296" t="s">
        <v>247</v>
      </c>
      <c r="B21" s="560" t="s">
        <v>1138</v>
      </c>
      <c r="C21" s="561"/>
      <c r="D21" s="562"/>
      <c r="E21" s="563"/>
      <c r="F21" s="563"/>
      <c r="G21" s="563"/>
      <c r="H21" s="563"/>
      <c r="I21" s="563"/>
      <c r="J21" s="564">
        <f t="shared" si="0"/>
        <v>0</v>
      </c>
      <c r="K21" s="563"/>
      <c r="L21" s="4"/>
      <c r="M21" s="4"/>
      <c r="N21" s="4"/>
      <c r="O21" s="4"/>
      <c r="P21" s="4"/>
      <c r="Q21" s="4"/>
      <c r="R21" s="4"/>
      <c r="S21" s="4"/>
      <c r="T21" s="4"/>
      <c r="U21" s="4"/>
      <c r="V21" s="4"/>
      <c r="W21" s="4"/>
      <c r="X21" s="4"/>
      <c r="Y21" s="4"/>
    </row>
    <row r="22" spans="1:25" ht="15" x14ac:dyDescent="0.2">
      <c r="A22" s="296" t="s">
        <v>248</v>
      </c>
      <c r="B22" s="560" t="s">
        <v>1139</v>
      </c>
      <c r="C22" s="561"/>
      <c r="D22" s="562"/>
      <c r="E22" s="563"/>
      <c r="F22" s="563"/>
      <c r="G22" s="563"/>
      <c r="H22" s="563"/>
      <c r="I22" s="563"/>
      <c r="J22" s="564">
        <f t="shared" si="0"/>
        <v>0</v>
      </c>
      <c r="K22" s="563"/>
      <c r="L22" s="4"/>
      <c r="M22" s="4"/>
      <c r="N22" s="4"/>
      <c r="O22" s="4"/>
      <c r="P22" s="4"/>
      <c r="Q22" s="4"/>
      <c r="R22" s="4"/>
      <c r="S22" s="4"/>
      <c r="T22" s="4"/>
      <c r="U22" s="4"/>
      <c r="V22" s="4"/>
      <c r="W22" s="4"/>
      <c r="X22" s="4"/>
      <c r="Y22" s="4"/>
    </row>
    <row r="23" spans="1:25" ht="15" x14ac:dyDescent="0.2">
      <c r="A23" s="296" t="s">
        <v>249</v>
      </c>
      <c r="B23" s="560" t="s">
        <v>1140</v>
      </c>
      <c r="C23" s="561"/>
      <c r="D23" s="562"/>
      <c r="E23" s="563"/>
      <c r="F23" s="563"/>
      <c r="G23" s="563"/>
      <c r="H23" s="563"/>
      <c r="I23" s="563"/>
      <c r="J23" s="564">
        <f t="shared" si="0"/>
        <v>0</v>
      </c>
      <c r="K23" s="563"/>
      <c r="L23" s="4"/>
      <c r="M23" s="4"/>
      <c r="N23" s="4"/>
      <c r="O23" s="4"/>
      <c r="P23" s="4"/>
      <c r="Q23" s="4"/>
      <c r="R23" s="4"/>
      <c r="S23" s="4"/>
      <c r="T23" s="4"/>
      <c r="U23" s="4"/>
      <c r="V23" s="4"/>
      <c r="W23" s="4"/>
      <c r="X23" s="4"/>
      <c r="Y23" s="4"/>
    </row>
    <row r="24" spans="1:25" ht="15" x14ac:dyDescent="0.2">
      <c r="A24" s="296" t="s">
        <v>250</v>
      </c>
      <c r="B24" s="560" t="s">
        <v>1141</v>
      </c>
      <c r="C24" s="561"/>
      <c r="D24" s="562"/>
      <c r="E24" s="563"/>
      <c r="F24" s="563"/>
      <c r="G24" s="563"/>
      <c r="H24" s="563"/>
      <c r="I24" s="563"/>
      <c r="J24" s="564">
        <f t="shared" si="0"/>
        <v>0</v>
      </c>
      <c r="K24" s="563"/>
      <c r="L24" s="4"/>
      <c r="M24" s="4"/>
      <c r="N24" s="4"/>
      <c r="O24" s="4"/>
      <c r="P24" s="4"/>
      <c r="Q24" s="4"/>
      <c r="R24" s="4"/>
      <c r="S24" s="4"/>
      <c r="T24" s="4"/>
      <c r="U24" s="4"/>
      <c r="V24" s="4"/>
      <c r="W24" s="4"/>
      <c r="X24" s="4"/>
      <c r="Y24" s="4"/>
    </row>
    <row r="25" spans="1:25" ht="15" x14ac:dyDescent="0.2">
      <c r="A25" s="296" t="s">
        <v>251</v>
      </c>
      <c r="B25" s="560" t="s">
        <v>1142</v>
      </c>
      <c r="C25" s="561"/>
      <c r="D25" s="562"/>
      <c r="E25" s="563"/>
      <c r="F25" s="563"/>
      <c r="G25" s="563"/>
      <c r="H25" s="563"/>
      <c r="I25" s="563"/>
      <c r="J25" s="564">
        <f t="shared" si="0"/>
        <v>0</v>
      </c>
      <c r="K25" s="563"/>
      <c r="L25" s="4"/>
      <c r="M25" s="4"/>
      <c r="N25" s="4"/>
      <c r="O25" s="4"/>
      <c r="P25" s="4"/>
      <c r="Q25" s="4"/>
      <c r="R25" s="4"/>
      <c r="S25" s="4"/>
      <c r="T25" s="4"/>
      <c r="U25" s="4"/>
      <c r="V25" s="4"/>
      <c r="W25" s="4"/>
      <c r="X25" s="4"/>
      <c r="Y25" s="4"/>
    </row>
    <row r="26" spans="1:25" ht="15" x14ac:dyDescent="0.2">
      <c r="A26" s="296" t="s">
        <v>252</v>
      </c>
      <c r="B26" s="560" t="s">
        <v>1143</v>
      </c>
      <c r="C26" s="561"/>
      <c r="D26" s="562"/>
      <c r="E26" s="563"/>
      <c r="F26" s="563"/>
      <c r="G26" s="563"/>
      <c r="H26" s="563"/>
      <c r="I26" s="563"/>
      <c r="J26" s="564">
        <f t="shared" si="0"/>
        <v>0</v>
      </c>
      <c r="K26" s="563"/>
      <c r="L26" s="4"/>
      <c r="M26" s="4"/>
      <c r="N26" s="4"/>
      <c r="O26" s="4"/>
      <c r="P26" s="4"/>
      <c r="Q26" s="4"/>
      <c r="R26" s="4"/>
      <c r="S26" s="4"/>
      <c r="T26" s="4"/>
      <c r="U26" s="4"/>
      <c r="V26" s="4"/>
      <c r="W26" s="4"/>
      <c r="X26" s="4"/>
      <c r="Y26" s="4"/>
    </row>
    <row r="27" spans="1:25" ht="15" x14ac:dyDescent="0.2">
      <c r="A27" s="296" t="s">
        <v>253</v>
      </c>
      <c r="B27" s="560" t="s">
        <v>1144</v>
      </c>
      <c r="C27" s="561"/>
      <c r="D27" s="562"/>
      <c r="E27" s="563"/>
      <c r="F27" s="563"/>
      <c r="G27" s="563"/>
      <c r="H27" s="563"/>
      <c r="I27" s="563"/>
      <c r="J27" s="564">
        <f t="shared" si="0"/>
        <v>0</v>
      </c>
      <c r="K27" s="563"/>
      <c r="L27" s="4"/>
      <c r="M27" s="4"/>
      <c r="N27" s="4"/>
      <c r="O27" s="4"/>
      <c r="P27" s="4"/>
      <c r="Q27" s="4"/>
      <c r="R27" s="4"/>
      <c r="S27" s="4"/>
      <c r="T27" s="4"/>
      <c r="U27" s="4"/>
      <c r="V27" s="4"/>
      <c r="W27" s="4"/>
      <c r="X27" s="4"/>
      <c r="Y27" s="4"/>
    </row>
    <row r="28" spans="1:25" ht="15" x14ac:dyDescent="0.2">
      <c r="A28" s="296" t="s">
        <v>255</v>
      </c>
      <c r="B28" s="560" t="s">
        <v>1145</v>
      </c>
      <c r="C28" s="561"/>
      <c r="D28" s="562"/>
      <c r="E28" s="563"/>
      <c r="F28" s="563"/>
      <c r="G28" s="563"/>
      <c r="H28" s="563"/>
      <c r="I28" s="563"/>
      <c r="J28" s="564">
        <f t="shared" si="0"/>
        <v>0</v>
      </c>
      <c r="K28" s="563"/>
      <c r="L28" s="4"/>
      <c r="M28" s="4"/>
      <c r="N28" s="4"/>
      <c r="O28" s="4"/>
      <c r="P28" s="4"/>
      <c r="Q28" s="4"/>
      <c r="R28" s="4"/>
      <c r="S28" s="4"/>
      <c r="T28" s="4"/>
      <c r="U28" s="4"/>
      <c r="V28" s="4"/>
      <c r="W28" s="4"/>
      <c r="X28" s="4"/>
      <c r="Y28" s="4"/>
    </row>
    <row r="29" spans="1:25" ht="15" x14ac:dyDescent="0.2">
      <c r="A29" s="296" t="s">
        <v>256</v>
      </c>
      <c r="B29" s="560" t="s">
        <v>1146</v>
      </c>
      <c r="C29" s="561"/>
      <c r="D29" s="562"/>
      <c r="E29" s="563"/>
      <c r="F29" s="563"/>
      <c r="G29" s="563"/>
      <c r="H29" s="563"/>
      <c r="I29" s="563"/>
      <c r="J29" s="564">
        <f t="shared" si="0"/>
        <v>0</v>
      </c>
      <c r="K29" s="563"/>
      <c r="L29" s="4"/>
      <c r="M29" s="4"/>
      <c r="N29" s="4"/>
      <c r="O29" s="4"/>
      <c r="P29" s="4"/>
      <c r="Q29" s="4"/>
      <c r="R29" s="4"/>
      <c r="S29" s="4"/>
      <c r="T29" s="4"/>
      <c r="U29" s="4"/>
      <c r="V29" s="4"/>
      <c r="W29" s="4"/>
      <c r="X29" s="4"/>
      <c r="Y29" s="4"/>
    </row>
    <row r="30" spans="1:25" ht="15" x14ac:dyDescent="0.2">
      <c r="A30" s="296" t="s">
        <v>257</v>
      </c>
      <c r="B30" s="560" t="s">
        <v>1147</v>
      </c>
      <c r="C30" s="561"/>
      <c r="D30" s="562"/>
      <c r="E30" s="563"/>
      <c r="F30" s="563"/>
      <c r="G30" s="563"/>
      <c r="H30" s="563"/>
      <c r="I30" s="563"/>
      <c r="J30" s="564">
        <f t="shared" si="0"/>
        <v>0</v>
      </c>
      <c r="K30" s="563"/>
      <c r="L30" s="4"/>
      <c r="M30" s="4"/>
      <c r="N30" s="4"/>
      <c r="O30" s="4"/>
      <c r="P30" s="4"/>
      <c r="Q30" s="4"/>
      <c r="R30" s="4"/>
      <c r="S30" s="4"/>
      <c r="T30" s="4"/>
      <c r="U30" s="4"/>
      <c r="V30" s="4"/>
      <c r="W30" s="4"/>
      <c r="X30" s="4"/>
      <c r="Y30" s="4"/>
    </row>
    <row r="31" spans="1:25" ht="15" x14ac:dyDescent="0.2">
      <c r="A31" s="296" t="s">
        <v>259</v>
      </c>
      <c r="B31" s="560" t="s">
        <v>1148</v>
      </c>
      <c r="C31" s="561"/>
      <c r="D31" s="562"/>
      <c r="E31" s="563"/>
      <c r="F31" s="563"/>
      <c r="G31" s="563"/>
      <c r="H31" s="563"/>
      <c r="I31" s="563"/>
      <c r="J31" s="564">
        <f t="shared" si="0"/>
        <v>0</v>
      </c>
      <c r="K31" s="563"/>
      <c r="L31" s="4"/>
      <c r="M31" s="4"/>
      <c r="N31" s="4"/>
      <c r="O31" s="4"/>
      <c r="P31" s="4"/>
      <c r="Q31" s="4"/>
      <c r="R31" s="4"/>
      <c r="S31" s="4"/>
      <c r="T31" s="4"/>
      <c r="U31" s="4"/>
      <c r="V31" s="4"/>
      <c r="W31" s="4"/>
      <c r="X31" s="4"/>
      <c r="Y31" s="4"/>
    </row>
    <row r="32" spans="1:25" ht="15" x14ac:dyDescent="0.2">
      <c r="A32" s="296" t="s">
        <v>261</v>
      </c>
      <c r="B32" s="560" t="s">
        <v>1149</v>
      </c>
      <c r="C32" s="561"/>
      <c r="D32" s="562"/>
      <c r="E32" s="563"/>
      <c r="F32" s="563"/>
      <c r="G32" s="563"/>
      <c r="H32" s="563"/>
      <c r="I32" s="563"/>
      <c r="J32" s="564">
        <f t="shared" si="0"/>
        <v>0</v>
      </c>
      <c r="K32" s="563"/>
    </row>
    <row r="33" spans="1:25" ht="15" x14ac:dyDescent="0.2">
      <c r="A33" s="296" t="s">
        <v>262</v>
      </c>
      <c r="B33" s="560" t="s">
        <v>1150</v>
      </c>
      <c r="C33" s="561"/>
      <c r="D33" s="562"/>
      <c r="E33" s="563"/>
      <c r="F33" s="563"/>
      <c r="G33" s="563"/>
      <c r="H33" s="563"/>
      <c r="I33" s="563"/>
      <c r="J33" s="564">
        <f t="shared" si="0"/>
        <v>0</v>
      </c>
      <c r="K33" s="563"/>
      <c r="L33" s="4"/>
      <c r="M33" s="4"/>
      <c r="N33" s="4"/>
      <c r="O33" s="4"/>
      <c r="P33" s="4"/>
      <c r="Q33" s="4"/>
      <c r="R33" s="4"/>
      <c r="S33" s="4"/>
      <c r="T33" s="4"/>
      <c r="U33" s="4"/>
      <c r="V33" s="4"/>
      <c r="W33" s="4"/>
      <c r="X33" s="4"/>
      <c r="Y33" s="4"/>
    </row>
    <row r="34" spans="1:25" ht="15" x14ac:dyDescent="0.2">
      <c r="A34" s="296" t="s">
        <v>263</v>
      </c>
      <c r="B34" s="560" t="s">
        <v>1151</v>
      </c>
      <c r="C34" s="561"/>
      <c r="D34" s="562"/>
      <c r="E34" s="563"/>
      <c r="F34" s="563"/>
      <c r="G34" s="563"/>
      <c r="H34" s="563"/>
      <c r="I34" s="563"/>
      <c r="J34" s="564">
        <f t="shared" si="0"/>
        <v>0</v>
      </c>
      <c r="K34" s="563"/>
      <c r="L34" s="4"/>
      <c r="M34" s="4"/>
      <c r="N34" s="4"/>
      <c r="O34" s="4"/>
      <c r="P34" s="4"/>
      <c r="Q34" s="4"/>
      <c r="R34" s="4"/>
      <c r="S34" s="4"/>
      <c r="T34" s="4"/>
      <c r="U34" s="4"/>
      <c r="V34" s="4"/>
      <c r="W34" s="4"/>
      <c r="X34" s="4"/>
      <c r="Y34" s="4"/>
    </row>
    <row r="35" spans="1:25" ht="15" x14ac:dyDescent="0.2">
      <c r="A35" s="296" t="s">
        <v>451</v>
      </c>
      <c r="B35" s="560" t="s">
        <v>1152</v>
      </c>
      <c r="C35" s="561"/>
      <c r="D35" s="562"/>
      <c r="E35" s="563"/>
      <c r="F35" s="563"/>
      <c r="G35" s="563"/>
      <c r="H35" s="563"/>
      <c r="I35" s="563"/>
      <c r="J35" s="564">
        <f t="shared" si="0"/>
        <v>0</v>
      </c>
      <c r="K35" s="563"/>
      <c r="L35" s="4"/>
      <c r="M35" s="4"/>
      <c r="N35" s="4"/>
      <c r="O35" s="4"/>
      <c r="P35" s="4"/>
      <c r="Q35" s="4"/>
      <c r="R35" s="4"/>
      <c r="S35" s="4"/>
      <c r="T35" s="4"/>
      <c r="U35" s="4"/>
      <c r="V35" s="4"/>
      <c r="W35" s="4"/>
      <c r="X35" s="4"/>
      <c r="Y35" s="4"/>
    </row>
    <row r="36" spans="1:25" ht="15" x14ac:dyDescent="0.2">
      <c r="A36" s="296" t="s">
        <v>452</v>
      </c>
      <c r="B36" s="560" t="s">
        <v>1153</v>
      </c>
      <c r="C36" s="561"/>
      <c r="D36" s="562"/>
      <c r="E36" s="563"/>
      <c r="F36" s="563"/>
      <c r="G36" s="563"/>
      <c r="H36" s="563"/>
      <c r="I36" s="563"/>
      <c r="J36" s="564">
        <f t="shared" si="0"/>
        <v>0</v>
      </c>
      <c r="K36" s="563"/>
      <c r="L36" s="4"/>
      <c r="M36" s="4"/>
      <c r="N36" s="4"/>
      <c r="O36" s="4"/>
      <c r="P36" s="4"/>
      <c r="Q36" s="4"/>
      <c r="R36" s="4"/>
      <c r="S36" s="4"/>
      <c r="T36" s="4"/>
      <c r="U36" s="4"/>
      <c r="V36" s="4"/>
      <c r="W36" s="4"/>
      <c r="X36" s="4"/>
      <c r="Y36" s="4"/>
    </row>
    <row r="37" spans="1:25" ht="15" x14ac:dyDescent="0.2">
      <c r="A37" s="296" t="s">
        <v>453</v>
      </c>
      <c r="B37" s="560" t="s">
        <v>1154</v>
      </c>
      <c r="C37" s="561"/>
      <c r="D37" s="562"/>
      <c r="E37" s="563"/>
      <c r="F37" s="563"/>
      <c r="G37" s="563"/>
      <c r="H37" s="563"/>
      <c r="I37" s="563"/>
      <c r="J37" s="564">
        <f t="shared" si="0"/>
        <v>0</v>
      </c>
      <c r="K37" s="563"/>
      <c r="L37" s="4"/>
      <c r="M37" s="4"/>
      <c r="N37" s="4"/>
      <c r="O37" s="4"/>
      <c r="P37" s="4"/>
      <c r="Q37" s="4"/>
      <c r="R37" s="4"/>
      <c r="S37" s="4"/>
      <c r="T37" s="4"/>
      <c r="U37" s="4"/>
      <c r="V37" s="4"/>
      <c r="W37" s="4"/>
      <c r="X37" s="4"/>
      <c r="Y37" s="4"/>
    </row>
    <row r="38" spans="1:25" ht="15" x14ac:dyDescent="0.2">
      <c r="A38" s="296" t="s">
        <v>454</v>
      </c>
      <c r="B38" s="560" t="s">
        <v>1155</v>
      </c>
      <c r="C38" s="561"/>
      <c r="D38" s="562"/>
      <c r="E38" s="563"/>
      <c r="F38" s="563"/>
      <c r="G38" s="563"/>
      <c r="H38" s="563"/>
      <c r="I38" s="563"/>
      <c r="J38" s="564">
        <f t="shared" si="0"/>
        <v>0</v>
      </c>
      <c r="K38" s="563"/>
      <c r="L38" s="4"/>
      <c r="M38" s="4"/>
      <c r="N38" s="4"/>
      <c r="O38" s="4"/>
      <c r="P38" s="4"/>
      <c r="Q38" s="4"/>
      <c r="R38" s="4"/>
      <c r="S38" s="4"/>
      <c r="T38" s="4"/>
      <c r="U38" s="4"/>
      <c r="V38" s="4"/>
      <c r="W38" s="4"/>
      <c r="X38" s="4"/>
      <c r="Y38" s="4"/>
    </row>
    <row r="39" spans="1:25" ht="15" x14ac:dyDescent="0.2">
      <c r="A39" s="296" t="s">
        <v>455</v>
      </c>
      <c r="B39" s="560" t="s">
        <v>1156</v>
      </c>
      <c r="C39" s="561"/>
      <c r="D39" s="562"/>
      <c r="E39" s="563"/>
      <c r="F39" s="563"/>
      <c r="G39" s="563"/>
      <c r="H39" s="563"/>
      <c r="I39" s="563"/>
      <c r="J39" s="564">
        <f t="shared" si="0"/>
        <v>0</v>
      </c>
      <c r="K39" s="563"/>
      <c r="L39" s="4"/>
      <c r="M39" s="4"/>
      <c r="N39" s="4"/>
      <c r="O39" s="4"/>
      <c r="P39" s="4"/>
      <c r="Q39" s="4"/>
      <c r="R39" s="4"/>
      <c r="S39" s="4"/>
      <c r="T39" s="4"/>
      <c r="U39" s="4"/>
      <c r="V39" s="4"/>
      <c r="W39" s="4"/>
      <c r="X39" s="4"/>
      <c r="Y39" s="4"/>
    </row>
    <row r="40" spans="1:25" ht="15" x14ac:dyDescent="0.2">
      <c r="A40" s="296" t="s">
        <v>456</v>
      </c>
      <c r="B40" s="560" t="s">
        <v>1157</v>
      </c>
      <c r="C40" s="561"/>
      <c r="D40" s="562"/>
      <c r="E40" s="563"/>
      <c r="F40" s="563"/>
      <c r="G40" s="563"/>
      <c r="H40" s="563"/>
      <c r="I40" s="563"/>
      <c r="J40" s="564">
        <f t="shared" si="0"/>
        <v>0</v>
      </c>
      <c r="K40" s="563"/>
      <c r="L40" s="4"/>
      <c r="M40" s="4"/>
      <c r="N40" s="4"/>
      <c r="O40" s="4"/>
      <c r="P40" s="4"/>
      <c r="Q40" s="4"/>
      <c r="R40" s="4"/>
      <c r="S40" s="4"/>
      <c r="T40" s="4"/>
      <c r="U40" s="4"/>
      <c r="V40" s="4"/>
      <c r="W40" s="4"/>
      <c r="X40" s="4"/>
      <c r="Y40" s="4"/>
    </row>
    <row r="41" spans="1:25" ht="15" x14ac:dyDescent="0.2">
      <c r="A41" s="296" t="s">
        <v>457</v>
      </c>
      <c r="B41" s="560" t="s">
        <v>1158</v>
      </c>
      <c r="C41" s="561"/>
      <c r="D41" s="562"/>
      <c r="E41" s="563"/>
      <c r="F41" s="563"/>
      <c r="G41" s="563"/>
      <c r="H41" s="563"/>
      <c r="I41" s="563"/>
      <c r="J41" s="564">
        <f t="shared" si="0"/>
        <v>0</v>
      </c>
      <c r="K41" s="563"/>
      <c r="L41" s="4"/>
      <c r="M41" s="4"/>
      <c r="N41" s="4"/>
      <c r="O41" s="4"/>
      <c r="P41" s="4"/>
      <c r="Q41" s="4"/>
      <c r="R41" s="4"/>
      <c r="S41" s="4"/>
      <c r="T41" s="4"/>
      <c r="U41" s="4"/>
      <c r="V41" s="4"/>
      <c r="W41" s="4"/>
      <c r="X41" s="4"/>
      <c r="Y41" s="4"/>
    </row>
    <row r="42" spans="1:25" ht="15" x14ac:dyDescent="0.2">
      <c r="A42" s="296" t="s">
        <v>458</v>
      </c>
      <c r="B42" s="560" t="s">
        <v>1159</v>
      </c>
      <c r="C42" s="561"/>
      <c r="D42" s="562"/>
      <c r="E42" s="563"/>
      <c r="F42" s="563"/>
      <c r="G42" s="563"/>
      <c r="H42" s="563"/>
      <c r="I42" s="563"/>
      <c r="J42" s="564">
        <f t="shared" si="0"/>
        <v>0</v>
      </c>
      <c r="K42" s="563"/>
      <c r="L42" s="4"/>
      <c r="M42" s="4"/>
      <c r="N42" s="4"/>
      <c r="O42" s="4"/>
      <c r="P42" s="4"/>
      <c r="Q42" s="4"/>
      <c r="R42" s="4"/>
      <c r="S42" s="4"/>
      <c r="T42" s="4"/>
      <c r="U42" s="4"/>
      <c r="V42" s="4"/>
      <c r="W42" s="4"/>
      <c r="X42" s="4"/>
      <c r="Y42" s="4"/>
    </row>
    <row r="43" spans="1:25" ht="15" x14ac:dyDescent="0.2">
      <c r="A43" s="296" t="s">
        <v>975</v>
      </c>
      <c r="B43" s="560" t="s">
        <v>1160</v>
      </c>
      <c r="C43" s="563"/>
      <c r="D43" s="563"/>
      <c r="E43" s="563"/>
      <c r="F43" s="563"/>
      <c r="G43" s="563"/>
      <c r="H43" s="563"/>
      <c r="I43" s="563"/>
      <c r="J43" s="564">
        <f t="shared" si="0"/>
        <v>0</v>
      </c>
      <c r="K43" s="563"/>
      <c r="L43" s="4"/>
      <c r="M43" s="4"/>
      <c r="N43" s="4"/>
      <c r="O43" s="4"/>
      <c r="P43" s="4"/>
      <c r="Q43" s="4"/>
      <c r="R43" s="4"/>
      <c r="S43" s="4"/>
      <c r="T43" s="4"/>
      <c r="U43" s="4"/>
      <c r="V43" s="4"/>
      <c r="W43" s="4"/>
      <c r="X43" s="4"/>
      <c r="Y43" s="4"/>
    </row>
    <row r="44" spans="1:25" ht="15" x14ac:dyDescent="0.2">
      <c r="A44" s="296" t="s">
        <v>976</v>
      </c>
      <c r="B44" s="560" t="s">
        <v>1161</v>
      </c>
      <c r="C44" s="563"/>
      <c r="D44" s="563"/>
      <c r="E44" s="563"/>
      <c r="F44" s="563"/>
      <c r="G44" s="563"/>
      <c r="H44" s="563"/>
      <c r="I44" s="563"/>
      <c r="J44" s="564">
        <f t="shared" si="0"/>
        <v>0</v>
      </c>
      <c r="K44" s="563"/>
      <c r="L44" s="4"/>
      <c r="M44" s="4"/>
      <c r="N44" s="4"/>
      <c r="O44" s="4"/>
      <c r="P44" s="4"/>
      <c r="Q44" s="4"/>
      <c r="R44" s="4"/>
      <c r="S44" s="4"/>
      <c r="T44" s="4"/>
      <c r="U44" s="4"/>
      <c r="V44" s="4"/>
      <c r="W44" s="4"/>
      <c r="X44" s="4"/>
      <c r="Y44" s="4"/>
    </row>
    <row r="45" spans="1:25" ht="15" x14ac:dyDescent="0.2">
      <c r="A45" s="296" t="s">
        <v>977</v>
      </c>
      <c r="B45" s="560" t="s">
        <v>1162</v>
      </c>
      <c r="C45" s="563"/>
      <c r="D45" s="563"/>
      <c r="E45" s="563"/>
      <c r="F45" s="563"/>
      <c r="G45" s="563"/>
      <c r="H45" s="563"/>
      <c r="I45" s="563"/>
      <c r="J45" s="564">
        <f t="shared" si="0"/>
        <v>0</v>
      </c>
      <c r="K45" s="563"/>
      <c r="L45" s="4"/>
      <c r="M45" s="4"/>
      <c r="N45" s="4"/>
      <c r="O45" s="4"/>
      <c r="P45" s="4"/>
      <c r="Q45" s="4"/>
      <c r="R45" s="4"/>
      <c r="S45" s="4"/>
      <c r="T45" s="4"/>
      <c r="U45" s="4"/>
      <c r="V45" s="4"/>
      <c r="W45" s="4"/>
      <c r="X45" s="4"/>
      <c r="Y45" s="4"/>
    </row>
    <row r="46" spans="1:25" ht="15" x14ac:dyDescent="0.2">
      <c r="A46" s="296" t="s">
        <v>978</v>
      </c>
      <c r="B46" s="560" t="s">
        <v>1163</v>
      </c>
      <c r="C46" s="563"/>
      <c r="D46" s="563"/>
      <c r="E46" s="563"/>
      <c r="F46" s="563"/>
      <c r="G46" s="563"/>
      <c r="H46" s="563"/>
      <c r="I46" s="563"/>
      <c r="J46" s="564">
        <f t="shared" si="0"/>
        <v>0</v>
      </c>
      <c r="K46" s="563"/>
      <c r="L46" s="4"/>
      <c r="M46" s="4"/>
      <c r="N46" s="4"/>
      <c r="O46" s="4"/>
      <c r="P46" s="4"/>
      <c r="Q46" s="4"/>
      <c r="R46" s="4"/>
      <c r="S46" s="4"/>
      <c r="T46" s="4"/>
      <c r="U46" s="4"/>
      <c r="V46" s="4"/>
      <c r="W46" s="4"/>
      <c r="X46" s="4"/>
      <c r="Y46" s="4"/>
    </row>
    <row r="47" spans="1:25" ht="15" x14ac:dyDescent="0.2">
      <c r="A47" s="296" t="s">
        <v>979</v>
      </c>
      <c r="B47" s="560" t="s">
        <v>1164</v>
      </c>
      <c r="C47" s="563"/>
      <c r="D47" s="563"/>
      <c r="E47" s="563"/>
      <c r="F47" s="563"/>
      <c r="G47" s="563"/>
      <c r="H47" s="563"/>
      <c r="I47" s="563"/>
      <c r="J47" s="564">
        <f t="shared" si="0"/>
        <v>0</v>
      </c>
      <c r="K47" s="563"/>
      <c r="L47" s="4"/>
      <c r="M47" s="4"/>
      <c r="N47" s="4"/>
      <c r="O47" s="4"/>
      <c r="P47" s="4"/>
      <c r="Q47" s="4"/>
      <c r="R47" s="4"/>
      <c r="S47" s="4"/>
      <c r="T47" s="4"/>
      <c r="U47" s="4"/>
      <c r="V47" s="4"/>
      <c r="W47" s="4"/>
      <c r="X47" s="4"/>
      <c r="Y47" s="4"/>
    </row>
    <row r="48" spans="1:25" ht="15" x14ac:dyDescent="0.2">
      <c r="A48" s="296" t="s">
        <v>980</v>
      </c>
      <c r="B48" s="560" t="s">
        <v>1165</v>
      </c>
      <c r="C48" s="563"/>
      <c r="D48" s="563"/>
      <c r="E48" s="563"/>
      <c r="F48" s="563"/>
      <c r="G48" s="563"/>
      <c r="H48" s="563"/>
      <c r="I48" s="563"/>
      <c r="J48" s="564">
        <f t="shared" si="0"/>
        <v>0</v>
      </c>
      <c r="K48" s="563"/>
      <c r="L48" s="4"/>
      <c r="M48" s="4"/>
      <c r="N48" s="4"/>
      <c r="O48" s="4"/>
      <c r="P48" s="4"/>
      <c r="Q48" s="4"/>
      <c r="R48" s="4"/>
      <c r="S48" s="4"/>
      <c r="T48" s="4"/>
      <c r="U48" s="4"/>
      <c r="V48" s="4"/>
      <c r="W48" s="4"/>
      <c r="X48" s="4"/>
      <c r="Y48" s="4"/>
    </row>
    <row r="49" spans="1:25" ht="15" x14ac:dyDescent="0.2">
      <c r="A49" s="296" t="s">
        <v>981</v>
      </c>
      <c r="B49" s="560" t="s">
        <v>1166</v>
      </c>
      <c r="C49" s="563"/>
      <c r="D49" s="563"/>
      <c r="E49" s="563"/>
      <c r="F49" s="563"/>
      <c r="G49" s="563"/>
      <c r="H49" s="563"/>
      <c r="I49" s="563"/>
      <c r="J49" s="564">
        <f t="shared" si="0"/>
        <v>0</v>
      </c>
      <c r="K49" s="563"/>
      <c r="L49" s="4"/>
      <c r="M49" s="4"/>
      <c r="N49" s="4"/>
      <c r="O49" s="4"/>
      <c r="P49" s="4"/>
      <c r="Q49" s="4"/>
      <c r="R49" s="4"/>
      <c r="S49" s="4"/>
      <c r="T49" s="4"/>
      <c r="U49" s="4"/>
      <c r="V49" s="4"/>
      <c r="W49" s="4"/>
      <c r="X49" s="4"/>
      <c r="Y49" s="4"/>
    </row>
    <row r="50" spans="1:25" ht="15" x14ac:dyDescent="0.2">
      <c r="A50" s="296" t="s">
        <v>982</v>
      </c>
      <c r="B50" s="560" t="s">
        <v>1167</v>
      </c>
      <c r="C50" s="563"/>
      <c r="D50" s="563"/>
      <c r="E50" s="563"/>
      <c r="F50" s="563"/>
      <c r="G50" s="563"/>
      <c r="H50" s="563"/>
      <c r="I50" s="563"/>
      <c r="J50" s="564">
        <f t="shared" si="0"/>
        <v>0</v>
      </c>
      <c r="K50" s="563"/>
      <c r="L50" s="4"/>
      <c r="M50" s="4"/>
      <c r="N50" s="4"/>
      <c r="O50" s="4"/>
      <c r="P50" s="4"/>
      <c r="Q50" s="4"/>
      <c r="R50" s="4"/>
      <c r="S50" s="4"/>
      <c r="T50" s="4"/>
      <c r="U50" s="4"/>
      <c r="V50" s="4"/>
      <c r="W50" s="4"/>
      <c r="X50" s="4"/>
      <c r="Y50" s="4"/>
    </row>
    <row r="51" spans="1:25" ht="15" x14ac:dyDescent="0.2">
      <c r="A51" s="296" t="s">
        <v>983</v>
      </c>
      <c r="B51" s="560" t="s">
        <v>1168</v>
      </c>
      <c r="C51" s="563"/>
      <c r="D51" s="563"/>
      <c r="E51" s="563"/>
      <c r="F51" s="563"/>
      <c r="G51" s="563"/>
      <c r="H51" s="563"/>
      <c r="I51" s="563"/>
      <c r="J51" s="564">
        <f>SUM(D51,E51,G51:I51)</f>
        <v>0</v>
      </c>
      <c r="K51" s="563"/>
      <c r="L51" s="4"/>
      <c r="M51" s="4"/>
      <c r="N51" s="4"/>
      <c r="O51" s="4"/>
      <c r="P51" s="4"/>
      <c r="Q51" s="4"/>
      <c r="R51" s="4"/>
      <c r="S51" s="4"/>
      <c r="T51" s="4"/>
      <c r="U51" s="4"/>
      <c r="V51" s="4"/>
      <c r="W51" s="4"/>
      <c r="X51" s="4"/>
      <c r="Y51" s="4"/>
    </row>
    <row r="52" spans="1:25" ht="15" x14ac:dyDescent="0.2">
      <c r="A52" s="296" t="s">
        <v>984</v>
      </c>
      <c r="B52" s="560" t="s">
        <v>1169</v>
      </c>
      <c r="C52" s="563"/>
      <c r="D52" s="563"/>
      <c r="E52" s="563"/>
      <c r="F52" s="563"/>
      <c r="G52" s="563"/>
      <c r="H52" s="563"/>
      <c r="I52" s="563"/>
      <c r="J52" s="564">
        <f t="shared" si="0"/>
        <v>0</v>
      </c>
      <c r="K52" s="563"/>
      <c r="L52" s="4"/>
      <c r="M52" s="4"/>
      <c r="N52" s="4"/>
      <c r="O52" s="4"/>
      <c r="P52" s="4"/>
      <c r="Q52" s="4"/>
      <c r="R52" s="4"/>
      <c r="S52" s="4"/>
      <c r="T52" s="4"/>
      <c r="U52" s="4"/>
      <c r="V52" s="4"/>
      <c r="W52" s="4"/>
      <c r="X52" s="4"/>
      <c r="Y52" s="4"/>
    </row>
    <row r="53" spans="1:25" ht="15" x14ac:dyDescent="0.2">
      <c r="A53" s="296" t="s">
        <v>985</v>
      </c>
      <c r="B53" s="560" t="s">
        <v>1170</v>
      </c>
      <c r="C53" s="563"/>
      <c r="D53" s="563"/>
      <c r="E53" s="563"/>
      <c r="F53" s="563"/>
      <c r="G53" s="563"/>
      <c r="H53" s="563"/>
      <c r="I53" s="563"/>
      <c r="J53" s="564">
        <f>SUM(D53,E53,G53:I53)</f>
        <v>0</v>
      </c>
      <c r="K53" s="563"/>
      <c r="L53" s="4"/>
      <c r="M53" s="4"/>
      <c r="N53" s="4"/>
      <c r="O53" s="4"/>
      <c r="P53" s="4"/>
      <c r="Q53" s="4"/>
      <c r="R53" s="4"/>
      <c r="S53" s="4"/>
      <c r="T53" s="4"/>
      <c r="U53" s="4"/>
      <c r="V53" s="4"/>
      <c r="W53" s="4"/>
      <c r="X53" s="4"/>
      <c r="Y53" s="4"/>
    </row>
    <row r="54" spans="1:25" ht="15" x14ac:dyDescent="0.2">
      <c r="A54" s="296" t="s">
        <v>986</v>
      </c>
      <c r="B54" s="560" t="s">
        <v>1171</v>
      </c>
      <c r="C54" s="563"/>
      <c r="D54" s="563"/>
      <c r="E54" s="563"/>
      <c r="F54" s="563"/>
      <c r="G54" s="563"/>
      <c r="H54" s="563"/>
      <c r="I54" s="563"/>
      <c r="J54" s="564">
        <f t="shared" si="0"/>
        <v>0</v>
      </c>
      <c r="K54" s="563"/>
      <c r="L54" s="4"/>
      <c r="M54" s="4"/>
      <c r="N54" s="4"/>
      <c r="O54" s="4"/>
      <c r="P54" s="4"/>
      <c r="Q54" s="4"/>
      <c r="R54" s="4"/>
      <c r="S54" s="4"/>
      <c r="T54" s="4"/>
      <c r="U54" s="4"/>
      <c r="V54" s="4"/>
      <c r="W54" s="4"/>
      <c r="X54" s="4"/>
      <c r="Y54" s="4"/>
    </row>
    <row r="55" spans="1:25" ht="15" x14ac:dyDescent="0.2">
      <c r="A55" s="296" t="s">
        <v>987</v>
      </c>
      <c r="B55" s="560" t="s">
        <v>1172</v>
      </c>
      <c r="C55" s="563"/>
      <c r="D55" s="563"/>
      <c r="E55" s="563"/>
      <c r="F55" s="563"/>
      <c r="G55" s="563"/>
      <c r="H55" s="563"/>
      <c r="I55" s="563"/>
      <c r="J55" s="564">
        <f t="shared" si="0"/>
        <v>0</v>
      </c>
      <c r="K55" s="563"/>
      <c r="L55" s="4"/>
      <c r="M55" s="4"/>
      <c r="N55" s="4"/>
      <c r="O55" s="4"/>
      <c r="P55" s="4"/>
      <c r="Q55" s="4"/>
      <c r="R55" s="4"/>
      <c r="S55" s="4"/>
      <c r="T55" s="4"/>
      <c r="U55" s="4"/>
      <c r="V55" s="4"/>
      <c r="W55" s="4"/>
      <c r="X55" s="4"/>
      <c r="Y55" s="4"/>
    </row>
    <row r="56" spans="1:25" ht="15" x14ac:dyDescent="0.2">
      <c r="A56" s="296" t="s">
        <v>988</v>
      </c>
      <c r="B56" s="560" t="s">
        <v>1173</v>
      </c>
      <c r="C56" s="563"/>
      <c r="D56" s="563"/>
      <c r="E56" s="563"/>
      <c r="F56" s="563"/>
      <c r="G56" s="563"/>
      <c r="H56" s="563"/>
      <c r="I56" s="563"/>
      <c r="J56" s="564">
        <f t="shared" si="0"/>
        <v>0</v>
      </c>
      <c r="K56" s="563"/>
      <c r="L56" s="4"/>
      <c r="M56" s="4"/>
      <c r="N56" s="4"/>
      <c r="O56" s="4"/>
      <c r="P56" s="4"/>
      <c r="Q56" s="4"/>
      <c r="R56" s="4"/>
      <c r="S56" s="4"/>
      <c r="T56" s="4"/>
      <c r="U56" s="4"/>
      <c r="V56" s="4"/>
      <c r="W56" s="4"/>
      <c r="X56" s="4"/>
      <c r="Y56" s="4"/>
    </row>
    <row r="57" spans="1:25" ht="15" x14ac:dyDescent="0.2">
      <c r="A57" s="296" t="s">
        <v>989</v>
      </c>
      <c r="B57" s="560" t="s">
        <v>1174</v>
      </c>
      <c r="C57" s="563"/>
      <c r="D57" s="563"/>
      <c r="E57" s="563"/>
      <c r="F57" s="563"/>
      <c r="G57" s="563"/>
      <c r="H57" s="563"/>
      <c r="I57" s="563"/>
      <c r="J57" s="564">
        <f t="shared" si="0"/>
        <v>0</v>
      </c>
      <c r="K57" s="563"/>
      <c r="L57" s="4"/>
      <c r="M57" s="4"/>
      <c r="N57" s="4"/>
      <c r="O57" s="4"/>
      <c r="P57" s="4"/>
      <c r="Q57" s="4"/>
      <c r="R57" s="4"/>
      <c r="S57" s="4"/>
      <c r="T57" s="4"/>
      <c r="U57" s="4"/>
      <c r="V57" s="4"/>
      <c r="W57" s="4"/>
      <c r="X57" s="4"/>
      <c r="Y57" s="4"/>
    </row>
    <row r="58" spans="1:25" ht="15" x14ac:dyDescent="0.2">
      <c r="A58" s="296" t="s">
        <v>990</v>
      </c>
      <c r="B58" s="560" t="s">
        <v>272</v>
      </c>
      <c r="C58" s="563"/>
      <c r="D58" s="563"/>
      <c r="E58" s="563"/>
      <c r="F58" s="563"/>
      <c r="G58" s="563"/>
      <c r="H58" s="563"/>
      <c r="I58" s="563"/>
      <c r="J58" s="564">
        <f t="shared" si="0"/>
        <v>0</v>
      </c>
      <c r="K58" s="563"/>
      <c r="L58" s="4"/>
      <c r="M58" s="4"/>
      <c r="N58" s="4"/>
      <c r="O58" s="4"/>
      <c r="P58" s="4"/>
      <c r="Q58" s="4"/>
      <c r="R58" s="4"/>
      <c r="S58" s="4"/>
      <c r="T58" s="4"/>
      <c r="U58" s="4"/>
      <c r="V58" s="4"/>
      <c r="W58" s="4"/>
      <c r="X58" s="4"/>
      <c r="Y58" s="4"/>
    </row>
    <row r="59" spans="1:25" ht="15" x14ac:dyDescent="0.2">
      <c r="A59" s="296" t="s">
        <v>991</v>
      </c>
      <c r="B59" s="560" t="s">
        <v>274</v>
      </c>
      <c r="C59" s="563"/>
      <c r="D59" s="563"/>
      <c r="E59" s="563"/>
      <c r="F59" s="563"/>
      <c r="G59" s="563"/>
      <c r="H59" s="563"/>
      <c r="I59" s="563"/>
      <c r="J59" s="564">
        <f t="shared" si="0"/>
        <v>0</v>
      </c>
      <c r="K59" s="563"/>
      <c r="L59" s="4"/>
      <c r="M59" s="4"/>
      <c r="N59" s="4"/>
      <c r="O59" s="4"/>
      <c r="P59" s="4"/>
      <c r="Q59" s="4"/>
      <c r="R59" s="4"/>
      <c r="S59" s="4"/>
      <c r="T59" s="4"/>
      <c r="U59" s="4"/>
      <c r="V59" s="4"/>
      <c r="W59" s="4"/>
      <c r="X59" s="4"/>
      <c r="Y59" s="4"/>
    </row>
    <row r="60" spans="1:25" ht="15" x14ac:dyDescent="0.2">
      <c r="A60" s="296" t="s">
        <v>992</v>
      </c>
      <c r="B60" s="560" t="s">
        <v>266</v>
      </c>
      <c r="C60" s="563"/>
      <c r="D60" s="563"/>
      <c r="E60" s="563"/>
      <c r="F60" s="563"/>
      <c r="G60" s="563"/>
      <c r="H60" s="563"/>
      <c r="I60" s="563"/>
      <c r="J60" s="564">
        <f t="shared" si="0"/>
        <v>0</v>
      </c>
      <c r="K60" s="563"/>
      <c r="L60" s="4"/>
      <c r="M60" s="4"/>
      <c r="N60" s="4"/>
      <c r="O60" s="4"/>
      <c r="P60" s="4"/>
      <c r="Q60" s="4"/>
      <c r="R60" s="4"/>
      <c r="S60" s="4"/>
      <c r="T60" s="4"/>
      <c r="U60" s="4"/>
      <c r="V60" s="4"/>
      <c r="W60" s="4"/>
      <c r="X60" s="4"/>
      <c r="Y60" s="4"/>
    </row>
    <row r="61" spans="1:25" ht="15" x14ac:dyDescent="0.2">
      <c r="A61" s="296" t="s">
        <v>993</v>
      </c>
      <c r="B61" s="560" t="s">
        <v>271</v>
      </c>
      <c r="C61" s="563"/>
      <c r="D61" s="563"/>
      <c r="E61" s="563"/>
      <c r="F61" s="563"/>
      <c r="G61" s="563"/>
      <c r="H61" s="563"/>
      <c r="I61" s="563"/>
      <c r="J61" s="564">
        <f t="shared" si="0"/>
        <v>0</v>
      </c>
      <c r="K61" s="563"/>
      <c r="L61" s="4"/>
      <c r="M61" s="4"/>
      <c r="N61" s="4"/>
      <c r="O61" s="4"/>
      <c r="P61" s="4"/>
      <c r="Q61" s="4"/>
      <c r="R61" s="4"/>
      <c r="S61" s="4"/>
      <c r="T61" s="4"/>
      <c r="U61" s="4"/>
      <c r="V61" s="4"/>
      <c r="W61" s="4"/>
      <c r="X61" s="4"/>
      <c r="Y61" s="4"/>
    </row>
    <row r="62" spans="1:25" ht="15" x14ac:dyDescent="0.2">
      <c r="A62" s="296" t="s">
        <v>994</v>
      </c>
      <c r="B62" s="565" t="s">
        <v>268</v>
      </c>
      <c r="C62" s="563"/>
      <c r="D62" s="563"/>
      <c r="E62" s="563"/>
      <c r="F62" s="563"/>
      <c r="G62" s="563"/>
      <c r="H62" s="563"/>
      <c r="I62" s="563"/>
      <c r="J62" s="564">
        <f t="shared" si="0"/>
        <v>0</v>
      </c>
      <c r="K62" s="563"/>
      <c r="L62" s="4"/>
      <c r="M62" s="4"/>
      <c r="N62" s="4"/>
      <c r="O62" s="4"/>
      <c r="P62" s="4"/>
      <c r="Q62" s="4"/>
      <c r="R62" s="4"/>
      <c r="S62" s="4"/>
      <c r="T62" s="4"/>
      <c r="U62" s="4"/>
      <c r="V62" s="4"/>
      <c r="W62" s="4"/>
      <c r="X62" s="4"/>
      <c r="Y62" s="4"/>
    </row>
    <row r="63" spans="1:25" ht="15" x14ac:dyDescent="0.2">
      <c r="A63" s="296" t="s">
        <v>1175</v>
      </c>
      <c r="B63" s="565" t="s">
        <v>1176</v>
      </c>
      <c r="C63" s="563"/>
      <c r="D63" s="563"/>
      <c r="E63" s="563"/>
      <c r="F63" s="563"/>
      <c r="G63" s="563"/>
      <c r="H63" s="563"/>
      <c r="I63" s="563"/>
      <c r="J63" s="564">
        <f t="shared" si="0"/>
        <v>0</v>
      </c>
      <c r="K63" s="563"/>
      <c r="L63" s="4"/>
      <c r="M63" s="4"/>
      <c r="N63" s="4"/>
      <c r="O63" s="4"/>
      <c r="P63" s="4"/>
      <c r="Q63" s="4"/>
      <c r="R63" s="4"/>
      <c r="S63" s="4"/>
      <c r="T63" s="4"/>
      <c r="U63" s="4"/>
      <c r="V63" s="4"/>
      <c r="W63" s="4"/>
      <c r="X63" s="4"/>
      <c r="Y63" s="4"/>
    </row>
    <row r="64" spans="1:25" ht="15" x14ac:dyDescent="0.2">
      <c r="A64" s="296" t="s">
        <v>1177</v>
      </c>
      <c r="B64" s="565" t="s">
        <v>270</v>
      </c>
      <c r="C64" s="563"/>
      <c r="D64" s="563"/>
      <c r="E64" s="563"/>
      <c r="F64" s="563"/>
      <c r="G64" s="563"/>
      <c r="H64" s="563"/>
      <c r="I64" s="563"/>
      <c r="J64" s="564">
        <f t="shared" si="0"/>
        <v>0</v>
      </c>
      <c r="K64" s="563"/>
      <c r="L64" s="4"/>
      <c r="M64" s="4"/>
      <c r="N64" s="4"/>
      <c r="O64" s="4"/>
      <c r="P64" s="4"/>
      <c r="Q64" s="4"/>
      <c r="R64" s="4"/>
      <c r="S64" s="4"/>
      <c r="T64" s="4"/>
      <c r="U64" s="4"/>
      <c r="V64" s="4"/>
      <c r="W64" s="4"/>
      <c r="X64" s="4"/>
      <c r="Y64" s="4"/>
    </row>
    <row r="65" spans="1:25" ht="15" x14ac:dyDescent="0.2">
      <c r="A65" s="296" t="s">
        <v>1178</v>
      </c>
      <c r="B65" s="565" t="s">
        <v>265</v>
      </c>
      <c r="C65" s="563"/>
      <c r="D65" s="563"/>
      <c r="E65" s="563"/>
      <c r="F65" s="563"/>
      <c r="G65" s="563"/>
      <c r="H65" s="563"/>
      <c r="I65" s="563"/>
      <c r="J65" s="564">
        <f t="shared" si="0"/>
        <v>0</v>
      </c>
      <c r="K65" s="563"/>
      <c r="L65" s="4"/>
      <c r="M65" s="4"/>
      <c r="N65" s="4"/>
      <c r="O65" s="4"/>
      <c r="P65" s="4"/>
      <c r="Q65" s="4"/>
      <c r="R65" s="4"/>
      <c r="S65" s="4"/>
      <c r="T65" s="4"/>
      <c r="U65" s="4"/>
      <c r="V65" s="4"/>
      <c r="W65" s="4"/>
      <c r="X65" s="4"/>
      <c r="Y65" s="4"/>
    </row>
    <row r="66" spans="1:25" ht="15" x14ac:dyDescent="0.2">
      <c r="A66" s="296" t="s">
        <v>1179</v>
      </c>
      <c r="B66" s="565" t="s">
        <v>1180</v>
      </c>
      <c r="C66" s="563"/>
      <c r="D66" s="563"/>
      <c r="E66" s="563"/>
      <c r="F66" s="563"/>
      <c r="G66" s="563"/>
      <c r="H66" s="563"/>
      <c r="I66" s="563"/>
      <c r="J66" s="564">
        <f t="shared" si="0"/>
        <v>0</v>
      </c>
      <c r="K66" s="563"/>
      <c r="L66" s="4"/>
      <c r="M66" s="4"/>
      <c r="N66" s="4"/>
      <c r="O66" s="4"/>
      <c r="P66" s="4"/>
      <c r="Q66" s="4"/>
      <c r="R66" s="4"/>
      <c r="S66" s="4"/>
      <c r="T66" s="4"/>
      <c r="U66" s="4"/>
      <c r="V66" s="4"/>
      <c r="W66" s="4"/>
      <c r="X66" s="4"/>
      <c r="Y66" s="4"/>
    </row>
    <row r="67" spans="1:25" ht="15" x14ac:dyDescent="0.2">
      <c r="A67" s="296" t="s">
        <v>1181</v>
      </c>
      <c r="B67" s="565" t="s">
        <v>273</v>
      </c>
      <c r="C67" s="563"/>
      <c r="D67" s="563"/>
      <c r="E67" s="563"/>
      <c r="F67" s="563"/>
      <c r="G67" s="563"/>
      <c r="H67" s="563"/>
      <c r="I67" s="563"/>
      <c r="J67" s="564">
        <f t="shared" si="0"/>
        <v>0</v>
      </c>
      <c r="K67" s="563"/>
      <c r="L67" s="4"/>
      <c r="M67" s="4"/>
      <c r="N67" s="4"/>
      <c r="O67" s="4"/>
      <c r="P67" s="4"/>
      <c r="Q67" s="4"/>
      <c r="R67" s="4"/>
      <c r="S67" s="4"/>
      <c r="T67" s="4"/>
      <c r="U67" s="4"/>
      <c r="V67" s="4"/>
      <c r="W67" s="4"/>
      <c r="X67" s="4"/>
      <c r="Y67" s="4"/>
    </row>
    <row r="68" spans="1:25" ht="15" x14ac:dyDescent="0.2">
      <c r="A68" s="296" t="s">
        <v>1182</v>
      </c>
      <c r="B68" s="560" t="s">
        <v>267</v>
      </c>
      <c r="C68" s="563"/>
      <c r="D68" s="563"/>
      <c r="E68" s="563"/>
      <c r="F68" s="563"/>
      <c r="G68" s="563"/>
      <c r="H68" s="563"/>
      <c r="I68" s="563"/>
      <c r="J68" s="564">
        <f t="shared" si="0"/>
        <v>0</v>
      </c>
      <c r="K68" s="563"/>
      <c r="L68" s="4"/>
      <c r="M68" s="4"/>
      <c r="N68" s="4"/>
      <c r="O68" s="4"/>
      <c r="P68" s="4"/>
      <c r="Q68" s="4"/>
      <c r="R68" s="4"/>
      <c r="S68" s="4"/>
      <c r="T68" s="4"/>
      <c r="U68" s="4"/>
      <c r="V68" s="4"/>
      <c r="W68" s="4"/>
      <c r="X68" s="4"/>
      <c r="Y68" s="4"/>
    </row>
    <row r="69" spans="1:25" x14ac:dyDescent="0.2">
      <c r="A69" s="296" t="s">
        <v>1183</v>
      </c>
      <c r="B69" s="29" t="s">
        <v>450</v>
      </c>
      <c r="C69" s="563"/>
      <c r="D69" s="563"/>
      <c r="E69" s="563"/>
      <c r="F69" s="563"/>
      <c r="G69" s="563"/>
      <c r="H69" s="563"/>
      <c r="I69" s="563"/>
      <c r="J69" s="564">
        <f t="shared" si="0"/>
        <v>0</v>
      </c>
      <c r="K69" s="563"/>
      <c r="L69" s="4"/>
      <c r="M69" s="4"/>
      <c r="N69" s="4"/>
      <c r="O69" s="4"/>
      <c r="P69" s="4"/>
      <c r="Q69" s="4"/>
      <c r="R69" s="4"/>
      <c r="S69" s="4"/>
      <c r="T69" s="4"/>
      <c r="U69" s="4"/>
      <c r="V69" s="4"/>
      <c r="W69" s="4"/>
      <c r="X69" s="4"/>
      <c r="Y69" s="4"/>
    </row>
    <row r="70" spans="1:25" x14ac:dyDescent="0.2">
      <c r="A70" s="296" t="s">
        <v>1184</v>
      </c>
      <c r="B70" s="29" t="s">
        <v>450</v>
      </c>
      <c r="C70" s="563"/>
      <c r="D70" s="563"/>
      <c r="E70" s="563"/>
      <c r="F70" s="563"/>
      <c r="G70" s="563"/>
      <c r="H70" s="563"/>
      <c r="I70" s="563"/>
      <c r="J70" s="564">
        <f t="shared" si="0"/>
        <v>0</v>
      </c>
      <c r="K70" s="563"/>
      <c r="L70" s="4"/>
      <c r="M70" s="4"/>
      <c r="N70" s="4"/>
      <c r="O70" s="4"/>
      <c r="P70" s="4"/>
      <c r="Q70" s="4"/>
      <c r="R70" s="4"/>
      <c r="S70" s="4"/>
      <c r="T70" s="4"/>
      <c r="U70" s="4"/>
      <c r="V70" s="4"/>
      <c r="W70" s="4"/>
      <c r="X70" s="4"/>
      <c r="Y70" s="4"/>
    </row>
    <row r="71" spans="1:25" x14ac:dyDescent="0.2">
      <c r="A71" s="296" t="s">
        <v>1185</v>
      </c>
      <c r="B71" s="29" t="s">
        <v>450</v>
      </c>
      <c r="C71" s="563"/>
      <c r="D71" s="563"/>
      <c r="E71" s="563"/>
      <c r="F71" s="563"/>
      <c r="G71" s="563"/>
      <c r="H71" s="563"/>
      <c r="I71" s="563"/>
      <c r="J71" s="564">
        <f t="shared" si="0"/>
        <v>0</v>
      </c>
      <c r="K71" s="563"/>
      <c r="L71" s="4"/>
      <c r="M71" s="4"/>
      <c r="N71" s="4"/>
      <c r="O71" s="4"/>
      <c r="P71" s="4"/>
      <c r="Q71" s="4"/>
      <c r="R71" s="4"/>
      <c r="S71" s="4"/>
      <c r="T71" s="4"/>
      <c r="U71" s="4"/>
      <c r="V71" s="4"/>
      <c r="W71" s="4"/>
      <c r="X71" s="4"/>
      <c r="Y71" s="4"/>
    </row>
    <row r="72" spans="1:25" x14ac:dyDescent="0.2">
      <c r="A72" s="296" t="s">
        <v>1186</v>
      </c>
      <c r="B72" s="29" t="s">
        <v>450</v>
      </c>
      <c r="C72" s="563"/>
      <c r="D72" s="563"/>
      <c r="E72" s="563"/>
      <c r="F72" s="563"/>
      <c r="G72" s="563"/>
      <c r="H72" s="563"/>
      <c r="I72" s="563"/>
      <c r="J72" s="564">
        <f t="shared" si="0"/>
        <v>0</v>
      </c>
      <c r="K72" s="563"/>
      <c r="L72" s="4"/>
      <c r="M72" s="4"/>
      <c r="N72" s="4"/>
      <c r="O72" s="4"/>
      <c r="P72" s="4"/>
      <c r="Q72" s="4"/>
      <c r="R72" s="4"/>
      <c r="S72" s="4"/>
      <c r="T72" s="4"/>
      <c r="U72" s="4"/>
      <c r="V72" s="4"/>
      <c r="W72" s="4"/>
      <c r="X72" s="4"/>
      <c r="Y72" s="4"/>
    </row>
    <row r="73" spans="1:25" x14ac:dyDescent="0.2">
      <c r="A73" s="296" t="s">
        <v>1187</v>
      </c>
      <c r="B73" s="297" t="s">
        <v>459</v>
      </c>
      <c r="C73" s="563"/>
      <c r="D73" s="563"/>
      <c r="E73" s="563"/>
      <c r="F73" s="563"/>
      <c r="G73" s="563"/>
      <c r="H73" s="563"/>
      <c r="I73" s="563"/>
      <c r="J73" s="564">
        <f t="shared" si="0"/>
        <v>0</v>
      </c>
      <c r="K73" s="563"/>
      <c r="L73" s="4"/>
      <c r="M73" s="4"/>
      <c r="N73" s="4"/>
      <c r="O73" s="4"/>
      <c r="P73" s="4"/>
      <c r="Q73" s="4"/>
      <c r="R73" s="4"/>
      <c r="S73" s="4"/>
      <c r="T73" s="4"/>
      <c r="U73" s="4"/>
      <c r="V73" s="4"/>
      <c r="W73" s="4"/>
      <c r="X73" s="4"/>
      <c r="Y73" s="4"/>
    </row>
    <row r="74" spans="1:25" x14ac:dyDescent="0.2">
      <c r="A74" s="41"/>
      <c r="B74" s="5"/>
      <c r="C74" s="4"/>
      <c r="D74" s="4"/>
      <c r="E74" s="4"/>
      <c r="F74" s="4"/>
      <c r="G74" s="4"/>
      <c r="H74" s="4"/>
      <c r="I74" s="4"/>
      <c r="J74" s="4"/>
      <c r="K74" s="4"/>
      <c r="L74" s="4"/>
      <c r="M74" s="4"/>
      <c r="N74" s="4"/>
      <c r="O74" s="4"/>
      <c r="P74" s="4"/>
      <c r="Q74" s="4"/>
      <c r="R74" s="4"/>
      <c r="S74" s="4"/>
      <c r="T74" s="4"/>
      <c r="U74" s="4"/>
      <c r="V74" s="4"/>
      <c r="W74" s="4"/>
      <c r="X74" s="4"/>
      <c r="Y74" s="4"/>
    </row>
    <row r="75" spans="1:25" s="222" customFormat="1" ht="15" customHeight="1" x14ac:dyDescent="0.3">
      <c r="A75" s="566"/>
      <c r="B75" s="567" t="str">
        <f>+[1]i.04108!C32</f>
        <v>тамга тэмдэг</v>
      </c>
      <c r="C75" s="566"/>
      <c r="D75" s="566"/>
      <c r="E75" s="566"/>
      <c r="F75" s="566"/>
      <c r="G75" s="566"/>
    </row>
    <row r="76" spans="1:25" ht="18.75" x14ac:dyDescent="0.3">
      <c r="A76" s="566"/>
      <c r="B76" s="208"/>
      <c r="C76" s="566"/>
      <c r="D76" s="566"/>
      <c r="E76" s="566"/>
      <c r="F76" s="566"/>
      <c r="G76" s="568"/>
      <c r="H76" s="4"/>
      <c r="I76" s="4"/>
      <c r="J76" s="4"/>
      <c r="K76" s="4"/>
      <c r="L76" s="4"/>
      <c r="M76" s="4"/>
      <c r="N76" s="4"/>
      <c r="O76" s="4"/>
      <c r="P76" s="4"/>
      <c r="Q76" s="4"/>
      <c r="R76" s="4"/>
      <c r="S76" s="4"/>
      <c r="T76" s="4"/>
    </row>
    <row r="77" spans="1:25" ht="19.5" customHeight="1" x14ac:dyDescent="0.3">
      <c r="A77" s="566"/>
      <c r="B77" s="208" t="str">
        <f>+[1]i.04108!C34</f>
        <v xml:space="preserve">ТАЙЛАН ГАРГАСАН:    </v>
      </c>
      <c r="C77" s="566"/>
      <c r="D77" s="566"/>
      <c r="E77" s="566"/>
      <c r="F77" s="566"/>
      <c r="G77" s="4"/>
      <c r="H77" s="4"/>
      <c r="I77" s="4"/>
      <c r="J77" s="4"/>
      <c r="K77" s="4"/>
      <c r="L77" s="4"/>
      <c r="M77" s="4"/>
      <c r="N77" s="4"/>
      <c r="O77" s="4"/>
      <c r="P77" s="4"/>
      <c r="Q77" s="4"/>
      <c r="R77" s="4"/>
      <c r="S77" s="4"/>
      <c r="T77" s="4"/>
    </row>
    <row r="78" spans="1:25" ht="18.75" x14ac:dyDescent="0.3">
      <c r="A78" s="566"/>
      <c r="B78" s="208"/>
      <c r="C78" s="566"/>
      <c r="D78" s="566"/>
      <c r="E78" s="566"/>
      <c r="F78" s="566"/>
      <c r="G78" s="568"/>
      <c r="H78" s="4"/>
      <c r="I78" s="4"/>
      <c r="J78" s="4"/>
      <c r="K78" s="4"/>
      <c r="L78" s="4"/>
      <c r="M78" s="4"/>
      <c r="N78" s="4"/>
      <c r="O78" s="4"/>
      <c r="P78" s="4"/>
      <c r="Q78" s="4"/>
      <c r="R78" s="4"/>
      <c r="S78" s="4"/>
      <c r="T78" s="4"/>
    </row>
    <row r="79" spans="1:25" ht="18.75" x14ac:dyDescent="0.3">
      <c r="A79" s="566"/>
      <c r="B79" s="208" t="str">
        <f>+[1]i.04108!C36</f>
        <v xml:space="preserve"> Гүйцэтгэх захирал</v>
      </c>
      <c r="D79" s="566" t="str">
        <f>+[1]i.04108!D36</f>
        <v xml:space="preserve">/................................../   </v>
      </c>
      <c r="E79" s="566"/>
      <c r="F79" s="566" t="str">
        <f>+[1]i.04108!F36</f>
        <v>/................................./</v>
      </c>
      <c r="G79" s="566"/>
      <c r="H79" s="4"/>
      <c r="I79" s="4"/>
      <c r="J79" s="4"/>
      <c r="K79" s="4"/>
      <c r="L79" s="4"/>
      <c r="M79" s="4"/>
      <c r="N79" s="4"/>
      <c r="O79" s="4"/>
      <c r="P79" s="4"/>
      <c r="Q79" s="4"/>
      <c r="R79" s="4"/>
      <c r="S79" s="4"/>
      <c r="T79" s="4"/>
    </row>
    <row r="80" spans="1:25" ht="18.75" x14ac:dyDescent="0.3">
      <c r="A80" s="569"/>
      <c r="B80" s="208"/>
      <c r="D80" s="566"/>
      <c r="E80" s="566"/>
      <c r="F80" s="566"/>
      <c r="G80" s="4"/>
      <c r="H80" s="4"/>
      <c r="I80" s="4"/>
      <c r="J80" s="4"/>
      <c r="K80" s="4"/>
      <c r="L80" s="4"/>
      <c r="M80" s="4"/>
      <c r="N80" s="4"/>
      <c r="O80" s="4"/>
      <c r="P80" s="4"/>
      <c r="Q80" s="4"/>
      <c r="R80" s="4"/>
      <c r="S80" s="4"/>
      <c r="T80" s="4"/>
      <c r="U80" s="4"/>
      <c r="V80" s="4"/>
      <c r="W80" s="4"/>
      <c r="X80" s="4"/>
      <c r="Y80" s="4"/>
    </row>
    <row r="81" spans="1:25" ht="18.75" x14ac:dyDescent="0.3">
      <c r="A81" s="41"/>
      <c r="B81" s="208" t="str">
        <f>+[1]i.04108!C38</f>
        <v xml:space="preserve"> Ерөнхий нягтлан бодогч  </v>
      </c>
      <c r="D81" s="566" t="str">
        <f>+[1]i.04108!D38</f>
        <v xml:space="preserve">/.................................../   </v>
      </c>
      <c r="E81" s="566"/>
      <c r="F81" s="566" t="str">
        <f>+[1]i.04108!F38</f>
        <v>/................................/</v>
      </c>
      <c r="G81" s="4"/>
      <c r="H81" s="4"/>
      <c r="I81" s="4"/>
      <c r="J81" s="4"/>
      <c r="K81" s="4"/>
      <c r="L81" s="4"/>
      <c r="M81" s="4"/>
      <c r="N81" s="4"/>
      <c r="O81" s="4"/>
      <c r="P81" s="4"/>
      <c r="Q81" s="4"/>
      <c r="R81" s="4"/>
      <c r="S81" s="4"/>
      <c r="T81" s="4"/>
      <c r="U81" s="4"/>
      <c r="V81" s="4"/>
      <c r="W81" s="4"/>
      <c r="X81" s="4"/>
      <c r="Y81" s="4"/>
    </row>
    <row r="82" spans="1:25" ht="18.75" x14ac:dyDescent="0.3">
      <c r="A82" s="41"/>
      <c r="B82" s="208"/>
      <c r="D82" s="566"/>
      <c r="E82" s="566"/>
      <c r="F82" s="566"/>
      <c r="G82" s="4"/>
      <c r="H82" s="4"/>
      <c r="I82" s="4"/>
      <c r="J82" s="4"/>
      <c r="K82" s="4"/>
      <c r="L82" s="4"/>
      <c r="M82" s="4"/>
      <c r="N82" s="4"/>
      <c r="O82" s="4"/>
      <c r="P82" s="4"/>
      <c r="Q82" s="4"/>
      <c r="R82" s="4"/>
      <c r="S82" s="4"/>
      <c r="T82" s="4"/>
      <c r="U82" s="4"/>
      <c r="V82" s="4"/>
      <c r="W82" s="4"/>
      <c r="X82" s="4"/>
      <c r="Y82" s="4"/>
    </row>
    <row r="83" spans="1:25" ht="18.75" x14ac:dyDescent="0.3">
      <c r="A83" s="41"/>
      <c r="B83" s="208" t="str">
        <f>+[1]i.04108!C40</f>
        <v>...................................................</v>
      </c>
      <c r="D83" s="566" t="str">
        <f>+[1]i.04108!D40</f>
        <v xml:space="preserve">/................................../   </v>
      </c>
      <c r="E83" s="566"/>
      <c r="F83" s="566" t="str">
        <f>+[1]i.04108!F40</f>
        <v>/................................/</v>
      </c>
      <c r="G83" s="4"/>
      <c r="H83" s="4"/>
      <c r="I83" s="4"/>
      <c r="J83" s="4"/>
      <c r="K83" s="4"/>
      <c r="L83" s="4"/>
      <c r="M83" s="4"/>
      <c r="N83" s="4"/>
      <c r="O83" s="4"/>
      <c r="P83" s="4"/>
      <c r="Q83" s="4"/>
      <c r="R83" s="4"/>
      <c r="S83" s="4"/>
      <c r="T83" s="4"/>
      <c r="U83" s="4"/>
      <c r="V83" s="4"/>
      <c r="W83" s="4"/>
      <c r="X83" s="4"/>
      <c r="Y83" s="4"/>
    </row>
    <row r="84" spans="1:25" x14ac:dyDescent="0.2">
      <c r="A84" s="41"/>
      <c r="B84" s="5"/>
      <c r="C84" s="4"/>
      <c r="D84" s="4"/>
      <c r="E84" s="4"/>
      <c r="F84" s="4"/>
      <c r="G84" s="4"/>
      <c r="H84" s="4"/>
      <c r="I84" s="4"/>
      <c r="J84" s="4"/>
      <c r="K84" s="4"/>
      <c r="L84" s="4"/>
      <c r="M84" s="4"/>
      <c r="N84" s="4"/>
      <c r="O84" s="4"/>
      <c r="P84" s="4"/>
      <c r="Q84" s="4"/>
      <c r="R84" s="4"/>
      <c r="S84" s="4"/>
      <c r="T84" s="4"/>
      <c r="U84" s="4"/>
      <c r="V84" s="4"/>
      <c r="W84" s="4"/>
      <c r="X84" s="4"/>
      <c r="Y84" s="4"/>
    </row>
    <row r="85" spans="1:25" x14ac:dyDescent="0.2">
      <c r="A85" s="41"/>
      <c r="B85" s="5"/>
      <c r="C85" s="4"/>
      <c r="D85" s="4"/>
      <c r="E85" s="4"/>
      <c r="F85" s="4"/>
      <c r="G85" s="4"/>
      <c r="H85" s="4"/>
      <c r="I85" s="4"/>
      <c r="J85" s="4"/>
      <c r="K85" s="4"/>
      <c r="L85" s="4"/>
      <c r="M85" s="4"/>
      <c r="N85" s="4"/>
      <c r="O85" s="4"/>
      <c r="P85" s="4"/>
      <c r="Q85" s="4"/>
      <c r="R85" s="4"/>
      <c r="S85" s="4"/>
      <c r="T85" s="4"/>
      <c r="U85" s="4"/>
      <c r="V85" s="4"/>
      <c r="W85" s="4"/>
      <c r="X85" s="4"/>
      <c r="Y85" s="4"/>
    </row>
    <row r="86" spans="1:25" x14ac:dyDescent="0.2">
      <c r="A86" s="41"/>
      <c r="B86" s="5"/>
      <c r="C86" s="4"/>
      <c r="D86" s="4"/>
      <c r="E86" s="4"/>
      <c r="F86" s="4"/>
      <c r="G86" s="4"/>
      <c r="H86" s="4"/>
      <c r="I86" s="4"/>
      <c r="J86" s="4"/>
      <c r="K86" s="4"/>
      <c r="L86" s="4"/>
      <c r="M86" s="4"/>
      <c r="N86" s="4"/>
      <c r="O86" s="4"/>
      <c r="P86" s="4"/>
      <c r="Q86" s="4"/>
      <c r="R86" s="4"/>
      <c r="S86" s="4"/>
      <c r="T86" s="4"/>
      <c r="U86" s="4"/>
      <c r="V86" s="4"/>
      <c r="W86" s="4"/>
      <c r="X86" s="4"/>
      <c r="Y86" s="4"/>
    </row>
    <row r="87" spans="1:25" x14ac:dyDescent="0.2">
      <c r="A87" s="41"/>
      <c r="B87" s="5"/>
      <c r="C87" s="4"/>
      <c r="D87" s="4"/>
      <c r="E87" s="4"/>
      <c r="F87" s="4"/>
      <c r="G87" s="4"/>
      <c r="H87" s="4"/>
      <c r="I87" s="4"/>
      <c r="J87" s="4"/>
      <c r="K87" s="4"/>
      <c r="L87" s="4"/>
      <c r="M87" s="4"/>
      <c r="N87" s="4"/>
      <c r="O87" s="4"/>
      <c r="P87" s="4"/>
      <c r="Q87" s="4"/>
      <c r="R87" s="4"/>
      <c r="S87" s="4"/>
      <c r="T87" s="4"/>
      <c r="U87" s="4"/>
      <c r="V87" s="4"/>
      <c r="W87" s="4"/>
      <c r="X87" s="4"/>
      <c r="Y87" s="4"/>
    </row>
    <row r="88" spans="1:25" x14ac:dyDescent="0.2">
      <c r="A88" s="41"/>
      <c r="B88" s="5"/>
      <c r="C88" s="4"/>
      <c r="D88" s="4"/>
      <c r="E88" s="4"/>
      <c r="F88" s="4"/>
      <c r="G88" s="4"/>
      <c r="H88" s="4"/>
      <c r="I88" s="4"/>
      <c r="J88" s="4"/>
      <c r="K88" s="4"/>
      <c r="L88" s="4"/>
      <c r="M88" s="4"/>
      <c r="N88" s="4"/>
      <c r="O88" s="4"/>
      <c r="P88" s="4"/>
      <c r="Q88" s="4"/>
      <c r="R88" s="4"/>
      <c r="S88" s="4"/>
      <c r="T88" s="4"/>
      <c r="U88" s="4"/>
      <c r="V88" s="4"/>
      <c r="W88" s="4"/>
      <c r="X88" s="4"/>
      <c r="Y88" s="4"/>
    </row>
    <row r="89" spans="1:25" x14ac:dyDescent="0.2">
      <c r="A89" s="41"/>
      <c r="B89" s="5"/>
      <c r="C89" s="4"/>
      <c r="D89" s="4"/>
      <c r="E89" s="4"/>
      <c r="F89" s="4"/>
      <c r="G89" s="4"/>
      <c r="H89" s="4"/>
      <c r="I89" s="4"/>
      <c r="J89" s="4"/>
      <c r="K89" s="4"/>
      <c r="L89" s="4"/>
      <c r="M89" s="4"/>
      <c r="N89" s="4"/>
      <c r="O89" s="4"/>
      <c r="P89" s="4"/>
      <c r="Q89" s="4"/>
      <c r="R89" s="4"/>
      <c r="S89" s="4"/>
      <c r="T89" s="4"/>
      <c r="U89" s="4"/>
      <c r="V89" s="4"/>
      <c r="W89" s="4"/>
      <c r="X89" s="4"/>
      <c r="Y89" s="4"/>
    </row>
    <row r="90" spans="1:25" x14ac:dyDescent="0.2">
      <c r="A90" s="41"/>
      <c r="B90" s="5"/>
      <c r="C90" s="4"/>
      <c r="D90" s="4"/>
      <c r="E90" s="4"/>
      <c r="F90" s="4"/>
      <c r="G90" s="4"/>
      <c r="H90" s="4"/>
      <c r="I90" s="4"/>
      <c r="J90" s="4"/>
      <c r="K90" s="4"/>
      <c r="L90" s="4"/>
      <c r="M90" s="4"/>
      <c r="N90" s="4"/>
      <c r="O90" s="4"/>
      <c r="P90" s="4"/>
      <c r="Q90" s="4"/>
      <c r="R90" s="4"/>
      <c r="S90" s="4"/>
      <c r="T90" s="4"/>
      <c r="U90" s="4"/>
      <c r="V90" s="4"/>
      <c r="W90" s="4"/>
      <c r="X90" s="4"/>
      <c r="Y90" s="4"/>
    </row>
    <row r="91" spans="1:25" x14ac:dyDescent="0.2">
      <c r="A91" s="41"/>
      <c r="B91" s="5"/>
      <c r="C91" s="4"/>
      <c r="D91" s="4"/>
      <c r="E91" s="4"/>
      <c r="F91" s="4"/>
      <c r="G91" s="4"/>
      <c r="H91" s="4"/>
      <c r="I91" s="4"/>
      <c r="J91" s="4"/>
      <c r="K91" s="4"/>
      <c r="L91" s="4"/>
      <c r="M91" s="4"/>
      <c r="N91" s="4"/>
      <c r="O91" s="4"/>
      <c r="P91" s="4"/>
      <c r="Q91" s="4"/>
      <c r="R91" s="4"/>
      <c r="S91" s="4"/>
      <c r="T91" s="4"/>
      <c r="U91" s="4"/>
      <c r="V91" s="4"/>
      <c r="W91" s="4"/>
      <c r="X91" s="4"/>
      <c r="Y91" s="4"/>
    </row>
    <row r="92" spans="1:25" x14ac:dyDescent="0.2">
      <c r="A92" s="41"/>
      <c r="B92" s="5"/>
      <c r="C92" s="4"/>
      <c r="D92" s="4"/>
      <c r="E92" s="4"/>
      <c r="F92" s="4"/>
      <c r="G92" s="4"/>
      <c r="H92" s="4"/>
      <c r="I92" s="4"/>
      <c r="J92" s="4"/>
      <c r="K92" s="4"/>
      <c r="L92" s="4"/>
      <c r="M92" s="4"/>
      <c r="N92" s="4"/>
      <c r="O92" s="4"/>
      <c r="P92" s="4"/>
      <c r="Q92" s="4"/>
      <c r="R92" s="4"/>
      <c r="S92" s="4"/>
      <c r="T92" s="4"/>
      <c r="U92" s="4"/>
      <c r="V92" s="4"/>
      <c r="W92" s="4"/>
      <c r="X92" s="4"/>
      <c r="Y92" s="4"/>
    </row>
    <row r="93" spans="1:25" x14ac:dyDescent="0.2">
      <c r="A93" s="41"/>
      <c r="B93" s="5"/>
      <c r="C93" s="4"/>
      <c r="D93" s="4"/>
      <c r="E93" s="4"/>
      <c r="F93" s="4"/>
      <c r="G93" s="4"/>
      <c r="H93" s="4"/>
      <c r="I93" s="4"/>
      <c r="J93" s="4"/>
      <c r="K93" s="4"/>
      <c r="L93" s="4"/>
      <c r="M93" s="4"/>
      <c r="N93" s="4"/>
      <c r="O93" s="4"/>
      <c r="P93" s="4"/>
      <c r="Q93" s="4"/>
      <c r="R93" s="4"/>
      <c r="S93" s="4"/>
      <c r="T93" s="4"/>
      <c r="U93" s="4"/>
      <c r="V93" s="4"/>
      <c r="W93" s="4"/>
      <c r="X93" s="4"/>
      <c r="Y93" s="4"/>
    </row>
    <row r="94" spans="1:25" x14ac:dyDescent="0.2">
      <c r="A94" s="41"/>
      <c r="B94" s="5"/>
      <c r="C94" s="4"/>
      <c r="D94" s="4"/>
      <c r="E94" s="4"/>
      <c r="F94" s="4"/>
      <c r="G94" s="4"/>
      <c r="H94" s="4"/>
      <c r="I94" s="4"/>
      <c r="J94" s="4"/>
      <c r="K94" s="4"/>
      <c r="L94" s="4"/>
      <c r="M94" s="4"/>
      <c r="N94" s="4"/>
      <c r="O94" s="4"/>
      <c r="P94" s="4"/>
      <c r="Q94" s="4"/>
      <c r="R94" s="4"/>
      <c r="S94" s="4"/>
      <c r="T94" s="4"/>
      <c r="U94" s="4"/>
      <c r="V94" s="4"/>
      <c r="W94" s="4"/>
      <c r="X94" s="4"/>
      <c r="Y94" s="4"/>
    </row>
    <row r="95" spans="1:25" x14ac:dyDescent="0.2">
      <c r="A95" s="41"/>
      <c r="B95" s="5"/>
      <c r="C95" s="4"/>
      <c r="D95" s="4"/>
      <c r="E95" s="4"/>
      <c r="F95" s="4"/>
      <c r="G95" s="4"/>
      <c r="H95" s="4"/>
      <c r="I95" s="4"/>
      <c r="J95" s="4"/>
      <c r="K95" s="4"/>
      <c r="L95" s="4"/>
      <c r="M95" s="4"/>
      <c r="N95" s="4"/>
      <c r="O95" s="4"/>
      <c r="P95" s="4"/>
      <c r="Q95" s="4"/>
      <c r="R95" s="4"/>
      <c r="S95" s="4"/>
      <c r="T95" s="4"/>
      <c r="U95" s="4"/>
      <c r="V95" s="4"/>
      <c r="W95" s="4"/>
      <c r="X95" s="4"/>
      <c r="Y95" s="4"/>
    </row>
    <row r="96" spans="1:25" x14ac:dyDescent="0.2">
      <c r="A96" s="41"/>
      <c r="B96" s="5"/>
      <c r="C96" s="4"/>
      <c r="D96" s="4"/>
      <c r="E96" s="4"/>
      <c r="F96" s="4"/>
      <c r="G96" s="4"/>
      <c r="H96" s="4"/>
      <c r="I96" s="4"/>
      <c r="J96" s="4"/>
      <c r="K96" s="4"/>
      <c r="L96" s="4"/>
      <c r="M96" s="4"/>
      <c r="N96" s="4"/>
      <c r="O96" s="4"/>
      <c r="P96" s="4"/>
      <c r="Q96" s="4"/>
      <c r="R96" s="4"/>
      <c r="S96" s="4"/>
      <c r="T96" s="4"/>
      <c r="U96" s="4"/>
      <c r="V96" s="4"/>
      <c r="W96" s="4"/>
      <c r="X96" s="4"/>
      <c r="Y96" s="4"/>
    </row>
    <row r="97" spans="1:25" x14ac:dyDescent="0.2">
      <c r="A97" s="41"/>
      <c r="B97" s="5"/>
      <c r="C97" s="4"/>
      <c r="D97" s="4"/>
      <c r="E97" s="4"/>
      <c r="F97" s="4"/>
      <c r="G97" s="4"/>
      <c r="H97" s="4"/>
      <c r="I97" s="4"/>
      <c r="J97" s="4"/>
      <c r="K97" s="4"/>
      <c r="L97" s="4"/>
      <c r="M97" s="4"/>
      <c r="N97" s="4"/>
      <c r="O97" s="4"/>
      <c r="P97" s="4"/>
      <c r="Q97" s="4"/>
      <c r="R97" s="4"/>
      <c r="S97" s="4"/>
      <c r="T97" s="4"/>
      <c r="U97" s="4"/>
      <c r="V97" s="4"/>
      <c r="W97" s="4"/>
      <c r="X97" s="4"/>
      <c r="Y97" s="4"/>
    </row>
    <row r="98" spans="1:25" x14ac:dyDescent="0.2">
      <c r="A98" s="41"/>
      <c r="B98" s="5"/>
      <c r="C98" s="4"/>
      <c r="D98" s="4"/>
      <c r="E98" s="4"/>
      <c r="F98" s="4"/>
      <c r="G98" s="4"/>
      <c r="H98" s="4"/>
      <c r="I98" s="4"/>
      <c r="J98" s="4"/>
      <c r="K98" s="4"/>
      <c r="L98" s="4"/>
      <c r="M98" s="4"/>
      <c r="N98" s="4"/>
      <c r="O98" s="4"/>
      <c r="P98" s="4"/>
      <c r="Q98" s="4"/>
      <c r="R98" s="4"/>
      <c r="S98" s="4"/>
      <c r="T98" s="4"/>
      <c r="U98" s="4"/>
      <c r="V98" s="4"/>
      <c r="W98" s="4"/>
      <c r="X98" s="4"/>
      <c r="Y98" s="4"/>
    </row>
    <row r="99" spans="1:25" x14ac:dyDescent="0.2">
      <c r="A99" s="41"/>
      <c r="B99" s="5"/>
      <c r="C99" s="4"/>
      <c r="D99" s="4"/>
      <c r="E99" s="4"/>
      <c r="F99" s="4"/>
      <c r="G99" s="4"/>
      <c r="H99" s="4"/>
      <c r="I99" s="4"/>
      <c r="J99" s="4"/>
      <c r="K99" s="4"/>
      <c r="L99" s="4"/>
      <c r="M99" s="4"/>
      <c r="N99" s="4"/>
      <c r="O99" s="4"/>
      <c r="P99" s="4"/>
      <c r="Q99" s="4"/>
      <c r="R99" s="4"/>
      <c r="S99" s="4"/>
      <c r="T99" s="4"/>
      <c r="U99" s="4"/>
      <c r="V99" s="4"/>
      <c r="W99" s="4"/>
      <c r="X99" s="4"/>
      <c r="Y99" s="4"/>
    </row>
    <row r="100" spans="1:25" x14ac:dyDescent="0.2">
      <c r="A100" s="41"/>
      <c r="B100" s="5"/>
      <c r="C100" s="4"/>
      <c r="D100" s="4"/>
      <c r="E100" s="4"/>
      <c r="F100" s="4"/>
      <c r="G100" s="4"/>
      <c r="H100" s="4"/>
      <c r="I100" s="4"/>
      <c r="J100" s="4"/>
      <c r="K100" s="4"/>
      <c r="L100" s="4"/>
      <c r="M100" s="4"/>
      <c r="N100" s="4"/>
      <c r="O100" s="4"/>
      <c r="P100" s="4"/>
      <c r="Q100" s="4"/>
      <c r="R100" s="4"/>
      <c r="S100" s="4"/>
      <c r="T100" s="4"/>
      <c r="U100" s="4"/>
      <c r="V100" s="4"/>
      <c r="W100" s="4"/>
      <c r="X100" s="4"/>
      <c r="Y100" s="4"/>
    </row>
    <row r="101" spans="1:25" x14ac:dyDescent="0.2">
      <c r="A101" s="41"/>
      <c r="B101" s="5"/>
      <c r="C101" s="4"/>
      <c r="D101" s="4"/>
      <c r="E101" s="4"/>
      <c r="F101" s="4"/>
      <c r="G101" s="4"/>
      <c r="H101" s="4"/>
      <c r="I101" s="4"/>
      <c r="J101" s="4"/>
      <c r="K101" s="4"/>
      <c r="L101" s="4"/>
      <c r="M101" s="4"/>
      <c r="N101" s="4"/>
      <c r="O101" s="4"/>
      <c r="P101" s="4"/>
      <c r="Q101" s="4"/>
      <c r="R101" s="4"/>
      <c r="S101" s="4"/>
      <c r="T101" s="4"/>
      <c r="U101" s="4"/>
      <c r="V101" s="4"/>
      <c r="W101" s="4"/>
      <c r="X101" s="4"/>
      <c r="Y101" s="4"/>
    </row>
    <row r="102" spans="1:25" x14ac:dyDescent="0.2">
      <c r="A102" s="41"/>
      <c r="B102" s="5"/>
      <c r="C102" s="4"/>
      <c r="D102" s="4"/>
      <c r="E102" s="4"/>
      <c r="F102" s="4"/>
      <c r="G102" s="4"/>
      <c r="H102" s="4"/>
      <c r="I102" s="4"/>
      <c r="J102" s="4"/>
      <c r="K102" s="4"/>
      <c r="L102" s="4"/>
      <c r="M102" s="4"/>
      <c r="N102" s="4"/>
      <c r="O102" s="4"/>
      <c r="P102" s="4"/>
      <c r="Q102" s="4"/>
      <c r="R102" s="4"/>
      <c r="S102" s="4"/>
      <c r="T102" s="4"/>
      <c r="U102" s="4"/>
      <c r="V102" s="4"/>
      <c r="W102" s="4"/>
      <c r="X102" s="4"/>
      <c r="Y102" s="4"/>
    </row>
    <row r="103" spans="1:25" x14ac:dyDescent="0.2">
      <c r="A103" s="41"/>
      <c r="B103" s="5"/>
      <c r="C103" s="4"/>
      <c r="D103" s="4"/>
      <c r="E103" s="4"/>
      <c r="F103" s="4"/>
      <c r="G103" s="4"/>
      <c r="H103" s="4"/>
      <c r="I103" s="4"/>
      <c r="J103" s="4"/>
      <c r="K103" s="4"/>
      <c r="L103" s="4"/>
      <c r="M103" s="4"/>
      <c r="N103" s="4"/>
      <c r="O103" s="4"/>
      <c r="P103" s="4"/>
      <c r="Q103" s="4"/>
      <c r="R103" s="4"/>
      <c r="S103" s="4"/>
      <c r="T103" s="4"/>
      <c r="U103" s="4"/>
      <c r="V103" s="4"/>
      <c r="W103" s="4"/>
      <c r="X103" s="4"/>
      <c r="Y103" s="4"/>
    </row>
    <row r="104" spans="1:25" x14ac:dyDescent="0.2">
      <c r="A104" s="41"/>
      <c r="B104" s="5"/>
      <c r="C104" s="4"/>
      <c r="D104" s="4"/>
      <c r="E104" s="4"/>
      <c r="F104" s="4"/>
      <c r="G104" s="4"/>
      <c r="H104" s="4"/>
      <c r="I104" s="4"/>
      <c r="J104" s="4"/>
      <c r="K104" s="4"/>
      <c r="L104" s="4"/>
      <c r="M104" s="4"/>
      <c r="N104" s="4"/>
      <c r="O104" s="4"/>
      <c r="P104" s="4"/>
      <c r="Q104" s="4"/>
      <c r="R104" s="4"/>
      <c r="S104" s="4"/>
      <c r="T104" s="4"/>
      <c r="U104" s="4"/>
      <c r="V104" s="4"/>
      <c r="W104" s="4"/>
      <c r="X104" s="4"/>
      <c r="Y104" s="4"/>
    </row>
    <row r="105" spans="1:25" x14ac:dyDescent="0.2">
      <c r="A105" s="41"/>
      <c r="B105" s="5"/>
      <c r="C105" s="4"/>
      <c r="D105" s="4"/>
      <c r="E105" s="4"/>
      <c r="F105" s="4"/>
      <c r="G105" s="4"/>
      <c r="H105" s="4"/>
      <c r="I105" s="4"/>
      <c r="J105" s="4"/>
      <c r="K105" s="4"/>
      <c r="L105" s="4"/>
      <c r="M105" s="4"/>
      <c r="N105" s="4"/>
      <c r="O105" s="4"/>
      <c r="P105" s="4"/>
      <c r="Q105" s="4"/>
      <c r="R105" s="4"/>
      <c r="S105" s="4"/>
      <c r="T105" s="4"/>
      <c r="U105" s="4"/>
      <c r="V105" s="4"/>
      <c r="W105" s="4"/>
      <c r="X105" s="4"/>
      <c r="Y105" s="4"/>
    </row>
    <row r="106" spans="1:25" x14ac:dyDescent="0.2">
      <c r="A106" s="41"/>
      <c r="B106" s="5"/>
      <c r="C106" s="4"/>
      <c r="D106" s="4"/>
      <c r="E106" s="4"/>
      <c r="F106" s="4"/>
      <c r="G106" s="4"/>
      <c r="H106" s="4"/>
      <c r="I106" s="4"/>
      <c r="J106" s="4"/>
      <c r="K106" s="4"/>
      <c r="L106" s="4"/>
      <c r="M106" s="4"/>
      <c r="N106" s="4"/>
      <c r="O106" s="4"/>
      <c r="P106" s="4"/>
      <c r="Q106" s="4"/>
      <c r="R106" s="4"/>
      <c r="S106" s="4"/>
      <c r="T106" s="4"/>
      <c r="U106" s="4"/>
      <c r="V106" s="4"/>
      <c r="W106" s="4"/>
      <c r="X106" s="4"/>
      <c r="Y106" s="4"/>
    </row>
    <row r="107" spans="1:25" x14ac:dyDescent="0.2">
      <c r="A107" s="41"/>
      <c r="B107" s="5"/>
      <c r="C107" s="4"/>
      <c r="D107" s="4"/>
      <c r="E107" s="4"/>
      <c r="F107" s="4"/>
      <c r="G107" s="4"/>
      <c r="H107" s="4"/>
      <c r="I107" s="4"/>
      <c r="J107" s="4"/>
      <c r="K107" s="4"/>
      <c r="L107" s="4"/>
      <c r="M107" s="4"/>
      <c r="N107" s="4"/>
      <c r="O107" s="4"/>
      <c r="P107" s="4"/>
      <c r="Q107" s="4"/>
      <c r="R107" s="4"/>
      <c r="S107" s="4"/>
      <c r="T107" s="4"/>
      <c r="U107" s="4"/>
      <c r="V107" s="4"/>
      <c r="W107" s="4"/>
      <c r="X107" s="4"/>
      <c r="Y107" s="4"/>
    </row>
    <row r="108" spans="1:25" x14ac:dyDescent="0.2">
      <c r="A108" s="41"/>
      <c r="B108" s="5"/>
      <c r="C108" s="4"/>
      <c r="D108" s="4"/>
      <c r="E108" s="4"/>
      <c r="F108" s="4"/>
      <c r="G108" s="4"/>
      <c r="H108" s="4"/>
      <c r="I108" s="4"/>
      <c r="J108" s="4"/>
      <c r="K108" s="4"/>
      <c r="L108" s="4"/>
      <c r="M108" s="4"/>
      <c r="N108" s="4"/>
      <c r="O108" s="4"/>
      <c r="P108" s="4"/>
      <c r="Q108" s="4"/>
      <c r="R108" s="4"/>
      <c r="S108" s="4"/>
      <c r="T108" s="4"/>
      <c r="U108" s="4"/>
      <c r="V108" s="4"/>
      <c r="W108" s="4"/>
      <c r="X108" s="4"/>
      <c r="Y108" s="4"/>
    </row>
    <row r="109" spans="1:25" x14ac:dyDescent="0.2">
      <c r="A109" s="41"/>
      <c r="B109" s="5"/>
      <c r="C109" s="4"/>
      <c r="D109" s="4"/>
      <c r="E109" s="4"/>
      <c r="F109" s="4"/>
      <c r="G109" s="4"/>
      <c r="H109" s="4"/>
      <c r="I109" s="4"/>
      <c r="J109" s="4"/>
      <c r="K109" s="4"/>
      <c r="L109" s="4"/>
      <c r="M109" s="4"/>
      <c r="N109" s="4"/>
      <c r="O109" s="4"/>
      <c r="P109" s="4"/>
      <c r="Q109" s="4"/>
      <c r="R109" s="4"/>
      <c r="S109" s="4"/>
      <c r="T109" s="4"/>
      <c r="U109" s="4"/>
      <c r="V109" s="4"/>
      <c r="W109" s="4"/>
      <c r="X109" s="4"/>
      <c r="Y109" s="4"/>
    </row>
    <row r="110" spans="1:25" x14ac:dyDescent="0.2">
      <c r="A110" s="41"/>
      <c r="B110" s="5"/>
      <c r="C110" s="4"/>
      <c r="D110" s="4"/>
      <c r="E110" s="4"/>
      <c r="F110" s="4"/>
      <c r="G110" s="4"/>
      <c r="H110" s="4"/>
      <c r="I110" s="4"/>
      <c r="J110" s="4"/>
      <c r="K110" s="4"/>
      <c r="L110" s="4"/>
      <c r="M110" s="4"/>
      <c r="N110" s="4"/>
      <c r="O110" s="4"/>
      <c r="P110" s="4"/>
      <c r="Q110" s="4"/>
      <c r="R110" s="4"/>
      <c r="S110" s="4"/>
      <c r="T110" s="4"/>
      <c r="U110" s="4"/>
      <c r="V110" s="4"/>
      <c r="W110" s="4"/>
      <c r="X110" s="4"/>
      <c r="Y110" s="4"/>
    </row>
    <row r="111" spans="1:25" x14ac:dyDescent="0.2">
      <c r="A111" s="41"/>
      <c r="B111" s="5"/>
      <c r="C111" s="4"/>
      <c r="D111" s="4"/>
      <c r="E111" s="4"/>
      <c r="F111" s="4"/>
      <c r="G111" s="4"/>
      <c r="H111" s="4"/>
      <c r="I111" s="4"/>
      <c r="J111" s="4"/>
      <c r="K111" s="4"/>
      <c r="L111" s="4"/>
      <c r="M111" s="4"/>
      <c r="N111" s="4"/>
      <c r="O111" s="4"/>
      <c r="P111" s="4"/>
      <c r="Q111" s="4"/>
      <c r="R111" s="4"/>
      <c r="S111" s="4"/>
      <c r="T111" s="4"/>
      <c r="U111" s="4"/>
      <c r="V111" s="4"/>
      <c r="W111" s="4"/>
      <c r="X111" s="4"/>
      <c r="Y111" s="4"/>
    </row>
    <row r="112" spans="1:25" x14ac:dyDescent="0.2">
      <c r="A112" s="41"/>
      <c r="B112" s="5"/>
      <c r="C112" s="4"/>
      <c r="D112" s="4"/>
      <c r="E112" s="4"/>
      <c r="F112" s="4"/>
      <c r="G112" s="4"/>
      <c r="H112" s="4"/>
      <c r="I112" s="4"/>
      <c r="J112" s="4"/>
      <c r="K112" s="4"/>
      <c r="L112" s="4"/>
      <c r="M112" s="4"/>
      <c r="N112" s="4"/>
      <c r="O112" s="4"/>
      <c r="P112" s="4"/>
      <c r="Q112" s="4"/>
      <c r="R112" s="4"/>
      <c r="S112" s="4"/>
      <c r="T112" s="4"/>
      <c r="U112" s="4"/>
      <c r="V112" s="4"/>
      <c r="W112" s="4"/>
      <c r="X112" s="4"/>
      <c r="Y112" s="4"/>
    </row>
    <row r="113" spans="1:25" x14ac:dyDescent="0.2">
      <c r="A113" s="41"/>
      <c r="B113" s="5"/>
      <c r="C113" s="4"/>
      <c r="D113" s="4"/>
      <c r="E113" s="4"/>
      <c r="F113" s="4"/>
      <c r="G113" s="4"/>
      <c r="H113" s="4"/>
      <c r="I113" s="4"/>
      <c r="J113" s="4"/>
      <c r="K113" s="4"/>
      <c r="L113" s="4"/>
      <c r="M113" s="4"/>
      <c r="N113" s="4"/>
      <c r="O113" s="4"/>
      <c r="P113" s="4"/>
      <c r="Q113" s="4"/>
      <c r="R113" s="4"/>
      <c r="S113" s="4"/>
      <c r="T113" s="4"/>
      <c r="U113" s="4"/>
      <c r="V113" s="4"/>
      <c r="W113" s="4"/>
      <c r="X113" s="4"/>
      <c r="Y113" s="4"/>
    </row>
    <row r="114" spans="1:25" x14ac:dyDescent="0.2">
      <c r="A114" s="41"/>
      <c r="B114" s="5"/>
      <c r="C114" s="4"/>
      <c r="D114" s="4"/>
      <c r="E114" s="4"/>
      <c r="F114" s="4"/>
      <c r="G114" s="4"/>
      <c r="H114" s="4"/>
      <c r="I114" s="4"/>
      <c r="J114" s="4"/>
      <c r="K114" s="4"/>
      <c r="L114" s="4"/>
      <c r="M114" s="4"/>
      <c r="N114" s="4"/>
      <c r="O114" s="4"/>
      <c r="P114" s="4"/>
      <c r="Q114" s="4"/>
      <c r="R114" s="4"/>
      <c r="S114" s="4"/>
      <c r="T114" s="4"/>
      <c r="U114" s="4"/>
      <c r="V114" s="4"/>
      <c r="W114" s="4"/>
      <c r="X114" s="4"/>
      <c r="Y114" s="4"/>
    </row>
    <row r="115" spans="1:25" x14ac:dyDescent="0.2">
      <c r="A115" s="41"/>
      <c r="B115" s="5"/>
      <c r="C115" s="4"/>
      <c r="D115" s="4"/>
      <c r="E115" s="4"/>
      <c r="F115" s="4"/>
      <c r="G115" s="4"/>
      <c r="H115" s="4"/>
      <c r="I115" s="4"/>
      <c r="J115" s="4"/>
      <c r="K115" s="4"/>
      <c r="L115" s="4"/>
      <c r="M115" s="4"/>
      <c r="N115" s="4"/>
      <c r="O115" s="4"/>
      <c r="P115" s="4"/>
      <c r="Q115" s="4"/>
      <c r="R115" s="4"/>
      <c r="S115" s="4"/>
      <c r="T115" s="4"/>
      <c r="U115" s="4"/>
      <c r="V115" s="4"/>
      <c r="W115" s="4"/>
      <c r="X115" s="4"/>
      <c r="Y115" s="4"/>
    </row>
    <row r="116" spans="1:25" x14ac:dyDescent="0.2">
      <c r="A116" s="41"/>
      <c r="B116" s="5"/>
      <c r="C116" s="4"/>
      <c r="D116" s="4"/>
      <c r="E116" s="4"/>
      <c r="F116" s="4"/>
      <c r="G116" s="4"/>
      <c r="H116" s="4"/>
      <c r="I116" s="4"/>
      <c r="J116" s="4"/>
      <c r="K116" s="4"/>
      <c r="L116" s="4"/>
      <c r="M116" s="4"/>
      <c r="N116" s="4"/>
      <c r="O116" s="4"/>
      <c r="P116" s="4"/>
      <c r="Q116" s="4"/>
      <c r="R116" s="4"/>
      <c r="S116" s="4"/>
      <c r="T116" s="4"/>
      <c r="U116" s="4"/>
      <c r="V116" s="4"/>
      <c r="W116" s="4"/>
      <c r="X116" s="4"/>
      <c r="Y116" s="4"/>
    </row>
    <row r="117" spans="1:25" x14ac:dyDescent="0.2">
      <c r="A117" s="41"/>
      <c r="B117" s="5"/>
      <c r="C117" s="4"/>
      <c r="D117" s="4"/>
      <c r="E117" s="4"/>
      <c r="F117" s="4"/>
      <c r="G117" s="4"/>
      <c r="H117" s="4"/>
      <c r="I117" s="4"/>
      <c r="J117" s="4"/>
      <c r="K117" s="4"/>
      <c r="L117" s="4"/>
      <c r="M117" s="4"/>
      <c r="N117" s="4"/>
      <c r="O117" s="4"/>
      <c r="P117" s="4"/>
      <c r="Q117" s="4"/>
      <c r="R117" s="4"/>
      <c r="S117" s="4"/>
      <c r="T117" s="4"/>
      <c r="U117" s="4"/>
      <c r="V117" s="4"/>
      <c r="W117" s="4"/>
      <c r="X117" s="4"/>
      <c r="Y117" s="4"/>
    </row>
    <row r="118" spans="1:25" x14ac:dyDescent="0.2">
      <c r="A118" s="41"/>
      <c r="B118" s="5"/>
      <c r="C118" s="4"/>
      <c r="D118" s="4"/>
      <c r="E118" s="4"/>
      <c r="F118" s="4"/>
      <c r="G118" s="4"/>
      <c r="H118" s="4"/>
      <c r="I118" s="4"/>
      <c r="J118" s="4"/>
      <c r="K118" s="4"/>
      <c r="L118" s="4"/>
      <c r="M118" s="4"/>
      <c r="N118" s="4"/>
      <c r="O118" s="4"/>
      <c r="P118" s="4"/>
      <c r="Q118" s="4"/>
      <c r="R118" s="4"/>
      <c r="S118" s="4"/>
      <c r="T118" s="4"/>
      <c r="U118" s="4"/>
      <c r="V118" s="4"/>
      <c r="W118" s="4"/>
      <c r="X118" s="4"/>
      <c r="Y118" s="4"/>
    </row>
    <row r="119" spans="1:25" x14ac:dyDescent="0.2">
      <c r="A119" s="41"/>
      <c r="B119" s="5"/>
      <c r="C119" s="4"/>
      <c r="D119" s="4"/>
      <c r="E119" s="4"/>
      <c r="F119" s="4"/>
      <c r="G119" s="4"/>
      <c r="H119" s="4"/>
      <c r="I119" s="4"/>
      <c r="J119" s="4"/>
      <c r="K119" s="4"/>
      <c r="L119" s="4"/>
      <c r="M119" s="4"/>
      <c r="N119" s="4"/>
      <c r="O119" s="4"/>
      <c r="P119" s="4"/>
      <c r="Q119" s="4"/>
      <c r="R119" s="4"/>
      <c r="S119" s="4"/>
      <c r="T119" s="4"/>
      <c r="U119" s="4"/>
      <c r="V119" s="4"/>
      <c r="W119" s="4"/>
      <c r="X119" s="4"/>
      <c r="Y119" s="4"/>
    </row>
    <row r="120" spans="1:25" x14ac:dyDescent="0.2">
      <c r="A120" s="41"/>
      <c r="B120" s="5"/>
      <c r="C120" s="4"/>
      <c r="D120" s="4"/>
      <c r="E120" s="4"/>
      <c r="F120" s="4"/>
      <c r="G120" s="4"/>
      <c r="H120" s="4"/>
      <c r="I120" s="4"/>
      <c r="J120" s="4"/>
      <c r="K120" s="4"/>
      <c r="L120" s="4"/>
      <c r="M120" s="4"/>
      <c r="N120" s="4"/>
      <c r="O120" s="4"/>
      <c r="P120" s="4"/>
      <c r="Q120" s="4"/>
      <c r="R120" s="4"/>
      <c r="S120" s="4"/>
      <c r="T120" s="4"/>
      <c r="U120" s="4"/>
      <c r="V120" s="4"/>
      <c r="W120" s="4"/>
      <c r="X120" s="4"/>
      <c r="Y120" s="4"/>
    </row>
    <row r="121" spans="1:25" x14ac:dyDescent="0.2">
      <c r="A121" s="41"/>
      <c r="B121" s="5"/>
      <c r="C121" s="4"/>
      <c r="D121" s="4"/>
      <c r="E121" s="4"/>
      <c r="F121" s="4"/>
      <c r="G121" s="4"/>
      <c r="H121" s="4"/>
      <c r="I121" s="4"/>
      <c r="J121" s="4"/>
      <c r="K121" s="4"/>
      <c r="L121" s="4"/>
      <c r="M121" s="4"/>
      <c r="N121" s="4"/>
      <c r="O121" s="4"/>
      <c r="P121" s="4"/>
      <c r="Q121" s="4"/>
      <c r="R121" s="4"/>
      <c r="S121" s="4"/>
      <c r="T121" s="4"/>
      <c r="U121" s="4"/>
      <c r="V121" s="4"/>
      <c r="W121" s="4"/>
      <c r="X121" s="4"/>
      <c r="Y121" s="4"/>
    </row>
    <row r="122" spans="1:25" x14ac:dyDescent="0.2">
      <c r="A122" s="41"/>
      <c r="B122" s="5"/>
      <c r="C122" s="4"/>
      <c r="D122" s="4"/>
      <c r="E122" s="4"/>
      <c r="F122" s="4"/>
      <c r="G122" s="4"/>
      <c r="H122" s="4"/>
      <c r="I122" s="4"/>
      <c r="J122" s="4"/>
      <c r="K122" s="4"/>
      <c r="L122" s="4"/>
      <c r="M122" s="4"/>
      <c r="N122" s="4"/>
      <c r="O122" s="4"/>
      <c r="P122" s="4"/>
      <c r="Q122" s="4"/>
      <c r="R122" s="4"/>
      <c r="S122" s="4"/>
      <c r="T122" s="4"/>
      <c r="U122" s="4"/>
      <c r="V122" s="4"/>
      <c r="W122" s="4"/>
      <c r="X122" s="4"/>
      <c r="Y122" s="4"/>
    </row>
    <row r="123" spans="1:25" x14ac:dyDescent="0.2">
      <c r="A123" s="41"/>
      <c r="B123" s="5"/>
      <c r="C123" s="4"/>
      <c r="D123" s="4"/>
      <c r="E123" s="4"/>
      <c r="F123" s="4"/>
      <c r="G123" s="4"/>
      <c r="H123" s="4"/>
      <c r="I123" s="4"/>
      <c r="J123" s="4"/>
      <c r="K123" s="4"/>
      <c r="L123" s="4"/>
      <c r="M123" s="4"/>
      <c r="N123" s="4"/>
      <c r="O123" s="4"/>
      <c r="P123" s="4"/>
      <c r="Q123" s="4"/>
      <c r="R123" s="4"/>
      <c r="S123" s="4"/>
      <c r="T123" s="4"/>
      <c r="U123" s="4"/>
      <c r="V123" s="4"/>
      <c r="W123" s="4"/>
      <c r="X123" s="4"/>
      <c r="Y123" s="4"/>
    </row>
    <row r="124" spans="1:25" x14ac:dyDescent="0.2">
      <c r="A124" s="41"/>
      <c r="B124" s="5"/>
      <c r="C124" s="4"/>
      <c r="D124" s="4"/>
      <c r="E124" s="4"/>
      <c r="F124" s="4"/>
      <c r="G124" s="4"/>
      <c r="H124" s="4"/>
      <c r="I124" s="4"/>
      <c r="J124" s="4"/>
      <c r="K124" s="4"/>
      <c r="L124" s="4"/>
      <c r="M124" s="4"/>
      <c r="N124" s="4"/>
      <c r="O124" s="4"/>
      <c r="P124" s="4"/>
      <c r="Q124" s="4"/>
      <c r="R124" s="4"/>
      <c r="S124" s="4"/>
      <c r="T124" s="4"/>
      <c r="U124" s="4"/>
      <c r="V124" s="4"/>
      <c r="W124" s="4"/>
      <c r="X124" s="4"/>
      <c r="Y124" s="4"/>
    </row>
    <row r="125" spans="1:25" x14ac:dyDescent="0.2">
      <c r="A125" s="41"/>
      <c r="B125" s="5"/>
      <c r="C125" s="4"/>
      <c r="D125" s="4"/>
      <c r="E125" s="4"/>
      <c r="F125" s="4"/>
      <c r="G125" s="4"/>
      <c r="H125" s="4"/>
      <c r="I125" s="4"/>
      <c r="J125" s="4"/>
      <c r="K125" s="4"/>
      <c r="L125" s="4"/>
      <c r="M125" s="4"/>
      <c r="N125" s="4"/>
      <c r="O125" s="4"/>
      <c r="P125" s="4"/>
      <c r="Q125" s="4"/>
      <c r="R125" s="4"/>
      <c r="S125" s="4"/>
      <c r="T125" s="4"/>
      <c r="U125" s="4"/>
      <c r="V125" s="4"/>
      <c r="W125" s="4"/>
      <c r="X125" s="4"/>
      <c r="Y125" s="4"/>
    </row>
    <row r="126" spans="1:25" x14ac:dyDescent="0.2">
      <c r="A126" s="41"/>
      <c r="B126" s="5"/>
      <c r="C126" s="4"/>
      <c r="D126" s="4"/>
      <c r="E126" s="4"/>
      <c r="F126" s="4"/>
      <c r="G126" s="4"/>
      <c r="H126" s="4"/>
      <c r="I126" s="4"/>
      <c r="J126" s="4"/>
      <c r="K126" s="4"/>
      <c r="L126" s="4"/>
      <c r="M126" s="4"/>
      <c r="N126" s="4"/>
      <c r="O126" s="4"/>
      <c r="P126" s="4"/>
      <c r="Q126" s="4"/>
      <c r="R126" s="4"/>
      <c r="S126" s="4"/>
      <c r="T126" s="4"/>
      <c r="U126" s="4"/>
      <c r="V126" s="4"/>
      <c r="W126" s="4"/>
      <c r="X126" s="4"/>
      <c r="Y126" s="4"/>
    </row>
    <row r="127" spans="1:25" x14ac:dyDescent="0.2">
      <c r="A127" s="41"/>
      <c r="B127" s="5"/>
      <c r="C127" s="4"/>
      <c r="D127" s="4"/>
      <c r="E127" s="4"/>
      <c r="F127" s="4"/>
      <c r="G127" s="4"/>
      <c r="H127" s="4"/>
      <c r="I127" s="4"/>
      <c r="J127" s="4"/>
      <c r="K127" s="4"/>
      <c r="L127" s="4"/>
      <c r="M127" s="4"/>
      <c r="N127" s="4"/>
      <c r="O127" s="4"/>
      <c r="P127" s="4"/>
      <c r="Q127" s="4"/>
      <c r="R127" s="4"/>
      <c r="S127" s="4"/>
      <c r="T127" s="4"/>
      <c r="U127" s="4"/>
      <c r="V127" s="4"/>
      <c r="W127" s="4"/>
      <c r="X127" s="4"/>
      <c r="Y127" s="4"/>
    </row>
    <row r="128" spans="1:25" x14ac:dyDescent="0.2">
      <c r="A128" s="41"/>
      <c r="B128" s="5"/>
      <c r="C128" s="4"/>
      <c r="D128" s="4"/>
      <c r="E128" s="4"/>
      <c r="F128" s="4"/>
      <c r="G128" s="4"/>
      <c r="H128" s="4"/>
      <c r="I128" s="4"/>
      <c r="J128" s="4"/>
      <c r="K128" s="4"/>
      <c r="L128" s="4"/>
      <c r="M128" s="4"/>
      <c r="N128" s="4"/>
      <c r="O128" s="4"/>
      <c r="P128" s="4"/>
      <c r="Q128" s="4"/>
      <c r="R128" s="4"/>
      <c r="S128" s="4"/>
      <c r="T128" s="4"/>
      <c r="U128" s="4"/>
      <c r="V128" s="4"/>
      <c r="W128" s="4"/>
      <c r="X128" s="4"/>
      <c r="Y128" s="4"/>
    </row>
    <row r="129" spans="1:25" x14ac:dyDescent="0.2">
      <c r="A129" s="41"/>
      <c r="B129" s="5"/>
      <c r="C129" s="4"/>
      <c r="D129" s="4"/>
      <c r="E129" s="4"/>
      <c r="F129" s="4"/>
      <c r="G129" s="4"/>
      <c r="H129" s="4"/>
      <c r="I129" s="4"/>
      <c r="J129" s="4"/>
      <c r="K129" s="4"/>
      <c r="L129" s="4"/>
      <c r="M129" s="4"/>
      <c r="N129" s="4"/>
      <c r="O129" s="4"/>
      <c r="P129" s="4"/>
      <c r="Q129" s="4"/>
      <c r="R129" s="4"/>
      <c r="S129" s="4"/>
      <c r="T129" s="4"/>
      <c r="U129" s="4"/>
      <c r="V129" s="4"/>
      <c r="W129" s="4"/>
      <c r="X129" s="4"/>
      <c r="Y129" s="4"/>
    </row>
    <row r="130" spans="1:25" x14ac:dyDescent="0.2">
      <c r="A130" s="41"/>
      <c r="B130" s="5"/>
      <c r="C130" s="4"/>
      <c r="D130" s="4"/>
      <c r="E130" s="4"/>
      <c r="F130" s="4"/>
      <c r="G130" s="4"/>
      <c r="H130" s="4"/>
      <c r="I130" s="4"/>
      <c r="J130" s="4"/>
      <c r="K130" s="4"/>
      <c r="L130" s="4"/>
      <c r="M130" s="4"/>
      <c r="N130" s="4"/>
      <c r="O130" s="4"/>
      <c r="P130" s="4"/>
      <c r="Q130" s="4"/>
      <c r="R130" s="4"/>
      <c r="S130" s="4"/>
      <c r="T130" s="4"/>
      <c r="U130" s="4"/>
      <c r="V130" s="4"/>
      <c r="W130" s="4"/>
      <c r="X130" s="4"/>
      <c r="Y130" s="4"/>
    </row>
    <row r="131" spans="1:25" x14ac:dyDescent="0.2">
      <c r="A131" s="41"/>
      <c r="B131" s="5"/>
      <c r="C131" s="4"/>
      <c r="D131" s="4"/>
      <c r="E131" s="4"/>
      <c r="F131" s="4"/>
      <c r="G131" s="4"/>
      <c r="H131" s="4"/>
      <c r="I131" s="4"/>
      <c r="J131" s="4"/>
      <c r="K131" s="4"/>
      <c r="L131" s="4"/>
      <c r="M131" s="4"/>
      <c r="N131" s="4"/>
      <c r="O131" s="4"/>
      <c r="P131" s="4"/>
      <c r="Q131" s="4"/>
      <c r="R131" s="4"/>
      <c r="S131" s="4"/>
      <c r="T131" s="4"/>
      <c r="U131" s="4"/>
      <c r="V131" s="4"/>
      <c r="W131" s="4"/>
      <c r="X131" s="4"/>
      <c r="Y131" s="4"/>
    </row>
    <row r="132" spans="1:25" x14ac:dyDescent="0.2">
      <c r="A132" s="41"/>
      <c r="B132" s="5"/>
      <c r="C132" s="4"/>
      <c r="D132" s="4"/>
      <c r="E132" s="4"/>
      <c r="F132" s="4"/>
      <c r="G132" s="4"/>
      <c r="H132" s="4"/>
      <c r="I132" s="4"/>
      <c r="J132" s="4"/>
      <c r="K132" s="4"/>
      <c r="L132" s="4"/>
      <c r="M132" s="4"/>
      <c r="N132" s="4"/>
      <c r="O132" s="4"/>
      <c r="P132" s="4"/>
      <c r="Q132" s="4"/>
      <c r="R132" s="4"/>
      <c r="S132" s="4"/>
      <c r="T132" s="4"/>
      <c r="U132" s="4"/>
      <c r="V132" s="4"/>
      <c r="W132" s="4"/>
      <c r="X132" s="4"/>
      <c r="Y132" s="4"/>
    </row>
    <row r="133" spans="1:25" x14ac:dyDescent="0.2">
      <c r="A133" s="41"/>
      <c r="B133" s="5"/>
      <c r="C133" s="4"/>
      <c r="D133" s="4"/>
      <c r="E133" s="4"/>
      <c r="F133" s="4"/>
      <c r="G133" s="4"/>
      <c r="H133" s="4"/>
      <c r="I133" s="4"/>
      <c r="J133" s="4"/>
      <c r="K133" s="4"/>
      <c r="L133" s="4"/>
      <c r="M133" s="4"/>
      <c r="N133" s="4"/>
      <c r="O133" s="4"/>
      <c r="P133" s="4"/>
      <c r="Q133" s="4"/>
      <c r="R133" s="4"/>
      <c r="S133" s="4"/>
      <c r="T133" s="4"/>
      <c r="U133" s="4"/>
      <c r="V133" s="4"/>
      <c r="W133" s="4"/>
      <c r="X133" s="4"/>
      <c r="Y133" s="4"/>
    </row>
    <row r="134" spans="1:25" x14ac:dyDescent="0.2">
      <c r="A134" s="41"/>
      <c r="B134" s="5"/>
      <c r="C134" s="4"/>
      <c r="D134" s="4"/>
      <c r="E134" s="4"/>
      <c r="F134" s="4"/>
      <c r="G134" s="4"/>
      <c r="H134" s="4"/>
      <c r="I134" s="4"/>
      <c r="J134" s="4"/>
      <c r="K134" s="4"/>
      <c r="L134" s="4"/>
      <c r="M134" s="4"/>
      <c r="N134" s="4"/>
      <c r="O134" s="4"/>
      <c r="P134" s="4"/>
      <c r="Q134" s="4"/>
      <c r="R134" s="4"/>
      <c r="S134" s="4"/>
      <c r="T134" s="4"/>
      <c r="U134" s="4"/>
      <c r="V134" s="4"/>
      <c r="W134" s="4"/>
      <c r="X134" s="4"/>
      <c r="Y134" s="4"/>
    </row>
    <row r="135" spans="1:25" x14ac:dyDescent="0.2">
      <c r="A135" s="41"/>
      <c r="B135" s="5"/>
      <c r="C135" s="4"/>
      <c r="D135" s="4"/>
      <c r="E135" s="4"/>
      <c r="F135" s="4"/>
      <c r="G135" s="4"/>
      <c r="H135" s="4"/>
      <c r="I135" s="4"/>
      <c r="J135" s="4"/>
      <c r="K135" s="4"/>
      <c r="L135" s="4"/>
      <c r="M135" s="4"/>
      <c r="N135" s="4"/>
      <c r="O135" s="4"/>
      <c r="P135" s="4"/>
      <c r="Q135" s="4"/>
      <c r="R135" s="4"/>
      <c r="S135" s="4"/>
      <c r="T135" s="4"/>
      <c r="U135" s="4"/>
      <c r="V135" s="4"/>
      <c r="W135" s="4"/>
      <c r="X135" s="4"/>
      <c r="Y135" s="4"/>
    </row>
    <row r="136" spans="1:25" x14ac:dyDescent="0.2">
      <c r="A136" s="41"/>
      <c r="B136" s="5"/>
      <c r="C136" s="4"/>
      <c r="D136" s="4"/>
      <c r="E136" s="4"/>
      <c r="F136" s="4"/>
      <c r="G136" s="4"/>
      <c r="H136" s="4"/>
      <c r="I136" s="4"/>
      <c r="J136" s="4"/>
      <c r="K136" s="4"/>
      <c r="L136" s="4"/>
      <c r="M136" s="4"/>
      <c r="N136" s="4"/>
      <c r="O136" s="4"/>
      <c r="P136" s="4"/>
      <c r="Q136" s="4"/>
      <c r="R136" s="4"/>
      <c r="S136" s="4"/>
      <c r="T136" s="4"/>
      <c r="U136" s="4"/>
      <c r="V136" s="4"/>
      <c r="W136" s="4"/>
      <c r="X136" s="4"/>
      <c r="Y136" s="4"/>
    </row>
    <row r="137" spans="1:25" x14ac:dyDescent="0.2">
      <c r="A137" s="41"/>
      <c r="B137" s="5"/>
      <c r="C137" s="4"/>
      <c r="D137" s="4"/>
      <c r="E137" s="4"/>
      <c r="F137" s="4"/>
      <c r="G137" s="4"/>
      <c r="H137" s="4"/>
      <c r="I137" s="4"/>
      <c r="J137" s="4"/>
      <c r="K137" s="4"/>
      <c r="L137" s="4"/>
      <c r="M137" s="4"/>
      <c r="N137" s="4"/>
      <c r="O137" s="4"/>
      <c r="P137" s="4"/>
      <c r="Q137" s="4"/>
      <c r="R137" s="4"/>
      <c r="S137" s="4"/>
      <c r="T137" s="4"/>
      <c r="U137" s="4"/>
      <c r="V137" s="4"/>
      <c r="W137" s="4"/>
      <c r="X137" s="4"/>
      <c r="Y137" s="4"/>
    </row>
    <row r="138" spans="1:25" x14ac:dyDescent="0.2">
      <c r="A138" s="41"/>
      <c r="B138" s="5"/>
      <c r="C138" s="4"/>
      <c r="D138" s="4"/>
      <c r="E138" s="4"/>
      <c r="F138" s="4"/>
      <c r="G138" s="4"/>
      <c r="H138" s="4"/>
      <c r="I138" s="4"/>
      <c r="J138" s="4"/>
      <c r="K138" s="4"/>
      <c r="L138" s="4"/>
      <c r="M138" s="4"/>
      <c r="N138" s="4"/>
      <c r="O138" s="4"/>
      <c r="P138" s="4"/>
      <c r="Q138" s="4"/>
      <c r="R138" s="4"/>
      <c r="S138" s="4"/>
      <c r="T138" s="4"/>
      <c r="U138" s="4"/>
      <c r="V138" s="4"/>
      <c r="W138" s="4"/>
      <c r="X138" s="4"/>
      <c r="Y138" s="4"/>
    </row>
    <row r="139" spans="1:25" x14ac:dyDescent="0.2">
      <c r="A139" s="41"/>
      <c r="B139" s="5"/>
      <c r="C139" s="4"/>
      <c r="D139" s="4"/>
      <c r="E139" s="4"/>
      <c r="F139" s="4"/>
      <c r="G139" s="4"/>
      <c r="H139" s="4"/>
      <c r="I139" s="4"/>
      <c r="J139" s="4"/>
      <c r="K139" s="4"/>
      <c r="L139" s="4"/>
      <c r="M139" s="4"/>
      <c r="N139" s="4"/>
      <c r="O139" s="4"/>
      <c r="P139" s="4"/>
      <c r="Q139" s="4"/>
      <c r="R139" s="4"/>
      <c r="S139" s="4"/>
      <c r="T139" s="4"/>
      <c r="U139" s="4"/>
      <c r="V139" s="4"/>
      <c r="W139" s="4"/>
      <c r="X139" s="4"/>
      <c r="Y139" s="4"/>
    </row>
    <row r="140" spans="1:25" x14ac:dyDescent="0.2">
      <c r="A140" s="41"/>
      <c r="B140" s="5"/>
      <c r="C140" s="4"/>
      <c r="D140" s="4"/>
      <c r="E140" s="4"/>
      <c r="F140" s="4"/>
      <c r="G140" s="4"/>
      <c r="H140" s="4"/>
      <c r="I140" s="4"/>
      <c r="J140" s="4"/>
      <c r="K140" s="4"/>
      <c r="L140" s="4"/>
      <c r="M140" s="4"/>
      <c r="N140" s="4"/>
      <c r="O140" s="4"/>
      <c r="P140" s="4"/>
      <c r="Q140" s="4"/>
      <c r="R140" s="4"/>
      <c r="S140" s="4"/>
      <c r="T140" s="4"/>
      <c r="U140" s="4"/>
      <c r="V140" s="4"/>
      <c r="W140" s="4"/>
      <c r="X140" s="4"/>
      <c r="Y140" s="4"/>
    </row>
    <row r="141" spans="1:25" x14ac:dyDescent="0.2">
      <c r="A141" s="41"/>
      <c r="B141" s="5"/>
      <c r="C141" s="4"/>
      <c r="D141" s="4"/>
      <c r="E141" s="4"/>
      <c r="F141" s="4"/>
      <c r="G141" s="4"/>
      <c r="H141" s="4"/>
      <c r="I141" s="4"/>
      <c r="J141" s="4"/>
      <c r="K141" s="4"/>
      <c r="L141" s="4"/>
      <c r="M141" s="4"/>
      <c r="N141" s="4"/>
      <c r="O141" s="4"/>
      <c r="P141" s="4"/>
      <c r="Q141" s="4"/>
      <c r="R141" s="4"/>
      <c r="S141" s="4"/>
      <c r="T141" s="4"/>
      <c r="U141" s="4"/>
      <c r="V141" s="4"/>
      <c r="W141" s="4"/>
      <c r="X141" s="4"/>
      <c r="Y141" s="4"/>
    </row>
    <row r="142" spans="1:25" x14ac:dyDescent="0.2">
      <c r="A142" s="41"/>
      <c r="B142" s="5"/>
      <c r="C142" s="4"/>
      <c r="D142" s="4"/>
      <c r="E142" s="4"/>
      <c r="F142" s="4"/>
      <c r="G142" s="4"/>
      <c r="H142" s="4"/>
      <c r="I142" s="4"/>
      <c r="J142" s="4"/>
      <c r="K142" s="4"/>
      <c r="L142" s="4"/>
      <c r="M142" s="4"/>
      <c r="N142" s="4"/>
      <c r="O142" s="4"/>
      <c r="P142" s="4"/>
      <c r="Q142" s="4"/>
      <c r="R142" s="4"/>
      <c r="S142" s="4"/>
      <c r="T142" s="4"/>
      <c r="U142" s="4"/>
      <c r="V142" s="4"/>
      <c r="W142" s="4"/>
      <c r="X142" s="4"/>
      <c r="Y142" s="4"/>
    </row>
    <row r="143" spans="1:25" x14ac:dyDescent="0.2">
      <c r="A143" s="41"/>
      <c r="B143" s="5"/>
      <c r="C143" s="4"/>
      <c r="D143" s="4"/>
      <c r="E143" s="4"/>
      <c r="F143" s="4"/>
      <c r="G143" s="4"/>
      <c r="H143" s="4"/>
      <c r="I143" s="4"/>
      <c r="J143" s="4"/>
      <c r="K143" s="4"/>
      <c r="L143" s="4"/>
      <c r="M143" s="4"/>
      <c r="N143" s="4"/>
      <c r="O143" s="4"/>
      <c r="P143" s="4"/>
      <c r="Q143" s="4"/>
      <c r="R143" s="4"/>
      <c r="S143" s="4"/>
      <c r="T143" s="4"/>
      <c r="U143" s="4"/>
      <c r="V143" s="4"/>
      <c r="W143" s="4"/>
      <c r="X143" s="4"/>
      <c r="Y143" s="4"/>
    </row>
    <row r="144" spans="1:25" x14ac:dyDescent="0.2">
      <c r="A144" s="41"/>
      <c r="B144" s="5"/>
      <c r="C144" s="4"/>
      <c r="D144" s="4"/>
      <c r="E144" s="4"/>
      <c r="F144" s="4"/>
      <c r="G144" s="4"/>
      <c r="H144" s="4"/>
      <c r="I144" s="4"/>
      <c r="J144" s="4"/>
      <c r="K144" s="4"/>
      <c r="L144" s="4"/>
      <c r="M144" s="4"/>
      <c r="N144" s="4"/>
      <c r="O144" s="4"/>
      <c r="P144" s="4"/>
      <c r="Q144" s="4"/>
      <c r="R144" s="4"/>
      <c r="S144" s="4"/>
      <c r="T144" s="4"/>
      <c r="U144" s="4"/>
      <c r="V144" s="4"/>
      <c r="W144" s="4"/>
      <c r="X144" s="4"/>
      <c r="Y144" s="4"/>
    </row>
    <row r="145" spans="1:25" x14ac:dyDescent="0.2">
      <c r="A145" s="41"/>
      <c r="B145" s="5"/>
      <c r="C145" s="4"/>
      <c r="D145" s="4"/>
      <c r="E145" s="4"/>
      <c r="F145" s="4"/>
      <c r="G145" s="4"/>
      <c r="H145" s="4"/>
      <c r="I145" s="4"/>
      <c r="J145" s="4"/>
      <c r="K145" s="4"/>
      <c r="L145" s="4"/>
      <c r="M145" s="4"/>
      <c r="N145" s="4"/>
      <c r="O145" s="4"/>
      <c r="P145" s="4"/>
      <c r="Q145" s="4"/>
      <c r="R145" s="4"/>
      <c r="S145" s="4"/>
      <c r="T145" s="4"/>
      <c r="U145" s="4"/>
      <c r="V145" s="4"/>
      <c r="W145" s="4"/>
      <c r="X145" s="4"/>
      <c r="Y145" s="4"/>
    </row>
    <row r="146" spans="1:25" x14ac:dyDescent="0.2">
      <c r="A146" s="41"/>
      <c r="B146" s="5"/>
      <c r="C146" s="4"/>
      <c r="D146" s="4"/>
      <c r="E146" s="4"/>
      <c r="F146" s="4"/>
      <c r="G146" s="4"/>
      <c r="H146" s="4"/>
      <c r="I146" s="4"/>
      <c r="J146" s="4"/>
      <c r="K146" s="4"/>
      <c r="L146" s="4"/>
      <c r="M146" s="4"/>
      <c r="N146" s="4"/>
      <c r="O146" s="4"/>
      <c r="P146" s="4"/>
      <c r="Q146" s="4"/>
      <c r="R146" s="4"/>
      <c r="S146" s="4"/>
      <c r="T146" s="4"/>
      <c r="U146" s="4"/>
      <c r="V146" s="4"/>
      <c r="W146" s="4"/>
      <c r="X146" s="4"/>
      <c r="Y146" s="4"/>
    </row>
    <row r="147" spans="1:25" x14ac:dyDescent="0.2">
      <c r="A147" s="41"/>
      <c r="B147" s="5"/>
      <c r="C147" s="4"/>
      <c r="D147" s="4"/>
      <c r="E147" s="4"/>
      <c r="F147" s="4"/>
      <c r="G147" s="4"/>
      <c r="H147" s="4"/>
      <c r="I147" s="4"/>
      <c r="J147" s="4"/>
      <c r="K147" s="4"/>
      <c r="L147" s="4"/>
      <c r="M147" s="4"/>
      <c r="N147" s="4"/>
      <c r="O147" s="4"/>
      <c r="P147" s="4"/>
      <c r="Q147" s="4"/>
      <c r="R147" s="4"/>
      <c r="S147" s="4"/>
      <c r="T147" s="4"/>
      <c r="U147" s="4"/>
      <c r="V147" s="4"/>
      <c r="W147" s="4"/>
      <c r="X147" s="4"/>
      <c r="Y147" s="4"/>
    </row>
    <row r="148" spans="1:25" x14ac:dyDescent="0.2">
      <c r="A148" s="41"/>
      <c r="B148" s="5"/>
      <c r="C148" s="4"/>
      <c r="D148" s="4"/>
      <c r="E148" s="4"/>
      <c r="F148" s="4"/>
      <c r="G148" s="4"/>
      <c r="H148" s="4"/>
      <c r="I148" s="4"/>
      <c r="J148" s="4"/>
      <c r="K148" s="4"/>
      <c r="L148" s="4"/>
      <c r="M148" s="4"/>
      <c r="N148" s="4"/>
      <c r="O148" s="4"/>
      <c r="P148" s="4"/>
      <c r="Q148" s="4"/>
      <c r="R148" s="4"/>
      <c r="S148" s="4"/>
      <c r="T148" s="4"/>
      <c r="U148" s="4"/>
      <c r="V148" s="4"/>
      <c r="W148" s="4"/>
      <c r="X148" s="4"/>
      <c r="Y148" s="4"/>
    </row>
    <row r="149" spans="1:25" x14ac:dyDescent="0.2">
      <c r="A149" s="41"/>
      <c r="B149" s="5"/>
      <c r="C149" s="4"/>
      <c r="D149" s="4"/>
      <c r="E149" s="4"/>
      <c r="F149" s="4"/>
      <c r="G149" s="4"/>
      <c r="H149" s="4"/>
      <c r="I149" s="4"/>
      <c r="J149" s="4"/>
      <c r="K149" s="4"/>
      <c r="L149" s="4"/>
      <c r="M149" s="4"/>
      <c r="N149" s="4"/>
      <c r="O149" s="4"/>
      <c r="P149" s="4"/>
      <c r="Q149" s="4"/>
      <c r="R149" s="4"/>
      <c r="S149" s="4"/>
      <c r="T149" s="4"/>
      <c r="U149" s="4"/>
      <c r="V149" s="4"/>
      <c r="W149" s="4"/>
      <c r="X149" s="4"/>
      <c r="Y149" s="4"/>
    </row>
    <row r="150" spans="1:25" x14ac:dyDescent="0.2">
      <c r="A150" s="41"/>
      <c r="B150" s="5"/>
      <c r="C150" s="4"/>
      <c r="D150" s="4"/>
      <c r="E150" s="4"/>
      <c r="F150" s="4"/>
      <c r="G150" s="4"/>
      <c r="H150" s="4"/>
      <c r="I150" s="4"/>
      <c r="J150" s="4"/>
      <c r="K150" s="4"/>
      <c r="L150" s="4"/>
      <c r="M150" s="4"/>
      <c r="N150" s="4"/>
      <c r="O150" s="4"/>
      <c r="P150" s="4"/>
      <c r="Q150" s="4"/>
      <c r="R150" s="4"/>
      <c r="S150" s="4"/>
      <c r="T150" s="4"/>
      <c r="U150" s="4"/>
      <c r="V150" s="4"/>
      <c r="W150" s="4"/>
      <c r="X150" s="4"/>
      <c r="Y150" s="4"/>
    </row>
    <row r="151" spans="1:25" x14ac:dyDescent="0.2">
      <c r="A151" s="41"/>
      <c r="B151" s="5"/>
      <c r="C151" s="4"/>
      <c r="D151" s="4"/>
      <c r="E151" s="4"/>
      <c r="F151" s="4"/>
      <c r="G151" s="4"/>
      <c r="H151" s="4"/>
      <c r="I151" s="4"/>
      <c r="J151" s="4"/>
      <c r="K151" s="4"/>
      <c r="L151" s="4"/>
      <c r="M151" s="4"/>
      <c r="N151" s="4"/>
      <c r="O151" s="4"/>
      <c r="P151" s="4"/>
      <c r="Q151" s="4"/>
      <c r="R151" s="4"/>
      <c r="S151" s="4"/>
      <c r="T151" s="4"/>
      <c r="U151" s="4"/>
      <c r="V151" s="4"/>
      <c r="W151" s="4"/>
      <c r="X151" s="4"/>
      <c r="Y151" s="4"/>
    </row>
    <row r="152" spans="1:25" x14ac:dyDescent="0.2">
      <c r="A152" s="41"/>
      <c r="B152" s="5"/>
      <c r="C152" s="4"/>
      <c r="D152" s="4"/>
      <c r="E152" s="4"/>
      <c r="F152" s="4"/>
      <c r="G152" s="4"/>
      <c r="H152" s="4"/>
      <c r="I152" s="4"/>
      <c r="J152" s="4"/>
      <c r="K152" s="4"/>
      <c r="L152" s="4"/>
      <c r="M152" s="4"/>
      <c r="N152" s="4"/>
      <c r="O152" s="4"/>
      <c r="P152" s="4"/>
      <c r="Q152" s="4"/>
      <c r="R152" s="4"/>
      <c r="S152" s="4"/>
      <c r="T152" s="4"/>
      <c r="U152" s="4"/>
      <c r="V152" s="4"/>
      <c r="W152" s="4"/>
      <c r="X152" s="4"/>
      <c r="Y152" s="4"/>
    </row>
    <row r="153" spans="1:25" x14ac:dyDescent="0.2">
      <c r="A153" s="41"/>
      <c r="B153" s="5"/>
      <c r="C153" s="4"/>
      <c r="D153" s="4"/>
      <c r="E153" s="4"/>
      <c r="F153" s="4"/>
      <c r="G153" s="4"/>
      <c r="H153" s="4"/>
      <c r="I153" s="4"/>
      <c r="J153" s="4"/>
      <c r="K153" s="4"/>
      <c r="L153" s="4"/>
      <c r="M153" s="4"/>
      <c r="N153" s="4"/>
      <c r="O153" s="4"/>
      <c r="P153" s="4"/>
      <c r="Q153" s="4"/>
      <c r="R153" s="4"/>
      <c r="S153" s="4"/>
      <c r="T153" s="4"/>
      <c r="U153" s="4"/>
      <c r="V153" s="4"/>
      <c r="W153" s="4"/>
      <c r="X153" s="4"/>
      <c r="Y153" s="4"/>
    </row>
    <row r="154" spans="1:25" x14ac:dyDescent="0.2">
      <c r="A154" s="41"/>
      <c r="B154" s="5"/>
      <c r="C154" s="4"/>
      <c r="D154" s="4"/>
      <c r="E154" s="4"/>
      <c r="F154" s="4"/>
      <c r="G154" s="4"/>
      <c r="H154" s="4"/>
      <c r="I154" s="4"/>
      <c r="J154" s="4"/>
      <c r="K154" s="4"/>
      <c r="L154" s="4"/>
      <c r="M154" s="4"/>
      <c r="N154" s="4"/>
      <c r="O154" s="4"/>
      <c r="P154" s="4"/>
      <c r="Q154" s="4"/>
      <c r="R154" s="4"/>
      <c r="S154" s="4"/>
      <c r="T154" s="4"/>
      <c r="U154" s="4"/>
      <c r="V154" s="4"/>
      <c r="W154" s="4"/>
      <c r="X154" s="4"/>
      <c r="Y154" s="4"/>
    </row>
    <row r="155" spans="1:25" x14ac:dyDescent="0.2">
      <c r="A155" s="41"/>
      <c r="B155" s="5"/>
      <c r="C155" s="4"/>
      <c r="D155" s="4"/>
      <c r="E155" s="4"/>
      <c r="F155" s="4"/>
      <c r="G155" s="4"/>
      <c r="H155" s="4"/>
      <c r="I155" s="4"/>
      <c r="J155" s="4"/>
      <c r="K155" s="4"/>
      <c r="L155" s="4"/>
      <c r="M155" s="4"/>
      <c r="N155" s="4"/>
      <c r="O155" s="4"/>
      <c r="P155" s="4"/>
      <c r="Q155" s="4"/>
      <c r="R155" s="4"/>
      <c r="S155" s="4"/>
      <c r="T155" s="4"/>
      <c r="U155" s="4"/>
      <c r="V155" s="4"/>
      <c r="W155" s="4"/>
      <c r="X155" s="4"/>
      <c r="Y155" s="4"/>
    </row>
    <row r="156" spans="1:25" x14ac:dyDescent="0.2">
      <c r="A156" s="41"/>
      <c r="B156" s="5"/>
      <c r="C156" s="4"/>
      <c r="D156" s="4"/>
      <c r="E156" s="4"/>
      <c r="F156" s="4"/>
      <c r="G156" s="4"/>
      <c r="H156" s="4"/>
      <c r="I156" s="4"/>
      <c r="J156" s="4"/>
      <c r="K156" s="4"/>
      <c r="L156" s="4"/>
      <c r="M156" s="4"/>
      <c r="N156" s="4"/>
      <c r="O156" s="4"/>
      <c r="P156" s="4"/>
      <c r="Q156" s="4"/>
      <c r="R156" s="4"/>
      <c r="S156" s="4"/>
      <c r="T156" s="4"/>
      <c r="U156" s="4"/>
      <c r="V156" s="4"/>
      <c r="W156" s="4"/>
      <c r="X156" s="4"/>
      <c r="Y156" s="4"/>
    </row>
    <row r="157" spans="1:25" x14ac:dyDescent="0.2">
      <c r="A157" s="41"/>
      <c r="B157" s="5"/>
      <c r="C157" s="4"/>
      <c r="D157" s="4"/>
      <c r="E157" s="4"/>
      <c r="F157" s="4"/>
      <c r="G157" s="4"/>
      <c r="H157" s="4"/>
      <c r="I157" s="4"/>
      <c r="J157" s="4"/>
      <c r="K157" s="4"/>
      <c r="L157" s="4"/>
      <c r="M157" s="4"/>
      <c r="N157" s="4"/>
      <c r="O157" s="4"/>
      <c r="P157" s="4"/>
      <c r="Q157" s="4"/>
      <c r="R157" s="4"/>
      <c r="S157" s="4"/>
      <c r="T157" s="4"/>
      <c r="U157" s="4"/>
      <c r="V157" s="4"/>
      <c r="W157" s="4"/>
      <c r="X157" s="4"/>
      <c r="Y157" s="4"/>
    </row>
    <row r="158" spans="1:25" x14ac:dyDescent="0.2">
      <c r="A158" s="41"/>
      <c r="B158" s="5"/>
      <c r="C158" s="4"/>
      <c r="D158" s="4"/>
      <c r="E158" s="4"/>
      <c r="F158" s="4"/>
      <c r="G158" s="4"/>
      <c r="H158" s="4"/>
      <c r="I158" s="4"/>
      <c r="J158" s="4"/>
      <c r="K158" s="4"/>
      <c r="L158" s="4"/>
      <c r="M158" s="4"/>
      <c r="N158" s="4"/>
      <c r="O158" s="4"/>
      <c r="P158" s="4"/>
      <c r="Q158" s="4"/>
      <c r="R158" s="4"/>
      <c r="S158" s="4"/>
      <c r="T158" s="4"/>
      <c r="U158" s="4"/>
      <c r="V158" s="4"/>
      <c r="W158" s="4"/>
      <c r="X158" s="4"/>
      <c r="Y158" s="4"/>
    </row>
    <row r="159" spans="1:25" x14ac:dyDescent="0.2">
      <c r="A159" s="41"/>
      <c r="B159" s="5"/>
      <c r="C159" s="4"/>
      <c r="D159" s="4"/>
      <c r="E159" s="4"/>
      <c r="F159" s="4"/>
      <c r="G159" s="4"/>
      <c r="H159" s="4"/>
      <c r="I159" s="4"/>
      <c r="J159" s="4"/>
      <c r="K159" s="4"/>
      <c r="L159" s="4"/>
      <c r="M159" s="4"/>
      <c r="N159" s="4"/>
      <c r="O159" s="4"/>
      <c r="P159" s="4"/>
      <c r="Q159" s="4"/>
      <c r="R159" s="4"/>
      <c r="S159" s="4"/>
      <c r="T159" s="4"/>
      <c r="U159" s="4"/>
      <c r="V159" s="4"/>
      <c r="W159" s="4"/>
      <c r="X159" s="4"/>
      <c r="Y159" s="4"/>
    </row>
    <row r="160" spans="1:25" x14ac:dyDescent="0.2">
      <c r="A160" s="41"/>
      <c r="B160" s="5"/>
      <c r="C160" s="4"/>
      <c r="D160" s="4"/>
      <c r="E160" s="4"/>
      <c r="F160" s="4"/>
      <c r="G160" s="4"/>
      <c r="H160" s="4"/>
      <c r="I160" s="4"/>
      <c r="J160" s="4"/>
      <c r="K160" s="4"/>
      <c r="L160" s="4"/>
      <c r="M160" s="4"/>
      <c r="N160" s="4"/>
      <c r="O160" s="4"/>
      <c r="P160" s="4"/>
      <c r="Q160" s="4"/>
      <c r="R160" s="4"/>
      <c r="S160" s="4"/>
      <c r="T160" s="4"/>
      <c r="U160" s="4"/>
      <c r="V160" s="4"/>
      <c r="W160" s="4"/>
      <c r="X160" s="4"/>
      <c r="Y160" s="4"/>
    </row>
    <row r="161" spans="1:25" x14ac:dyDescent="0.2">
      <c r="A161" s="41"/>
      <c r="B161" s="5"/>
      <c r="C161" s="4"/>
      <c r="D161" s="4"/>
      <c r="E161" s="4"/>
      <c r="F161" s="4"/>
      <c r="G161" s="4"/>
      <c r="H161" s="4"/>
      <c r="I161" s="4"/>
      <c r="J161" s="4"/>
      <c r="K161" s="4"/>
      <c r="L161" s="4"/>
      <c r="M161" s="4"/>
      <c r="N161" s="4"/>
      <c r="O161" s="4"/>
      <c r="P161" s="4"/>
      <c r="Q161" s="4"/>
      <c r="R161" s="4"/>
      <c r="S161" s="4"/>
      <c r="T161" s="4"/>
      <c r="U161" s="4"/>
      <c r="V161" s="4"/>
      <c r="W161" s="4"/>
      <c r="X161" s="4"/>
      <c r="Y161" s="4"/>
    </row>
    <row r="162" spans="1:25" x14ac:dyDescent="0.2">
      <c r="A162" s="41"/>
      <c r="B162" s="5"/>
      <c r="C162" s="4"/>
      <c r="D162" s="4"/>
      <c r="E162" s="4"/>
      <c r="F162" s="4"/>
      <c r="G162" s="4"/>
      <c r="H162" s="4"/>
      <c r="I162" s="4"/>
      <c r="J162" s="4"/>
      <c r="K162" s="4"/>
      <c r="L162" s="4"/>
      <c r="M162" s="4"/>
      <c r="N162" s="4"/>
      <c r="O162" s="4"/>
      <c r="P162" s="4"/>
      <c r="Q162" s="4"/>
      <c r="R162" s="4"/>
      <c r="S162" s="4"/>
      <c r="T162" s="4"/>
      <c r="U162" s="4"/>
      <c r="V162" s="4"/>
      <c r="W162" s="4"/>
      <c r="X162" s="4"/>
      <c r="Y162" s="4"/>
    </row>
    <row r="163" spans="1:25" x14ac:dyDescent="0.2">
      <c r="A163" s="41"/>
      <c r="B163" s="5"/>
      <c r="C163" s="4"/>
      <c r="D163" s="4"/>
      <c r="E163" s="4"/>
      <c r="F163" s="4"/>
      <c r="G163" s="4"/>
      <c r="H163" s="4"/>
      <c r="I163" s="4"/>
      <c r="J163" s="4"/>
      <c r="K163" s="4"/>
      <c r="L163" s="4"/>
      <c r="M163" s="4"/>
      <c r="N163" s="4"/>
      <c r="O163" s="4"/>
      <c r="P163" s="4"/>
      <c r="Q163" s="4"/>
      <c r="R163" s="4"/>
      <c r="S163" s="4"/>
      <c r="T163" s="4"/>
      <c r="U163" s="4"/>
      <c r="V163" s="4"/>
      <c r="W163" s="4"/>
      <c r="X163" s="4"/>
      <c r="Y163" s="4"/>
    </row>
    <row r="164" spans="1:25" x14ac:dyDescent="0.2">
      <c r="A164" s="41"/>
      <c r="B164" s="5"/>
      <c r="C164" s="4"/>
      <c r="D164" s="4"/>
      <c r="E164" s="4"/>
      <c r="F164" s="4"/>
      <c r="G164" s="4"/>
      <c r="H164" s="4"/>
      <c r="I164" s="4"/>
      <c r="J164" s="4"/>
      <c r="K164" s="4"/>
      <c r="L164" s="4"/>
      <c r="M164" s="4"/>
      <c r="N164" s="4"/>
      <c r="O164" s="4"/>
      <c r="P164" s="4"/>
      <c r="Q164" s="4"/>
      <c r="R164" s="4"/>
      <c r="S164" s="4"/>
      <c r="T164" s="4"/>
      <c r="U164" s="4"/>
      <c r="V164" s="4"/>
      <c r="W164" s="4"/>
      <c r="X164" s="4"/>
      <c r="Y164" s="4"/>
    </row>
    <row r="165" spans="1:25" x14ac:dyDescent="0.2">
      <c r="A165" s="41"/>
      <c r="B165" s="5"/>
      <c r="C165" s="4"/>
      <c r="D165" s="4"/>
      <c r="E165" s="4"/>
      <c r="F165" s="4"/>
      <c r="G165" s="4"/>
      <c r="H165" s="4"/>
      <c r="I165" s="4"/>
      <c r="J165" s="4"/>
      <c r="K165" s="4"/>
      <c r="L165" s="4"/>
      <c r="M165" s="4"/>
      <c r="N165" s="4"/>
      <c r="O165" s="4"/>
      <c r="P165" s="4"/>
      <c r="Q165" s="4"/>
      <c r="R165" s="4"/>
      <c r="S165" s="4"/>
      <c r="T165" s="4"/>
      <c r="U165" s="4"/>
      <c r="V165" s="4"/>
      <c r="W165" s="4"/>
      <c r="X165" s="4"/>
      <c r="Y165" s="4"/>
    </row>
    <row r="166" spans="1:25" x14ac:dyDescent="0.2">
      <c r="A166" s="41"/>
      <c r="B166" s="5"/>
      <c r="C166" s="4"/>
      <c r="D166" s="4"/>
      <c r="E166" s="4"/>
      <c r="F166" s="4"/>
      <c r="G166" s="4"/>
      <c r="H166" s="4"/>
      <c r="I166" s="4"/>
      <c r="J166" s="4"/>
      <c r="K166" s="4"/>
      <c r="L166" s="4"/>
      <c r="M166" s="4"/>
      <c r="N166" s="4"/>
      <c r="O166" s="4"/>
      <c r="P166" s="4"/>
      <c r="Q166" s="4"/>
      <c r="R166" s="4"/>
      <c r="S166" s="4"/>
      <c r="T166" s="4"/>
      <c r="U166" s="4"/>
      <c r="V166" s="4"/>
      <c r="W166" s="4"/>
      <c r="X166" s="4"/>
      <c r="Y166" s="4"/>
    </row>
    <row r="167" spans="1:25" x14ac:dyDescent="0.2">
      <c r="A167" s="41"/>
      <c r="B167" s="5"/>
      <c r="C167" s="4"/>
      <c r="D167" s="4"/>
      <c r="E167" s="4"/>
      <c r="F167" s="4"/>
      <c r="G167" s="4"/>
      <c r="H167" s="4"/>
      <c r="I167" s="4"/>
      <c r="J167" s="4"/>
      <c r="K167" s="4"/>
      <c r="L167" s="4"/>
      <c r="M167" s="4"/>
      <c r="N167" s="4"/>
      <c r="O167" s="4"/>
      <c r="P167" s="4"/>
      <c r="Q167" s="4"/>
      <c r="R167" s="4"/>
      <c r="S167" s="4"/>
      <c r="T167" s="4"/>
      <c r="U167" s="4"/>
      <c r="V167" s="4"/>
      <c r="W167" s="4"/>
      <c r="X167" s="4"/>
      <c r="Y167" s="4"/>
    </row>
    <row r="168" spans="1:25" x14ac:dyDescent="0.2">
      <c r="A168" s="41"/>
      <c r="B168" s="5"/>
      <c r="C168" s="4"/>
      <c r="D168" s="4"/>
      <c r="E168" s="4"/>
      <c r="F168" s="4"/>
      <c r="G168" s="4"/>
      <c r="H168" s="4"/>
      <c r="I168" s="4"/>
      <c r="J168" s="4"/>
      <c r="K168" s="4"/>
      <c r="L168" s="4"/>
      <c r="M168" s="4"/>
      <c r="N168" s="4"/>
      <c r="O168" s="4"/>
      <c r="P168" s="4"/>
      <c r="Q168" s="4"/>
      <c r="R168" s="4"/>
      <c r="S168" s="4"/>
      <c r="T168" s="4"/>
      <c r="U168" s="4"/>
      <c r="V168" s="4"/>
      <c r="W168" s="4"/>
      <c r="X168" s="4"/>
      <c r="Y168" s="4"/>
    </row>
    <row r="169" spans="1:25" x14ac:dyDescent="0.2">
      <c r="A169" s="41"/>
      <c r="B169" s="5"/>
      <c r="C169" s="4"/>
      <c r="D169" s="4"/>
      <c r="E169" s="4"/>
      <c r="F169" s="4"/>
      <c r="G169" s="4"/>
      <c r="H169" s="4"/>
      <c r="I169" s="4"/>
      <c r="J169" s="4"/>
      <c r="K169" s="4"/>
      <c r="L169" s="4"/>
      <c r="M169" s="4"/>
      <c r="N169" s="4"/>
      <c r="O169" s="4"/>
      <c r="P169" s="4"/>
      <c r="Q169" s="4"/>
      <c r="R169" s="4"/>
      <c r="S169" s="4"/>
      <c r="T169" s="4"/>
      <c r="U169" s="4"/>
      <c r="V169" s="4"/>
      <c r="W169" s="4"/>
      <c r="X169" s="4"/>
      <c r="Y169" s="4"/>
    </row>
    <row r="170" spans="1:25" x14ac:dyDescent="0.2">
      <c r="A170" s="41"/>
      <c r="B170" s="5"/>
      <c r="C170" s="4"/>
      <c r="D170" s="4"/>
      <c r="E170" s="4"/>
      <c r="F170" s="4"/>
      <c r="G170" s="4"/>
      <c r="H170" s="4"/>
      <c r="I170" s="4"/>
      <c r="J170" s="4"/>
      <c r="K170" s="4"/>
      <c r="L170" s="4"/>
      <c r="M170" s="4"/>
      <c r="N170" s="4"/>
      <c r="O170" s="4"/>
      <c r="P170" s="4"/>
      <c r="Q170" s="4"/>
      <c r="R170" s="4"/>
      <c r="S170" s="4"/>
      <c r="T170" s="4"/>
      <c r="U170" s="4"/>
      <c r="V170" s="4"/>
      <c r="W170" s="4"/>
      <c r="X170" s="4"/>
      <c r="Y170" s="4"/>
    </row>
    <row r="171" spans="1:25" x14ac:dyDescent="0.2">
      <c r="A171" s="41"/>
      <c r="B171" s="5"/>
      <c r="C171" s="4"/>
      <c r="D171" s="4"/>
      <c r="E171" s="4"/>
      <c r="F171" s="4"/>
      <c r="G171" s="4"/>
      <c r="H171" s="4"/>
      <c r="I171" s="4"/>
      <c r="J171" s="4"/>
      <c r="K171" s="4"/>
      <c r="L171" s="4"/>
      <c r="M171" s="4"/>
      <c r="N171" s="4"/>
      <c r="O171" s="4"/>
      <c r="P171" s="4"/>
      <c r="Q171" s="4"/>
      <c r="R171" s="4"/>
      <c r="S171" s="4"/>
      <c r="T171" s="4"/>
      <c r="U171" s="4"/>
      <c r="V171" s="4"/>
      <c r="W171" s="4"/>
      <c r="X171" s="4"/>
      <c r="Y171" s="4"/>
    </row>
    <row r="172" spans="1:25" x14ac:dyDescent="0.2">
      <c r="A172" s="41"/>
      <c r="B172" s="5"/>
      <c r="C172" s="4"/>
      <c r="D172" s="4"/>
      <c r="E172" s="4"/>
      <c r="F172" s="4"/>
      <c r="G172" s="4"/>
      <c r="H172" s="4"/>
      <c r="I172" s="4"/>
      <c r="J172" s="4"/>
      <c r="K172" s="4"/>
      <c r="L172" s="4"/>
      <c r="M172" s="4"/>
      <c r="N172" s="4"/>
      <c r="O172" s="4"/>
      <c r="P172" s="4"/>
      <c r="Q172" s="4"/>
      <c r="R172" s="4"/>
      <c r="S172" s="4"/>
      <c r="T172" s="4"/>
      <c r="U172" s="4"/>
      <c r="V172" s="4"/>
      <c r="W172" s="4"/>
      <c r="X172" s="4"/>
      <c r="Y172" s="4"/>
    </row>
    <row r="173" spans="1:25" x14ac:dyDescent="0.2">
      <c r="A173" s="41"/>
      <c r="B173" s="5"/>
      <c r="C173" s="4"/>
      <c r="D173" s="4"/>
      <c r="E173" s="4"/>
      <c r="F173" s="4"/>
      <c r="G173" s="4"/>
      <c r="H173" s="4"/>
      <c r="I173" s="4"/>
      <c r="J173" s="4"/>
      <c r="K173" s="4"/>
      <c r="L173" s="4"/>
      <c r="M173" s="4"/>
      <c r="N173" s="4"/>
      <c r="O173" s="4"/>
      <c r="P173" s="4"/>
      <c r="Q173" s="4"/>
      <c r="R173" s="4"/>
      <c r="S173" s="4"/>
      <c r="T173" s="4"/>
      <c r="U173" s="4"/>
      <c r="V173" s="4"/>
      <c r="W173" s="4"/>
      <c r="X173" s="4"/>
      <c r="Y173" s="4"/>
    </row>
    <row r="174" spans="1:25" x14ac:dyDescent="0.2">
      <c r="A174" s="41"/>
      <c r="B174" s="5"/>
      <c r="C174" s="4"/>
      <c r="D174" s="4"/>
      <c r="E174" s="4"/>
      <c r="F174" s="4"/>
      <c r="G174" s="4"/>
      <c r="H174" s="4"/>
      <c r="I174" s="4"/>
      <c r="J174" s="4"/>
      <c r="K174" s="4"/>
      <c r="L174" s="4"/>
      <c r="M174" s="4"/>
      <c r="N174" s="4"/>
      <c r="O174" s="4"/>
      <c r="P174" s="4"/>
      <c r="Q174" s="4"/>
      <c r="R174" s="4"/>
      <c r="S174" s="4"/>
      <c r="T174" s="4"/>
      <c r="U174" s="4"/>
      <c r="V174" s="4"/>
      <c r="W174" s="4"/>
      <c r="X174" s="4"/>
      <c r="Y174" s="4"/>
    </row>
    <row r="175" spans="1:25" x14ac:dyDescent="0.2">
      <c r="A175" s="41"/>
      <c r="B175" s="5"/>
      <c r="C175" s="4"/>
      <c r="D175" s="4"/>
      <c r="E175" s="4"/>
      <c r="F175" s="4"/>
      <c r="G175" s="4"/>
      <c r="H175" s="4"/>
      <c r="I175" s="4"/>
      <c r="J175" s="4"/>
      <c r="K175" s="4"/>
      <c r="L175" s="4"/>
      <c r="M175" s="4"/>
      <c r="N175" s="4"/>
      <c r="O175" s="4"/>
      <c r="P175" s="4"/>
      <c r="Q175" s="4"/>
      <c r="R175" s="4"/>
      <c r="S175" s="4"/>
      <c r="T175" s="4"/>
      <c r="U175" s="4"/>
      <c r="V175" s="4"/>
      <c r="W175" s="4"/>
      <c r="X175" s="4"/>
      <c r="Y175" s="4"/>
    </row>
    <row r="176" spans="1:25" x14ac:dyDescent="0.2">
      <c r="A176" s="41"/>
      <c r="B176" s="5"/>
      <c r="C176" s="4"/>
      <c r="D176" s="4"/>
      <c r="E176" s="4"/>
      <c r="F176" s="4"/>
      <c r="G176" s="4"/>
      <c r="H176" s="4"/>
      <c r="I176" s="4"/>
      <c r="J176" s="4"/>
      <c r="K176" s="4"/>
      <c r="L176" s="4"/>
      <c r="M176" s="4"/>
      <c r="N176" s="4"/>
      <c r="O176" s="4"/>
      <c r="P176" s="4"/>
      <c r="Q176" s="4"/>
      <c r="R176" s="4"/>
      <c r="S176" s="4"/>
      <c r="T176" s="4"/>
      <c r="U176" s="4"/>
      <c r="V176" s="4"/>
      <c r="W176" s="4"/>
      <c r="X176" s="4"/>
      <c r="Y176" s="4"/>
    </row>
    <row r="177" spans="1:25" x14ac:dyDescent="0.2">
      <c r="A177" s="41"/>
      <c r="B177" s="5"/>
      <c r="C177" s="4"/>
      <c r="D177" s="4"/>
      <c r="E177" s="4"/>
      <c r="F177" s="4"/>
      <c r="G177" s="4"/>
      <c r="H177" s="4"/>
      <c r="I177" s="4"/>
      <c r="J177" s="4"/>
      <c r="K177" s="4"/>
      <c r="L177" s="4"/>
      <c r="M177" s="4"/>
      <c r="N177" s="4"/>
      <c r="O177" s="4"/>
      <c r="P177" s="4"/>
      <c r="Q177" s="4"/>
      <c r="R177" s="4"/>
      <c r="S177" s="4"/>
      <c r="T177" s="4"/>
      <c r="U177" s="4"/>
      <c r="V177" s="4"/>
      <c r="W177" s="4"/>
      <c r="X177" s="4"/>
      <c r="Y177" s="4"/>
    </row>
    <row r="178" spans="1:25" x14ac:dyDescent="0.2">
      <c r="A178" s="41"/>
      <c r="B178" s="5"/>
      <c r="C178" s="4"/>
      <c r="D178" s="4"/>
      <c r="E178" s="4"/>
      <c r="F178" s="4"/>
      <c r="G178" s="4"/>
      <c r="H178" s="4"/>
      <c r="I178" s="4"/>
      <c r="J178" s="4"/>
      <c r="K178" s="4"/>
      <c r="L178" s="4"/>
      <c r="M178" s="4"/>
      <c r="N178" s="4"/>
      <c r="O178" s="4"/>
      <c r="P178" s="4"/>
      <c r="Q178" s="4"/>
      <c r="R178" s="4"/>
      <c r="S178" s="4"/>
      <c r="T178" s="4"/>
      <c r="U178" s="4"/>
      <c r="V178" s="4"/>
      <c r="W178" s="4"/>
      <c r="X178" s="4"/>
      <c r="Y178" s="4"/>
    </row>
    <row r="179" spans="1:25" x14ac:dyDescent="0.2">
      <c r="A179" s="41"/>
      <c r="B179" s="5"/>
      <c r="C179" s="4"/>
      <c r="D179" s="4"/>
      <c r="E179" s="4"/>
      <c r="F179" s="4"/>
      <c r="G179" s="4"/>
      <c r="H179" s="4"/>
      <c r="I179" s="4"/>
      <c r="J179" s="4"/>
      <c r="K179" s="4"/>
      <c r="L179" s="4"/>
      <c r="M179" s="4"/>
      <c r="N179" s="4"/>
      <c r="O179" s="4"/>
      <c r="P179" s="4"/>
      <c r="Q179" s="4"/>
      <c r="R179" s="4"/>
      <c r="S179" s="4"/>
      <c r="T179" s="4"/>
      <c r="U179" s="4"/>
      <c r="V179" s="4"/>
      <c r="W179" s="4"/>
      <c r="X179" s="4"/>
      <c r="Y179" s="4"/>
    </row>
    <row r="180" spans="1:25" x14ac:dyDescent="0.2">
      <c r="A180" s="41"/>
      <c r="B180" s="5"/>
      <c r="C180" s="4"/>
      <c r="D180" s="4"/>
      <c r="E180" s="4"/>
      <c r="F180" s="4"/>
      <c r="G180" s="4"/>
      <c r="H180" s="4"/>
      <c r="I180" s="4"/>
      <c r="J180" s="4"/>
      <c r="K180" s="4"/>
      <c r="L180" s="4"/>
      <c r="M180" s="4"/>
      <c r="N180" s="4"/>
      <c r="O180" s="4"/>
      <c r="P180" s="4"/>
      <c r="Q180" s="4"/>
      <c r="R180" s="4"/>
      <c r="S180" s="4"/>
      <c r="T180" s="4"/>
      <c r="U180" s="4"/>
      <c r="V180" s="4"/>
      <c r="W180" s="4"/>
      <c r="X180" s="4"/>
      <c r="Y180" s="4"/>
    </row>
    <row r="181" spans="1:25" x14ac:dyDescent="0.2">
      <c r="A181" s="41"/>
      <c r="B181" s="5"/>
      <c r="C181" s="4"/>
      <c r="D181" s="4"/>
      <c r="E181" s="4"/>
      <c r="F181" s="4"/>
      <c r="G181" s="4"/>
      <c r="H181" s="4"/>
      <c r="I181" s="4"/>
      <c r="J181" s="4"/>
      <c r="K181" s="4"/>
      <c r="L181" s="4"/>
      <c r="M181" s="4"/>
      <c r="N181" s="4"/>
      <c r="O181" s="4"/>
      <c r="P181" s="4"/>
      <c r="Q181" s="4"/>
      <c r="R181" s="4"/>
      <c r="S181" s="4"/>
      <c r="T181" s="4"/>
      <c r="U181" s="4"/>
      <c r="V181" s="4"/>
      <c r="W181" s="4"/>
      <c r="X181" s="4"/>
      <c r="Y181" s="4"/>
    </row>
    <row r="182" spans="1:25" x14ac:dyDescent="0.2">
      <c r="A182" s="41"/>
      <c r="B182" s="5"/>
      <c r="C182" s="4"/>
      <c r="D182" s="4"/>
      <c r="E182" s="4"/>
      <c r="F182" s="4"/>
      <c r="G182" s="4"/>
      <c r="H182" s="4"/>
      <c r="I182" s="4"/>
      <c r="J182" s="4"/>
      <c r="K182" s="4"/>
      <c r="L182" s="4"/>
      <c r="M182" s="4"/>
      <c r="N182" s="4"/>
      <c r="O182" s="4"/>
      <c r="P182" s="4"/>
      <c r="Q182" s="4"/>
      <c r="R182" s="4"/>
      <c r="S182" s="4"/>
      <c r="T182" s="4"/>
      <c r="U182" s="4"/>
      <c r="V182" s="4"/>
      <c r="W182" s="4"/>
      <c r="X182" s="4"/>
      <c r="Y182" s="4"/>
    </row>
    <row r="183" spans="1:25" x14ac:dyDescent="0.2">
      <c r="A183" s="41"/>
      <c r="B183" s="5"/>
      <c r="C183" s="4"/>
      <c r="D183" s="4"/>
      <c r="E183" s="4"/>
      <c r="F183" s="4"/>
      <c r="G183" s="4"/>
      <c r="H183" s="4"/>
      <c r="I183" s="4"/>
      <c r="J183" s="4"/>
      <c r="K183" s="4"/>
      <c r="L183" s="4"/>
      <c r="M183" s="4"/>
      <c r="N183" s="4"/>
      <c r="O183" s="4"/>
      <c r="P183" s="4"/>
      <c r="Q183" s="4"/>
      <c r="R183" s="4"/>
      <c r="S183" s="4"/>
      <c r="T183" s="4"/>
      <c r="U183" s="4"/>
      <c r="V183" s="4"/>
      <c r="W183" s="4"/>
      <c r="X183" s="4"/>
      <c r="Y183" s="4"/>
    </row>
    <row r="184" spans="1:25" x14ac:dyDescent="0.2">
      <c r="A184" s="41"/>
      <c r="B184" s="5"/>
      <c r="C184" s="4"/>
      <c r="D184" s="4"/>
      <c r="E184" s="4"/>
      <c r="F184" s="4"/>
      <c r="G184" s="4"/>
      <c r="H184" s="4"/>
      <c r="I184" s="4"/>
      <c r="J184" s="4"/>
      <c r="K184" s="4"/>
      <c r="L184" s="4"/>
      <c r="M184" s="4"/>
      <c r="N184" s="4"/>
      <c r="O184" s="4"/>
      <c r="P184" s="4"/>
      <c r="Q184" s="4"/>
      <c r="R184" s="4"/>
      <c r="S184" s="4"/>
      <c r="T184" s="4"/>
      <c r="U184" s="4"/>
      <c r="V184" s="4"/>
      <c r="W184" s="4"/>
      <c r="X184" s="4"/>
      <c r="Y184" s="4"/>
    </row>
    <row r="185" spans="1:25" x14ac:dyDescent="0.2">
      <c r="A185" s="41"/>
      <c r="B185" s="5"/>
      <c r="C185" s="4"/>
      <c r="D185" s="4"/>
      <c r="E185" s="4"/>
      <c r="F185" s="4"/>
      <c r="G185" s="4"/>
      <c r="H185" s="4"/>
      <c r="I185" s="4"/>
      <c r="J185" s="4"/>
      <c r="K185" s="4"/>
      <c r="L185" s="4"/>
      <c r="M185" s="4"/>
      <c r="N185" s="4"/>
      <c r="O185" s="4"/>
      <c r="P185" s="4"/>
      <c r="Q185" s="4"/>
      <c r="R185" s="4"/>
      <c r="S185" s="4"/>
      <c r="T185" s="4"/>
      <c r="U185" s="4"/>
      <c r="V185" s="4"/>
      <c r="W185" s="4"/>
      <c r="X185" s="4"/>
      <c r="Y185" s="4"/>
    </row>
    <row r="186" spans="1:25" x14ac:dyDescent="0.2">
      <c r="A186" s="41"/>
      <c r="B186" s="5"/>
      <c r="C186" s="4"/>
      <c r="D186" s="4"/>
      <c r="E186" s="4"/>
      <c r="F186" s="4"/>
      <c r="G186" s="4"/>
      <c r="H186" s="4"/>
      <c r="I186" s="4"/>
      <c r="J186" s="4"/>
      <c r="K186" s="4"/>
      <c r="L186" s="4"/>
      <c r="M186" s="4"/>
      <c r="N186" s="4"/>
      <c r="O186" s="4"/>
      <c r="P186" s="4"/>
      <c r="Q186" s="4"/>
      <c r="R186" s="4"/>
      <c r="S186" s="4"/>
      <c r="T186" s="4"/>
      <c r="U186" s="4"/>
      <c r="V186" s="4"/>
      <c r="W186" s="4"/>
      <c r="X186" s="4"/>
      <c r="Y186" s="4"/>
    </row>
    <row r="187" spans="1:25" x14ac:dyDescent="0.2">
      <c r="A187" s="41"/>
      <c r="B187" s="5"/>
      <c r="C187" s="4"/>
      <c r="D187" s="4"/>
      <c r="E187" s="4"/>
      <c r="F187" s="4"/>
      <c r="G187" s="4"/>
      <c r="H187" s="4"/>
      <c r="I187" s="4"/>
      <c r="J187" s="4"/>
      <c r="K187" s="4"/>
      <c r="L187" s="4"/>
      <c r="M187" s="4"/>
      <c r="N187" s="4"/>
      <c r="O187" s="4"/>
      <c r="P187" s="4"/>
      <c r="Q187" s="4"/>
      <c r="R187" s="4"/>
      <c r="S187" s="4"/>
      <c r="T187" s="4"/>
      <c r="U187" s="4"/>
      <c r="V187" s="4"/>
      <c r="W187" s="4"/>
      <c r="X187" s="4"/>
      <c r="Y187" s="4"/>
    </row>
    <row r="188" spans="1:25" x14ac:dyDescent="0.2">
      <c r="A188" s="41"/>
      <c r="B188" s="5"/>
      <c r="C188" s="4"/>
      <c r="D188" s="4"/>
      <c r="E188" s="4"/>
      <c r="F188" s="4"/>
      <c r="G188" s="4"/>
      <c r="H188" s="4"/>
      <c r="I188" s="4"/>
      <c r="J188" s="4"/>
      <c r="K188" s="4"/>
      <c r="L188" s="4"/>
      <c r="M188" s="4"/>
      <c r="N188" s="4"/>
      <c r="O188" s="4"/>
      <c r="P188" s="4"/>
      <c r="Q188" s="4"/>
      <c r="R188" s="4"/>
      <c r="S188" s="4"/>
      <c r="T188" s="4"/>
      <c r="U188" s="4"/>
      <c r="V188" s="4"/>
      <c r="W188" s="4"/>
      <c r="X188" s="4"/>
      <c r="Y188" s="4"/>
    </row>
    <row r="189" spans="1:25" x14ac:dyDescent="0.2">
      <c r="A189" s="41"/>
      <c r="B189" s="5"/>
      <c r="C189" s="4"/>
      <c r="D189" s="4"/>
      <c r="E189" s="4"/>
      <c r="F189" s="4"/>
      <c r="G189" s="4"/>
      <c r="H189" s="4"/>
      <c r="I189" s="4"/>
      <c r="J189" s="4"/>
      <c r="K189" s="4"/>
      <c r="L189" s="4"/>
      <c r="M189" s="4"/>
      <c r="N189" s="4"/>
      <c r="O189" s="4"/>
      <c r="P189" s="4"/>
      <c r="Q189" s="4"/>
      <c r="R189" s="4"/>
      <c r="S189" s="4"/>
      <c r="T189" s="4"/>
      <c r="U189" s="4"/>
      <c r="V189" s="4"/>
      <c r="W189" s="4"/>
      <c r="X189" s="4"/>
      <c r="Y189" s="4"/>
    </row>
    <row r="190" spans="1:25" x14ac:dyDescent="0.2">
      <c r="A190" s="41"/>
      <c r="B190" s="5"/>
      <c r="C190" s="4"/>
      <c r="D190" s="4"/>
      <c r="E190" s="4"/>
      <c r="F190" s="4"/>
      <c r="G190" s="4"/>
      <c r="H190" s="4"/>
      <c r="I190" s="4"/>
      <c r="J190" s="4"/>
      <c r="K190" s="4"/>
      <c r="L190" s="4"/>
      <c r="M190" s="4"/>
      <c r="N190" s="4"/>
      <c r="O190" s="4"/>
      <c r="P190" s="4"/>
      <c r="Q190" s="4"/>
      <c r="R190" s="4"/>
      <c r="S190" s="4"/>
      <c r="T190" s="4"/>
      <c r="U190" s="4"/>
      <c r="V190" s="4"/>
      <c r="W190" s="4"/>
      <c r="X190" s="4"/>
      <c r="Y190" s="4"/>
    </row>
    <row r="191" spans="1:25" x14ac:dyDescent="0.2">
      <c r="A191" s="41"/>
      <c r="B191" s="5"/>
      <c r="C191" s="4"/>
      <c r="D191" s="4"/>
      <c r="E191" s="4"/>
      <c r="F191" s="4"/>
      <c r="G191" s="4"/>
      <c r="H191" s="4"/>
      <c r="I191" s="4"/>
      <c r="J191" s="4"/>
      <c r="K191" s="4"/>
      <c r="L191" s="4"/>
      <c r="M191" s="4"/>
      <c r="N191" s="4"/>
      <c r="O191" s="4"/>
      <c r="P191" s="4"/>
      <c r="Q191" s="4"/>
      <c r="R191" s="4"/>
      <c r="S191" s="4"/>
      <c r="T191" s="4"/>
      <c r="U191" s="4"/>
      <c r="V191" s="4"/>
      <c r="W191" s="4"/>
      <c r="X191" s="4"/>
      <c r="Y191" s="4"/>
    </row>
    <row r="192" spans="1:25" x14ac:dyDescent="0.2">
      <c r="A192" s="41"/>
      <c r="B192" s="5"/>
      <c r="C192" s="4"/>
      <c r="D192" s="4"/>
      <c r="E192" s="4"/>
      <c r="F192" s="4"/>
      <c r="G192" s="4"/>
      <c r="H192" s="4"/>
      <c r="I192" s="4"/>
      <c r="J192" s="4"/>
      <c r="K192" s="4"/>
      <c r="L192" s="4"/>
      <c r="M192" s="4"/>
      <c r="N192" s="4"/>
      <c r="O192" s="4"/>
      <c r="P192" s="4"/>
      <c r="Q192" s="4"/>
      <c r="R192" s="4"/>
      <c r="S192" s="4"/>
      <c r="T192" s="4"/>
      <c r="U192" s="4"/>
      <c r="V192" s="4"/>
      <c r="W192" s="4"/>
      <c r="X192" s="4"/>
      <c r="Y192" s="4"/>
    </row>
    <row r="193" spans="1:25" x14ac:dyDescent="0.2">
      <c r="A193" s="41"/>
      <c r="B193" s="5"/>
      <c r="C193" s="4"/>
      <c r="D193" s="4"/>
      <c r="E193" s="4"/>
      <c r="F193" s="4"/>
      <c r="G193" s="4"/>
      <c r="H193" s="4"/>
      <c r="I193" s="4"/>
      <c r="J193" s="4"/>
      <c r="K193" s="4"/>
      <c r="L193" s="4"/>
      <c r="M193" s="4"/>
      <c r="N193" s="4"/>
      <c r="O193" s="4"/>
      <c r="P193" s="4"/>
      <c r="Q193" s="4"/>
      <c r="R193" s="4"/>
      <c r="S193" s="4"/>
      <c r="T193" s="4"/>
      <c r="U193" s="4"/>
      <c r="V193" s="4"/>
      <c r="W193" s="4"/>
      <c r="X193" s="4"/>
      <c r="Y193" s="4"/>
    </row>
    <row r="194" spans="1:25" x14ac:dyDescent="0.2">
      <c r="A194" s="41"/>
      <c r="B194" s="5"/>
      <c r="C194" s="4"/>
      <c r="D194" s="4"/>
      <c r="E194" s="4"/>
      <c r="F194" s="4"/>
      <c r="G194" s="4"/>
      <c r="H194" s="4"/>
      <c r="I194" s="4"/>
      <c r="J194" s="4"/>
      <c r="K194" s="4"/>
      <c r="L194" s="4"/>
      <c r="M194" s="4"/>
      <c r="N194" s="4"/>
      <c r="O194" s="4"/>
      <c r="P194" s="4"/>
      <c r="Q194" s="4"/>
      <c r="R194" s="4"/>
      <c r="S194" s="4"/>
      <c r="T194" s="4"/>
      <c r="U194" s="4"/>
      <c r="V194" s="4"/>
      <c r="W194" s="4"/>
      <c r="X194" s="4"/>
      <c r="Y194" s="4"/>
    </row>
    <row r="195" spans="1:25" x14ac:dyDescent="0.2">
      <c r="A195" s="41"/>
      <c r="B195" s="5"/>
      <c r="C195" s="4"/>
      <c r="D195" s="4"/>
      <c r="E195" s="4"/>
      <c r="F195" s="4"/>
      <c r="G195" s="4"/>
      <c r="H195" s="4"/>
      <c r="I195" s="4"/>
      <c r="J195" s="4"/>
      <c r="K195" s="4"/>
      <c r="L195" s="4"/>
      <c r="M195" s="4"/>
      <c r="N195" s="4"/>
      <c r="O195" s="4"/>
      <c r="P195" s="4"/>
      <c r="Q195" s="4"/>
      <c r="R195" s="4"/>
      <c r="S195" s="4"/>
      <c r="T195" s="4"/>
      <c r="U195" s="4"/>
      <c r="V195" s="4"/>
      <c r="W195" s="4"/>
      <c r="X195" s="4"/>
      <c r="Y195" s="4"/>
    </row>
    <row r="196" spans="1:25" x14ac:dyDescent="0.2">
      <c r="A196" s="41"/>
      <c r="B196" s="5"/>
      <c r="C196" s="4"/>
      <c r="D196" s="4"/>
      <c r="E196" s="4"/>
      <c r="F196" s="4"/>
      <c r="G196" s="4"/>
      <c r="H196" s="4"/>
      <c r="I196" s="4"/>
      <c r="J196" s="4"/>
      <c r="K196" s="4"/>
      <c r="L196" s="4"/>
      <c r="M196" s="4"/>
      <c r="N196" s="4"/>
      <c r="O196" s="4"/>
      <c r="P196" s="4"/>
      <c r="Q196" s="4"/>
      <c r="R196" s="4"/>
      <c r="S196" s="4"/>
      <c r="T196" s="4"/>
      <c r="U196" s="4"/>
      <c r="V196" s="4"/>
      <c r="W196" s="4"/>
      <c r="X196" s="4"/>
      <c r="Y196" s="4"/>
    </row>
    <row r="197" spans="1:25" x14ac:dyDescent="0.2">
      <c r="A197" s="41"/>
      <c r="B197" s="5"/>
      <c r="C197" s="4"/>
      <c r="D197" s="4"/>
      <c r="E197" s="4"/>
      <c r="F197" s="4"/>
      <c r="G197" s="4"/>
      <c r="H197" s="4"/>
      <c r="I197" s="4"/>
      <c r="J197" s="4"/>
      <c r="K197" s="4"/>
      <c r="L197" s="4"/>
      <c r="M197" s="4"/>
      <c r="N197" s="4"/>
      <c r="O197" s="4"/>
      <c r="P197" s="4"/>
      <c r="Q197" s="4"/>
      <c r="R197" s="4"/>
      <c r="S197" s="4"/>
      <c r="T197" s="4"/>
      <c r="U197" s="4"/>
      <c r="V197" s="4"/>
      <c r="W197" s="4"/>
      <c r="X197" s="4"/>
      <c r="Y197" s="4"/>
    </row>
    <row r="198" spans="1:25" x14ac:dyDescent="0.2">
      <c r="A198" s="41"/>
      <c r="B198" s="5"/>
      <c r="C198" s="4"/>
      <c r="D198" s="4"/>
      <c r="E198" s="4"/>
      <c r="F198" s="4"/>
      <c r="G198" s="4"/>
      <c r="H198" s="4"/>
      <c r="I198" s="4"/>
      <c r="J198" s="4"/>
      <c r="K198" s="4"/>
      <c r="L198" s="4"/>
      <c r="M198" s="4"/>
      <c r="N198" s="4"/>
      <c r="O198" s="4"/>
      <c r="P198" s="4"/>
      <c r="Q198" s="4"/>
      <c r="R198" s="4"/>
      <c r="S198" s="4"/>
      <c r="T198" s="4"/>
      <c r="U198" s="4"/>
      <c r="V198" s="4"/>
      <c r="W198" s="4"/>
      <c r="X198" s="4"/>
      <c r="Y198" s="4"/>
    </row>
    <row r="199" spans="1:25" x14ac:dyDescent="0.2">
      <c r="A199" s="41"/>
      <c r="B199" s="5"/>
      <c r="C199" s="4"/>
      <c r="D199" s="4"/>
      <c r="E199" s="4"/>
      <c r="F199" s="4"/>
      <c r="G199" s="4"/>
      <c r="H199" s="4"/>
      <c r="I199" s="4"/>
      <c r="J199" s="4"/>
      <c r="K199" s="4"/>
      <c r="L199" s="4"/>
      <c r="M199" s="4"/>
      <c r="N199" s="4"/>
      <c r="O199" s="4"/>
      <c r="P199" s="4"/>
      <c r="Q199" s="4"/>
      <c r="R199" s="4"/>
      <c r="S199" s="4"/>
      <c r="T199" s="4"/>
      <c r="U199" s="4"/>
      <c r="V199" s="4"/>
      <c r="W199" s="4"/>
      <c r="X199" s="4"/>
      <c r="Y199" s="4"/>
    </row>
    <row r="200" spans="1:25" x14ac:dyDescent="0.2">
      <c r="A200" s="41"/>
      <c r="B200" s="5"/>
      <c r="C200" s="4"/>
      <c r="D200" s="4"/>
      <c r="E200" s="4"/>
      <c r="F200" s="4"/>
      <c r="G200" s="4"/>
      <c r="H200" s="4"/>
      <c r="I200" s="4"/>
      <c r="J200" s="4"/>
      <c r="K200" s="4"/>
      <c r="L200" s="4"/>
      <c r="M200" s="4"/>
      <c r="N200" s="4"/>
      <c r="O200" s="4"/>
      <c r="P200" s="4"/>
      <c r="Q200" s="4"/>
      <c r="R200" s="4"/>
      <c r="S200" s="4"/>
      <c r="T200" s="4"/>
      <c r="U200" s="4"/>
      <c r="V200" s="4"/>
      <c r="W200" s="4"/>
      <c r="X200" s="4"/>
      <c r="Y200" s="4"/>
    </row>
    <row r="201" spans="1:25" x14ac:dyDescent="0.2">
      <c r="A201" s="41"/>
      <c r="B201" s="5"/>
      <c r="C201" s="4"/>
      <c r="D201" s="4"/>
      <c r="E201" s="4"/>
      <c r="F201" s="4"/>
      <c r="G201" s="4"/>
      <c r="H201" s="4"/>
      <c r="I201" s="4"/>
      <c r="J201" s="4"/>
      <c r="K201" s="4"/>
      <c r="L201" s="4"/>
      <c r="M201" s="4"/>
      <c r="N201" s="4"/>
      <c r="O201" s="4"/>
      <c r="P201" s="4"/>
      <c r="Q201" s="4"/>
      <c r="R201" s="4"/>
      <c r="S201" s="4"/>
      <c r="T201" s="4"/>
      <c r="U201" s="4"/>
      <c r="V201" s="4"/>
      <c r="W201" s="4"/>
      <c r="X201" s="4"/>
      <c r="Y201" s="4"/>
    </row>
    <row r="202" spans="1:25" x14ac:dyDescent="0.2">
      <c r="A202" s="41"/>
      <c r="B202" s="5"/>
      <c r="C202" s="4"/>
      <c r="D202" s="4"/>
      <c r="E202" s="4"/>
      <c r="F202" s="4"/>
      <c r="G202" s="4"/>
      <c r="H202" s="4"/>
      <c r="I202" s="4"/>
      <c r="J202" s="4"/>
      <c r="K202" s="4"/>
      <c r="L202" s="4"/>
      <c r="M202" s="4"/>
      <c r="N202" s="4"/>
      <c r="O202" s="4"/>
      <c r="P202" s="4"/>
      <c r="Q202" s="4"/>
      <c r="R202" s="4"/>
      <c r="S202" s="4"/>
      <c r="T202" s="4"/>
      <c r="U202" s="4"/>
      <c r="V202" s="4"/>
      <c r="W202" s="4"/>
      <c r="X202" s="4"/>
      <c r="Y202" s="4"/>
    </row>
    <row r="203" spans="1:25" x14ac:dyDescent="0.2">
      <c r="A203" s="41"/>
      <c r="B203" s="5"/>
      <c r="C203" s="4"/>
      <c r="D203" s="4"/>
      <c r="E203" s="4"/>
      <c r="F203" s="4"/>
      <c r="G203" s="4"/>
      <c r="H203" s="4"/>
      <c r="I203" s="4"/>
      <c r="J203" s="4"/>
      <c r="K203" s="4"/>
      <c r="L203" s="4"/>
      <c r="M203" s="4"/>
      <c r="N203" s="4"/>
      <c r="O203" s="4"/>
      <c r="P203" s="4"/>
      <c r="Q203" s="4"/>
      <c r="R203" s="4"/>
      <c r="S203" s="4"/>
      <c r="T203" s="4"/>
      <c r="U203" s="4"/>
      <c r="V203" s="4"/>
      <c r="W203" s="4"/>
      <c r="X203" s="4"/>
      <c r="Y203" s="4"/>
    </row>
    <row r="204" spans="1:25" x14ac:dyDescent="0.2">
      <c r="A204" s="41"/>
      <c r="B204" s="5"/>
      <c r="C204" s="4"/>
      <c r="D204" s="4"/>
      <c r="E204" s="4"/>
      <c r="F204" s="4"/>
      <c r="G204" s="4"/>
      <c r="H204" s="4"/>
      <c r="I204" s="4"/>
      <c r="J204" s="4"/>
      <c r="K204" s="4"/>
      <c r="L204" s="4"/>
      <c r="M204" s="4"/>
      <c r="N204" s="4"/>
      <c r="O204" s="4"/>
      <c r="P204" s="4"/>
      <c r="Q204" s="4"/>
      <c r="R204" s="4"/>
      <c r="S204" s="4"/>
      <c r="T204" s="4"/>
      <c r="U204" s="4"/>
      <c r="V204" s="4"/>
      <c r="W204" s="4"/>
      <c r="X204" s="4"/>
      <c r="Y204" s="4"/>
    </row>
    <row r="205" spans="1:25" x14ac:dyDescent="0.2">
      <c r="A205" s="41"/>
      <c r="B205" s="5"/>
      <c r="C205" s="4"/>
      <c r="D205" s="4"/>
      <c r="E205" s="4"/>
      <c r="F205" s="4"/>
      <c r="G205" s="4"/>
      <c r="H205" s="4"/>
      <c r="I205" s="4"/>
      <c r="J205" s="4"/>
      <c r="K205" s="4"/>
      <c r="L205" s="4"/>
      <c r="M205" s="4"/>
      <c r="N205" s="4"/>
      <c r="O205" s="4"/>
      <c r="P205" s="4"/>
      <c r="Q205" s="4"/>
      <c r="R205" s="4"/>
      <c r="S205" s="4"/>
      <c r="T205" s="4"/>
      <c r="U205" s="4"/>
      <c r="V205" s="4"/>
      <c r="W205" s="4"/>
      <c r="X205" s="4"/>
      <c r="Y205" s="4"/>
    </row>
    <row r="206" spans="1:25" x14ac:dyDescent="0.2">
      <c r="A206" s="41"/>
      <c r="B206" s="5"/>
      <c r="C206" s="4"/>
      <c r="D206" s="4"/>
      <c r="E206" s="4"/>
      <c r="F206" s="4"/>
      <c r="G206" s="4"/>
      <c r="H206" s="4"/>
      <c r="I206" s="4"/>
      <c r="J206" s="4"/>
      <c r="K206" s="4"/>
      <c r="L206" s="4"/>
      <c r="M206" s="4"/>
      <c r="N206" s="4"/>
      <c r="O206" s="4"/>
      <c r="P206" s="4"/>
      <c r="Q206" s="4"/>
      <c r="R206" s="4"/>
      <c r="S206" s="4"/>
      <c r="T206" s="4"/>
      <c r="U206" s="4"/>
      <c r="V206" s="4"/>
      <c r="W206" s="4"/>
      <c r="X206" s="4"/>
      <c r="Y206" s="4"/>
    </row>
    <row r="207" spans="1:25" x14ac:dyDescent="0.2">
      <c r="A207" s="41"/>
      <c r="B207" s="5"/>
      <c r="C207" s="4"/>
      <c r="D207" s="4"/>
      <c r="E207" s="4"/>
      <c r="F207" s="4"/>
      <c r="G207" s="4"/>
      <c r="H207" s="4"/>
      <c r="I207" s="4"/>
      <c r="J207" s="4"/>
      <c r="K207" s="4"/>
      <c r="L207" s="4"/>
      <c r="M207" s="4"/>
      <c r="N207" s="4"/>
      <c r="O207" s="4"/>
      <c r="P207" s="4"/>
      <c r="Q207" s="4"/>
      <c r="R207" s="4"/>
      <c r="S207" s="4"/>
      <c r="T207" s="4"/>
      <c r="U207" s="4"/>
      <c r="V207" s="4"/>
      <c r="W207" s="4"/>
      <c r="X207" s="4"/>
      <c r="Y207" s="4"/>
    </row>
    <row r="208" spans="1:25" x14ac:dyDescent="0.2">
      <c r="A208" s="41"/>
      <c r="B208" s="5"/>
      <c r="C208" s="4"/>
      <c r="D208" s="4"/>
      <c r="E208" s="4"/>
      <c r="F208" s="4"/>
      <c r="G208" s="4"/>
      <c r="H208" s="4"/>
      <c r="I208" s="4"/>
      <c r="J208" s="4"/>
      <c r="K208" s="4"/>
      <c r="L208" s="4"/>
      <c r="M208" s="4"/>
      <c r="N208" s="4"/>
      <c r="O208" s="4"/>
      <c r="P208" s="4"/>
      <c r="Q208" s="4"/>
      <c r="R208" s="4"/>
      <c r="S208" s="4"/>
      <c r="T208" s="4"/>
      <c r="U208" s="4"/>
      <c r="V208" s="4"/>
      <c r="W208" s="4"/>
      <c r="X208" s="4"/>
      <c r="Y208" s="4"/>
    </row>
    <row r="209" spans="1:25" x14ac:dyDescent="0.2">
      <c r="A209" s="41"/>
      <c r="B209" s="5"/>
      <c r="C209" s="4"/>
      <c r="D209" s="4"/>
      <c r="E209" s="4"/>
      <c r="F209" s="4"/>
      <c r="G209" s="4"/>
      <c r="H209" s="4"/>
      <c r="I209" s="4"/>
      <c r="J209" s="4"/>
      <c r="K209" s="4"/>
      <c r="L209" s="4"/>
      <c r="M209" s="4"/>
      <c r="N209" s="4"/>
      <c r="O209" s="4"/>
      <c r="P209" s="4"/>
      <c r="Q209" s="4"/>
      <c r="R209" s="4"/>
      <c r="S209" s="4"/>
      <c r="T209" s="4"/>
      <c r="U209" s="4"/>
      <c r="V209" s="4"/>
      <c r="W209" s="4"/>
      <c r="X209" s="4"/>
      <c r="Y209" s="4"/>
    </row>
    <row r="210" spans="1:25" x14ac:dyDescent="0.2">
      <c r="A210" s="41"/>
      <c r="B210" s="5"/>
      <c r="C210" s="4"/>
      <c r="D210" s="4"/>
      <c r="E210" s="4"/>
      <c r="F210" s="4"/>
      <c r="G210" s="4"/>
      <c r="H210" s="4"/>
      <c r="I210" s="4"/>
      <c r="J210" s="4"/>
      <c r="K210" s="4"/>
      <c r="L210" s="4"/>
      <c r="M210" s="4"/>
      <c r="N210" s="4"/>
      <c r="O210" s="4"/>
      <c r="P210" s="4"/>
      <c r="Q210" s="4"/>
      <c r="R210" s="4"/>
      <c r="S210" s="4"/>
      <c r="T210" s="4"/>
      <c r="U210" s="4"/>
      <c r="V210" s="4"/>
      <c r="W210" s="4"/>
      <c r="X210" s="4"/>
      <c r="Y210" s="4"/>
    </row>
    <row r="211" spans="1:25" x14ac:dyDescent="0.2">
      <c r="A211" s="41"/>
      <c r="B211" s="5"/>
      <c r="C211" s="4"/>
      <c r="D211" s="4"/>
      <c r="E211" s="4"/>
      <c r="F211" s="4"/>
      <c r="G211" s="4"/>
      <c r="H211" s="4"/>
      <c r="I211" s="4"/>
      <c r="J211" s="4"/>
      <c r="K211" s="4"/>
      <c r="L211" s="4"/>
      <c r="M211" s="4"/>
      <c r="N211" s="4"/>
      <c r="O211" s="4"/>
      <c r="P211" s="4"/>
      <c r="Q211" s="4"/>
      <c r="R211" s="4"/>
      <c r="S211" s="4"/>
      <c r="T211" s="4"/>
      <c r="U211" s="4"/>
      <c r="V211" s="4"/>
      <c r="W211" s="4"/>
      <c r="X211" s="4"/>
      <c r="Y211" s="4"/>
    </row>
    <row r="212" spans="1:25" x14ac:dyDescent="0.2">
      <c r="A212" s="41"/>
      <c r="B212" s="5"/>
      <c r="C212" s="4"/>
      <c r="D212" s="4"/>
      <c r="E212" s="4"/>
      <c r="F212" s="4"/>
      <c r="G212" s="4"/>
      <c r="H212" s="4"/>
      <c r="I212" s="4"/>
      <c r="J212" s="4"/>
      <c r="K212" s="4"/>
      <c r="L212" s="4"/>
      <c r="M212" s="4"/>
      <c r="N212" s="4"/>
      <c r="O212" s="4"/>
      <c r="P212" s="4"/>
      <c r="Q212" s="4"/>
      <c r="R212" s="4"/>
      <c r="S212" s="4"/>
      <c r="T212" s="4"/>
      <c r="U212" s="4"/>
      <c r="V212" s="4"/>
      <c r="W212" s="4"/>
      <c r="X212" s="4"/>
      <c r="Y212" s="4"/>
    </row>
    <row r="213" spans="1:25" x14ac:dyDescent="0.2">
      <c r="A213" s="41"/>
      <c r="B213" s="5"/>
      <c r="C213" s="4"/>
      <c r="D213" s="4"/>
      <c r="E213" s="4"/>
      <c r="F213" s="4"/>
      <c r="G213" s="4"/>
      <c r="H213" s="4"/>
      <c r="I213" s="4"/>
      <c r="J213" s="4"/>
      <c r="K213" s="4"/>
      <c r="L213" s="4"/>
      <c r="M213" s="4"/>
      <c r="N213" s="4"/>
      <c r="O213" s="4"/>
      <c r="P213" s="4"/>
      <c r="Q213" s="4"/>
      <c r="R213" s="4"/>
      <c r="S213" s="4"/>
      <c r="T213" s="4"/>
      <c r="U213" s="4"/>
      <c r="V213" s="4"/>
      <c r="W213" s="4"/>
      <c r="X213" s="4"/>
      <c r="Y213" s="4"/>
    </row>
    <row r="214" spans="1:25" x14ac:dyDescent="0.2">
      <c r="A214" s="41"/>
      <c r="B214" s="5"/>
      <c r="C214" s="4"/>
      <c r="D214" s="4"/>
      <c r="E214" s="4"/>
      <c r="F214" s="4"/>
      <c r="G214" s="4"/>
      <c r="H214" s="4"/>
      <c r="I214" s="4"/>
      <c r="J214" s="4"/>
      <c r="K214" s="4"/>
      <c r="L214" s="4"/>
      <c r="M214" s="4"/>
      <c r="N214" s="4"/>
      <c r="O214" s="4"/>
      <c r="P214" s="4"/>
      <c r="Q214" s="4"/>
      <c r="R214" s="4"/>
      <c r="S214" s="4"/>
      <c r="T214" s="4"/>
      <c r="U214" s="4"/>
      <c r="V214" s="4"/>
      <c r="W214" s="4"/>
      <c r="X214" s="4"/>
      <c r="Y214" s="4"/>
    </row>
    <row r="215" spans="1:25" x14ac:dyDescent="0.2">
      <c r="A215" s="41"/>
      <c r="B215" s="5"/>
      <c r="C215" s="4"/>
      <c r="D215" s="4"/>
      <c r="E215" s="4"/>
      <c r="F215" s="4"/>
      <c r="G215" s="4"/>
      <c r="H215" s="4"/>
      <c r="I215" s="4"/>
      <c r="J215" s="4"/>
      <c r="K215" s="4"/>
      <c r="L215" s="4"/>
      <c r="M215" s="4"/>
      <c r="N215" s="4"/>
      <c r="O215" s="4"/>
      <c r="P215" s="4"/>
      <c r="Q215" s="4"/>
      <c r="R215" s="4"/>
      <c r="S215" s="4"/>
      <c r="T215" s="4"/>
      <c r="U215" s="4"/>
      <c r="V215" s="4"/>
      <c r="W215" s="4"/>
      <c r="X215" s="4"/>
      <c r="Y215" s="4"/>
    </row>
    <row r="216" spans="1:25" x14ac:dyDescent="0.2">
      <c r="A216" s="41"/>
      <c r="B216" s="5"/>
      <c r="C216" s="4"/>
      <c r="D216" s="4"/>
      <c r="E216" s="4"/>
      <c r="F216" s="4"/>
      <c r="G216" s="4"/>
      <c r="H216" s="4"/>
      <c r="I216" s="4"/>
      <c r="J216" s="4"/>
      <c r="K216" s="4"/>
      <c r="L216" s="4"/>
      <c r="M216" s="4"/>
      <c r="N216" s="4"/>
      <c r="O216" s="4"/>
      <c r="P216" s="4"/>
      <c r="Q216" s="4"/>
      <c r="R216" s="4"/>
      <c r="S216" s="4"/>
      <c r="T216" s="4"/>
      <c r="U216" s="4"/>
      <c r="V216" s="4"/>
      <c r="W216" s="4"/>
      <c r="X216" s="4"/>
      <c r="Y216" s="4"/>
    </row>
    <row r="217" spans="1:25" x14ac:dyDescent="0.2">
      <c r="A217" s="41"/>
      <c r="B217" s="5"/>
      <c r="C217" s="4"/>
      <c r="D217" s="4"/>
      <c r="E217" s="4"/>
      <c r="F217" s="4"/>
      <c r="G217" s="4"/>
      <c r="H217" s="4"/>
      <c r="I217" s="4"/>
      <c r="J217" s="4"/>
      <c r="K217" s="4"/>
      <c r="L217" s="4"/>
      <c r="M217" s="4"/>
      <c r="N217" s="4"/>
      <c r="O217" s="4"/>
      <c r="P217" s="4"/>
      <c r="Q217" s="4"/>
      <c r="R217" s="4"/>
      <c r="S217" s="4"/>
      <c r="T217" s="4"/>
      <c r="U217" s="4"/>
      <c r="V217" s="4"/>
      <c r="W217" s="4"/>
      <c r="X217" s="4"/>
      <c r="Y217" s="4"/>
    </row>
    <row r="218" spans="1:25" x14ac:dyDescent="0.2">
      <c r="A218" s="41"/>
      <c r="B218" s="5"/>
      <c r="C218" s="4"/>
      <c r="D218" s="4"/>
      <c r="E218" s="4"/>
      <c r="F218" s="4"/>
      <c r="G218" s="4"/>
      <c r="H218" s="4"/>
      <c r="I218" s="4"/>
      <c r="J218" s="4"/>
      <c r="K218" s="4"/>
      <c r="L218" s="4"/>
      <c r="M218" s="4"/>
      <c r="N218" s="4"/>
      <c r="O218" s="4"/>
      <c r="P218" s="4"/>
      <c r="Q218" s="4"/>
      <c r="R218" s="4"/>
      <c r="S218" s="4"/>
      <c r="T218" s="4"/>
      <c r="U218" s="4"/>
      <c r="V218" s="4"/>
      <c r="W218" s="4"/>
      <c r="X218" s="4"/>
      <c r="Y218" s="4"/>
    </row>
    <row r="219" spans="1:25" x14ac:dyDescent="0.2">
      <c r="A219" s="41"/>
      <c r="B219" s="5"/>
      <c r="C219" s="4"/>
      <c r="D219" s="4"/>
      <c r="E219" s="4"/>
      <c r="F219" s="4"/>
      <c r="G219" s="4"/>
      <c r="H219" s="4"/>
      <c r="I219" s="4"/>
      <c r="J219" s="4"/>
      <c r="K219" s="4"/>
      <c r="L219" s="4"/>
      <c r="M219" s="4"/>
      <c r="N219" s="4"/>
      <c r="O219" s="4"/>
      <c r="P219" s="4"/>
      <c r="Q219" s="4"/>
      <c r="R219" s="4"/>
      <c r="S219" s="4"/>
      <c r="T219" s="4"/>
      <c r="U219" s="4"/>
      <c r="V219" s="4"/>
      <c r="W219" s="4"/>
      <c r="X219" s="4"/>
      <c r="Y219" s="4"/>
    </row>
    <row r="220" spans="1:25" x14ac:dyDescent="0.2">
      <c r="A220" s="41"/>
      <c r="B220" s="5"/>
      <c r="C220" s="4"/>
      <c r="D220" s="4"/>
      <c r="E220" s="4"/>
      <c r="F220" s="4"/>
      <c r="G220" s="4"/>
      <c r="H220" s="4"/>
      <c r="I220" s="4"/>
      <c r="J220" s="4"/>
      <c r="K220" s="4"/>
      <c r="L220" s="4"/>
      <c r="M220" s="4"/>
      <c r="N220" s="4"/>
      <c r="O220" s="4"/>
      <c r="P220" s="4"/>
      <c r="Q220" s="4"/>
      <c r="R220" s="4"/>
      <c r="S220" s="4"/>
      <c r="T220" s="4"/>
      <c r="U220" s="4"/>
      <c r="V220" s="4"/>
      <c r="W220" s="4"/>
      <c r="X220" s="4"/>
      <c r="Y220" s="4"/>
    </row>
    <row r="221" spans="1:25" x14ac:dyDescent="0.2">
      <c r="A221" s="41"/>
      <c r="B221" s="5"/>
      <c r="C221" s="4"/>
      <c r="D221" s="4"/>
      <c r="E221" s="4"/>
      <c r="F221" s="4"/>
      <c r="G221" s="4"/>
      <c r="H221" s="4"/>
      <c r="I221" s="4"/>
      <c r="J221" s="4"/>
      <c r="K221" s="4"/>
      <c r="L221" s="4"/>
      <c r="M221" s="4"/>
      <c r="N221" s="4"/>
      <c r="O221" s="4"/>
      <c r="P221" s="4"/>
      <c r="Q221" s="4"/>
      <c r="R221" s="4"/>
      <c r="S221" s="4"/>
      <c r="T221" s="4"/>
      <c r="U221" s="4"/>
      <c r="V221" s="4"/>
      <c r="W221" s="4"/>
      <c r="X221" s="4"/>
      <c r="Y221" s="4"/>
    </row>
    <row r="222" spans="1:25" x14ac:dyDescent="0.2">
      <c r="A222" s="41"/>
      <c r="B222" s="5"/>
      <c r="C222" s="4"/>
      <c r="D222" s="4"/>
      <c r="E222" s="4"/>
      <c r="F222" s="4"/>
      <c r="G222" s="4"/>
      <c r="H222" s="4"/>
      <c r="I222" s="4"/>
      <c r="J222" s="4"/>
      <c r="K222" s="4"/>
      <c r="L222" s="4"/>
      <c r="M222" s="4"/>
      <c r="N222" s="4"/>
      <c r="O222" s="4"/>
      <c r="P222" s="4"/>
      <c r="Q222" s="4"/>
      <c r="R222" s="4"/>
      <c r="S222" s="4"/>
      <c r="T222" s="4"/>
      <c r="U222" s="4"/>
      <c r="V222" s="4"/>
      <c r="W222" s="4"/>
      <c r="X222" s="4"/>
      <c r="Y222" s="4"/>
    </row>
    <row r="223" spans="1:25" x14ac:dyDescent="0.2">
      <c r="A223" s="41"/>
      <c r="B223" s="5"/>
      <c r="C223" s="4"/>
      <c r="D223" s="4"/>
      <c r="E223" s="4"/>
      <c r="F223" s="4"/>
      <c r="G223" s="4"/>
      <c r="H223" s="4"/>
      <c r="I223" s="4"/>
      <c r="J223" s="4"/>
      <c r="K223" s="4"/>
      <c r="L223" s="4"/>
      <c r="M223" s="4"/>
      <c r="N223" s="4"/>
      <c r="O223" s="4"/>
      <c r="P223" s="4"/>
      <c r="Q223" s="4"/>
      <c r="R223" s="4"/>
      <c r="S223" s="4"/>
      <c r="T223" s="4"/>
      <c r="U223" s="4"/>
      <c r="V223" s="4"/>
      <c r="W223" s="4"/>
      <c r="X223" s="4"/>
      <c r="Y223" s="4"/>
    </row>
    <row r="224" spans="1:25" x14ac:dyDescent="0.2">
      <c r="A224" s="41"/>
      <c r="B224" s="5"/>
      <c r="C224" s="4"/>
      <c r="D224" s="4"/>
      <c r="E224" s="4"/>
      <c r="F224" s="4"/>
      <c r="G224" s="4"/>
      <c r="H224" s="4"/>
      <c r="I224" s="4"/>
      <c r="J224" s="4"/>
      <c r="K224" s="4"/>
      <c r="L224" s="4"/>
      <c r="M224" s="4"/>
      <c r="N224" s="4"/>
      <c r="O224" s="4"/>
      <c r="P224" s="4"/>
      <c r="Q224" s="4"/>
      <c r="R224" s="4"/>
      <c r="S224" s="4"/>
      <c r="T224" s="4"/>
      <c r="U224" s="4"/>
      <c r="V224" s="4"/>
      <c r="W224" s="4"/>
      <c r="X224" s="4"/>
      <c r="Y224" s="4"/>
    </row>
    <row r="225" spans="1:25" x14ac:dyDescent="0.2">
      <c r="A225" s="41"/>
      <c r="B225" s="5"/>
      <c r="C225" s="4"/>
      <c r="D225" s="4"/>
      <c r="E225" s="4"/>
      <c r="F225" s="4"/>
      <c r="G225" s="4"/>
      <c r="H225" s="4"/>
      <c r="I225" s="4"/>
      <c r="J225" s="4"/>
      <c r="K225" s="4"/>
      <c r="L225" s="4"/>
      <c r="M225" s="4"/>
      <c r="N225" s="4"/>
      <c r="O225" s="4"/>
      <c r="P225" s="4"/>
      <c r="Q225" s="4"/>
      <c r="R225" s="4"/>
      <c r="S225" s="4"/>
      <c r="T225" s="4"/>
      <c r="U225" s="4"/>
      <c r="V225" s="4"/>
      <c r="W225" s="4"/>
      <c r="X225" s="4"/>
      <c r="Y225" s="4"/>
    </row>
    <row r="226" spans="1:25" x14ac:dyDescent="0.2">
      <c r="A226" s="41"/>
      <c r="B226" s="5"/>
      <c r="C226" s="4"/>
      <c r="D226" s="4"/>
      <c r="E226" s="4"/>
      <c r="F226" s="4"/>
      <c r="G226" s="4"/>
      <c r="H226" s="4"/>
      <c r="I226" s="4"/>
      <c r="J226" s="4"/>
      <c r="K226" s="4"/>
      <c r="L226" s="4"/>
      <c r="M226" s="4"/>
      <c r="N226" s="4"/>
      <c r="O226" s="4"/>
      <c r="P226" s="4"/>
      <c r="Q226" s="4"/>
      <c r="R226" s="4"/>
      <c r="S226" s="4"/>
      <c r="T226" s="4"/>
      <c r="U226" s="4"/>
      <c r="V226" s="4"/>
      <c r="W226" s="4"/>
      <c r="X226" s="4"/>
      <c r="Y226" s="4"/>
    </row>
    <row r="227" spans="1:25" x14ac:dyDescent="0.2">
      <c r="A227" s="41"/>
      <c r="B227" s="5"/>
      <c r="C227" s="4"/>
      <c r="D227" s="4"/>
      <c r="E227" s="4"/>
      <c r="F227" s="4"/>
      <c r="G227" s="4"/>
      <c r="H227" s="4"/>
      <c r="I227" s="4"/>
      <c r="J227" s="4"/>
      <c r="K227" s="4"/>
      <c r="L227" s="4"/>
      <c r="M227" s="4"/>
      <c r="N227" s="4"/>
      <c r="O227" s="4"/>
      <c r="P227" s="4"/>
      <c r="Q227" s="4"/>
      <c r="R227" s="4"/>
      <c r="S227" s="4"/>
      <c r="T227" s="4"/>
      <c r="U227" s="4"/>
      <c r="V227" s="4"/>
      <c r="W227" s="4"/>
      <c r="X227" s="4"/>
      <c r="Y227" s="4"/>
    </row>
    <row r="228" spans="1:25" x14ac:dyDescent="0.2">
      <c r="A228" s="41"/>
      <c r="B228" s="5"/>
      <c r="C228" s="4"/>
      <c r="D228" s="4"/>
      <c r="E228" s="4"/>
      <c r="F228" s="4"/>
      <c r="G228" s="4"/>
      <c r="H228" s="4"/>
      <c r="I228" s="4"/>
      <c r="J228" s="4"/>
      <c r="K228" s="4"/>
      <c r="L228" s="4"/>
      <c r="M228" s="4"/>
      <c r="N228" s="4"/>
      <c r="O228" s="4"/>
      <c r="P228" s="4"/>
      <c r="Q228" s="4"/>
      <c r="R228" s="4"/>
      <c r="S228" s="4"/>
      <c r="T228" s="4"/>
      <c r="U228" s="4"/>
      <c r="V228" s="4"/>
      <c r="W228" s="4"/>
      <c r="X228" s="4"/>
      <c r="Y228" s="4"/>
    </row>
    <row r="229" spans="1:25" x14ac:dyDescent="0.2">
      <c r="A229" s="41"/>
      <c r="B229" s="5"/>
      <c r="C229" s="4"/>
      <c r="D229" s="4"/>
      <c r="E229" s="4"/>
      <c r="F229" s="4"/>
      <c r="G229" s="4"/>
      <c r="H229" s="4"/>
      <c r="I229" s="4"/>
      <c r="J229" s="4"/>
      <c r="K229" s="4"/>
      <c r="L229" s="4"/>
      <c r="M229" s="4"/>
      <c r="N229" s="4"/>
      <c r="O229" s="4"/>
      <c r="P229" s="4"/>
      <c r="Q229" s="4"/>
      <c r="R229" s="4"/>
      <c r="S229" s="4"/>
      <c r="T229" s="4"/>
      <c r="U229" s="4"/>
      <c r="V229" s="4"/>
      <c r="W229" s="4"/>
      <c r="X229" s="4"/>
      <c r="Y229" s="4"/>
    </row>
    <row r="230" spans="1:25" x14ac:dyDescent="0.2">
      <c r="A230" s="41"/>
      <c r="B230" s="5"/>
      <c r="C230" s="4"/>
      <c r="D230" s="4"/>
      <c r="E230" s="4"/>
      <c r="F230" s="4"/>
      <c r="G230" s="4"/>
      <c r="H230" s="4"/>
      <c r="I230" s="4"/>
      <c r="J230" s="4"/>
      <c r="K230" s="4"/>
      <c r="L230" s="4"/>
      <c r="M230" s="4"/>
      <c r="N230" s="4"/>
      <c r="O230" s="4"/>
      <c r="P230" s="4"/>
      <c r="Q230" s="4"/>
      <c r="R230" s="4"/>
      <c r="S230" s="4"/>
      <c r="T230" s="4"/>
      <c r="U230" s="4"/>
      <c r="V230" s="4"/>
      <c r="W230" s="4"/>
      <c r="X230" s="4"/>
      <c r="Y230" s="4"/>
    </row>
    <row r="231" spans="1:25" x14ac:dyDescent="0.2">
      <c r="A231" s="41"/>
      <c r="B231" s="5"/>
      <c r="C231" s="4"/>
      <c r="D231" s="4"/>
      <c r="E231" s="4"/>
      <c r="F231" s="4"/>
      <c r="G231" s="4"/>
      <c r="H231" s="4"/>
      <c r="I231" s="4"/>
      <c r="J231" s="4"/>
      <c r="K231" s="4"/>
      <c r="L231" s="4"/>
      <c r="M231" s="4"/>
      <c r="N231" s="4"/>
      <c r="O231" s="4"/>
      <c r="P231" s="4"/>
      <c r="Q231" s="4"/>
      <c r="R231" s="4"/>
      <c r="S231" s="4"/>
      <c r="T231" s="4"/>
      <c r="U231" s="4"/>
      <c r="V231" s="4"/>
      <c r="W231" s="4"/>
      <c r="X231" s="4"/>
      <c r="Y231" s="4"/>
    </row>
    <row r="232" spans="1:25" x14ac:dyDescent="0.2">
      <c r="A232" s="41"/>
      <c r="B232" s="5"/>
      <c r="C232" s="4"/>
      <c r="D232" s="4"/>
      <c r="E232" s="4"/>
      <c r="F232" s="4"/>
      <c r="G232" s="4"/>
      <c r="H232" s="4"/>
      <c r="I232" s="4"/>
      <c r="J232" s="4"/>
      <c r="K232" s="4"/>
      <c r="L232" s="4"/>
      <c r="M232" s="4"/>
      <c r="N232" s="4"/>
      <c r="O232" s="4"/>
      <c r="P232" s="4"/>
      <c r="Q232" s="4"/>
      <c r="R232" s="4"/>
      <c r="S232" s="4"/>
      <c r="T232" s="4"/>
      <c r="U232" s="4"/>
      <c r="V232" s="4"/>
      <c r="W232" s="4"/>
      <c r="X232" s="4"/>
      <c r="Y232" s="4"/>
    </row>
    <row r="233" spans="1:25" x14ac:dyDescent="0.2">
      <c r="A233" s="41"/>
      <c r="B233" s="5"/>
      <c r="C233" s="4"/>
      <c r="D233" s="4"/>
      <c r="E233" s="4"/>
      <c r="F233" s="4"/>
      <c r="G233" s="4"/>
      <c r="H233" s="4"/>
      <c r="I233" s="4"/>
      <c r="J233" s="4"/>
      <c r="K233" s="4"/>
      <c r="L233" s="4"/>
      <c r="M233" s="4"/>
      <c r="N233" s="4"/>
      <c r="O233" s="4"/>
      <c r="P233" s="4"/>
      <c r="Q233" s="4"/>
      <c r="R233" s="4"/>
      <c r="S233" s="4"/>
      <c r="T233" s="4"/>
      <c r="U233" s="4"/>
      <c r="V233" s="4"/>
      <c r="W233" s="4"/>
      <c r="X233" s="4"/>
      <c r="Y233" s="4"/>
    </row>
    <row r="234" spans="1:25" x14ac:dyDescent="0.2">
      <c r="A234" s="41"/>
      <c r="B234" s="5"/>
      <c r="C234" s="4"/>
      <c r="D234" s="4"/>
      <c r="E234" s="4"/>
      <c r="F234" s="4"/>
      <c r="G234" s="4"/>
      <c r="H234" s="4"/>
      <c r="I234" s="4"/>
      <c r="J234" s="4"/>
      <c r="K234" s="4"/>
      <c r="L234" s="4"/>
      <c r="M234" s="4"/>
      <c r="N234" s="4"/>
      <c r="O234" s="4"/>
      <c r="P234" s="4"/>
      <c r="Q234" s="4"/>
      <c r="R234" s="4"/>
      <c r="S234" s="4"/>
      <c r="T234" s="4"/>
      <c r="U234" s="4"/>
      <c r="V234" s="4"/>
      <c r="W234" s="4"/>
      <c r="X234" s="4"/>
      <c r="Y234" s="4"/>
    </row>
    <row r="235" spans="1:25" x14ac:dyDescent="0.2">
      <c r="A235" s="41"/>
      <c r="B235" s="5"/>
      <c r="C235" s="4"/>
      <c r="D235" s="4"/>
      <c r="E235" s="4"/>
      <c r="F235" s="4"/>
      <c r="G235" s="4"/>
      <c r="H235" s="4"/>
      <c r="I235" s="4"/>
      <c r="J235" s="4"/>
      <c r="K235" s="4"/>
      <c r="L235" s="4"/>
      <c r="M235" s="4"/>
      <c r="N235" s="4"/>
      <c r="O235" s="4"/>
      <c r="P235" s="4"/>
      <c r="Q235" s="4"/>
      <c r="R235" s="4"/>
      <c r="S235" s="4"/>
      <c r="T235" s="4"/>
      <c r="U235" s="4"/>
      <c r="V235" s="4"/>
      <c r="W235" s="4"/>
      <c r="X235" s="4"/>
      <c r="Y235" s="4"/>
    </row>
    <row r="236" spans="1:25" x14ac:dyDescent="0.2">
      <c r="A236" s="41"/>
      <c r="B236" s="5"/>
      <c r="C236" s="4"/>
      <c r="D236" s="4"/>
      <c r="E236" s="4"/>
      <c r="F236" s="4"/>
      <c r="G236" s="4"/>
      <c r="H236" s="4"/>
      <c r="I236" s="4"/>
      <c r="J236" s="4"/>
      <c r="K236" s="4"/>
      <c r="L236" s="4"/>
      <c r="M236" s="4"/>
      <c r="N236" s="4"/>
      <c r="O236" s="4"/>
      <c r="P236" s="4"/>
      <c r="Q236" s="4"/>
      <c r="R236" s="4"/>
      <c r="S236" s="4"/>
      <c r="T236" s="4"/>
      <c r="U236" s="4"/>
      <c r="V236" s="4"/>
      <c r="W236" s="4"/>
      <c r="X236" s="4"/>
      <c r="Y236" s="4"/>
    </row>
    <row r="237" spans="1:25" x14ac:dyDescent="0.2">
      <c r="A237" s="41"/>
      <c r="B237" s="5"/>
      <c r="C237" s="4"/>
      <c r="D237" s="4"/>
      <c r="E237" s="4"/>
      <c r="F237" s="4"/>
      <c r="G237" s="4"/>
      <c r="H237" s="4"/>
      <c r="I237" s="4"/>
      <c r="J237" s="4"/>
      <c r="K237" s="4"/>
      <c r="L237" s="4"/>
      <c r="M237" s="4"/>
      <c r="N237" s="4"/>
      <c r="O237" s="4"/>
      <c r="P237" s="4"/>
      <c r="Q237" s="4"/>
      <c r="R237" s="4"/>
      <c r="S237" s="4"/>
      <c r="T237" s="4"/>
      <c r="U237" s="4"/>
      <c r="V237" s="4"/>
      <c r="W237" s="4"/>
      <c r="X237" s="4"/>
      <c r="Y237" s="4"/>
    </row>
    <row r="238" spans="1:25" x14ac:dyDescent="0.2">
      <c r="A238" s="41"/>
      <c r="B238" s="5"/>
      <c r="C238" s="4"/>
      <c r="D238" s="4"/>
      <c r="E238" s="4"/>
      <c r="F238" s="4"/>
      <c r="G238" s="4"/>
      <c r="H238" s="4"/>
      <c r="I238" s="4"/>
      <c r="J238" s="4"/>
      <c r="K238" s="4"/>
      <c r="L238" s="4"/>
      <c r="M238" s="4"/>
      <c r="N238" s="4"/>
      <c r="O238" s="4"/>
      <c r="P238" s="4"/>
      <c r="Q238" s="4"/>
      <c r="R238" s="4"/>
      <c r="S238" s="4"/>
      <c r="T238" s="4"/>
      <c r="U238" s="4"/>
      <c r="V238" s="4"/>
      <c r="W238" s="4"/>
      <c r="X238" s="4"/>
      <c r="Y238" s="4"/>
    </row>
    <row r="239" spans="1:25" x14ac:dyDescent="0.2">
      <c r="A239" s="41"/>
      <c r="B239" s="5"/>
      <c r="C239" s="4"/>
      <c r="D239" s="4"/>
      <c r="E239" s="4"/>
      <c r="F239" s="4"/>
      <c r="G239" s="4"/>
      <c r="H239" s="4"/>
      <c r="I239" s="4"/>
      <c r="J239" s="4"/>
      <c r="K239" s="4"/>
      <c r="L239" s="4"/>
      <c r="M239" s="4"/>
      <c r="N239" s="4"/>
      <c r="O239" s="4"/>
      <c r="P239" s="4"/>
      <c r="Q239" s="4"/>
      <c r="R239" s="4"/>
      <c r="S239" s="4"/>
      <c r="T239" s="4"/>
      <c r="U239" s="4"/>
      <c r="V239" s="4"/>
      <c r="W239" s="4"/>
      <c r="X239" s="4"/>
      <c r="Y239" s="4"/>
    </row>
    <row r="240" spans="1:25" x14ac:dyDescent="0.2">
      <c r="A240" s="41"/>
      <c r="B240" s="5"/>
      <c r="C240" s="4"/>
      <c r="D240" s="4"/>
      <c r="E240" s="4"/>
      <c r="F240" s="4"/>
      <c r="G240" s="4"/>
      <c r="H240" s="4"/>
      <c r="I240" s="4"/>
      <c r="J240" s="4"/>
      <c r="K240" s="4"/>
      <c r="L240" s="4"/>
      <c r="M240" s="4"/>
      <c r="N240" s="4"/>
      <c r="O240" s="4"/>
      <c r="P240" s="4"/>
      <c r="Q240" s="4"/>
      <c r="R240" s="4"/>
      <c r="S240" s="4"/>
      <c r="T240" s="4"/>
      <c r="U240" s="4"/>
      <c r="V240" s="4"/>
      <c r="W240" s="4"/>
      <c r="X240" s="4"/>
      <c r="Y240" s="4"/>
    </row>
    <row r="241" spans="1:25" x14ac:dyDescent="0.2">
      <c r="A241" s="41"/>
      <c r="B241" s="5"/>
      <c r="C241" s="4"/>
      <c r="D241" s="4"/>
      <c r="E241" s="4"/>
      <c r="F241" s="4"/>
      <c r="G241" s="4"/>
      <c r="H241" s="4"/>
      <c r="I241" s="4"/>
      <c r="J241" s="4"/>
      <c r="K241" s="4"/>
      <c r="L241" s="4"/>
      <c r="M241" s="4"/>
      <c r="N241" s="4"/>
      <c r="O241" s="4"/>
      <c r="P241" s="4"/>
      <c r="Q241" s="4"/>
      <c r="R241" s="4"/>
      <c r="S241" s="4"/>
      <c r="T241" s="4"/>
      <c r="U241" s="4"/>
      <c r="V241" s="4"/>
      <c r="W241" s="4"/>
      <c r="X241" s="4"/>
      <c r="Y241" s="4"/>
    </row>
    <row r="242" spans="1:25" x14ac:dyDescent="0.2">
      <c r="A242" s="41"/>
      <c r="B242" s="5"/>
      <c r="C242" s="4"/>
      <c r="D242" s="4"/>
      <c r="E242" s="4"/>
      <c r="F242" s="4"/>
      <c r="G242" s="4"/>
      <c r="H242" s="4"/>
      <c r="I242" s="4"/>
      <c r="J242" s="4"/>
      <c r="K242" s="4"/>
      <c r="L242" s="4"/>
      <c r="M242" s="4"/>
      <c r="N242" s="4"/>
      <c r="O242" s="4"/>
      <c r="P242" s="4"/>
      <c r="Q242" s="4"/>
      <c r="R242" s="4"/>
      <c r="S242" s="4"/>
      <c r="T242" s="4"/>
      <c r="U242" s="4"/>
      <c r="V242" s="4"/>
      <c r="W242" s="4"/>
      <c r="X242" s="4"/>
      <c r="Y242" s="4"/>
    </row>
    <row r="243" spans="1:25" x14ac:dyDescent="0.2">
      <c r="A243" s="41"/>
      <c r="B243" s="5"/>
      <c r="C243" s="4"/>
      <c r="D243" s="4"/>
      <c r="E243" s="4"/>
      <c r="F243" s="4"/>
      <c r="G243" s="4"/>
      <c r="H243" s="4"/>
      <c r="I243" s="4"/>
      <c r="J243" s="4"/>
      <c r="K243" s="4"/>
      <c r="L243" s="4"/>
      <c r="M243" s="4"/>
      <c r="N243" s="4"/>
      <c r="O243" s="4"/>
      <c r="P243" s="4"/>
      <c r="Q243" s="4"/>
      <c r="R243" s="4"/>
      <c r="S243" s="4"/>
      <c r="T243" s="4"/>
      <c r="U243" s="4"/>
      <c r="V243" s="4"/>
      <c r="W243" s="4"/>
      <c r="X243" s="4"/>
      <c r="Y243" s="4"/>
    </row>
    <row r="244" spans="1:25" x14ac:dyDescent="0.2">
      <c r="A244" s="41"/>
      <c r="B244" s="5"/>
      <c r="C244" s="4"/>
      <c r="D244" s="4"/>
      <c r="E244" s="4"/>
      <c r="F244" s="4"/>
      <c r="G244" s="4"/>
      <c r="H244" s="4"/>
      <c r="I244" s="4"/>
      <c r="J244" s="4"/>
      <c r="K244" s="4"/>
      <c r="L244" s="4"/>
      <c r="M244" s="4"/>
      <c r="N244" s="4"/>
      <c r="O244" s="4"/>
      <c r="P244" s="4"/>
      <c r="Q244" s="4"/>
      <c r="R244" s="4"/>
      <c r="S244" s="4"/>
      <c r="T244" s="4"/>
      <c r="U244" s="4"/>
      <c r="V244" s="4"/>
      <c r="W244" s="4"/>
      <c r="X244" s="4"/>
      <c r="Y244" s="4"/>
    </row>
    <row r="245" spans="1:25" x14ac:dyDescent="0.2">
      <c r="A245" s="41"/>
      <c r="B245" s="5"/>
      <c r="C245" s="4"/>
      <c r="D245" s="4"/>
      <c r="E245" s="4"/>
      <c r="F245" s="4"/>
      <c r="G245" s="4"/>
      <c r="H245" s="4"/>
      <c r="I245" s="4"/>
      <c r="J245" s="4"/>
      <c r="K245" s="4"/>
      <c r="L245" s="4"/>
      <c r="M245" s="4"/>
      <c r="N245" s="4"/>
      <c r="O245" s="4"/>
      <c r="P245" s="4"/>
      <c r="Q245" s="4"/>
      <c r="R245" s="4"/>
      <c r="S245" s="4"/>
      <c r="T245" s="4"/>
      <c r="U245" s="4"/>
      <c r="V245" s="4"/>
      <c r="W245" s="4"/>
      <c r="X245" s="4"/>
      <c r="Y245" s="4"/>
    </row>
    <row r="246" spans="1:25" x14ac:dyDescent="0.2">
      <c r="A246" s="41"/>
      <c r="B246" s="5"/>
      <c r="C246" s="4"/>
      <c r="D246" s="4"/>
      <c r="E246" s="4"/>
      <c r="F246" s="4"/>
      <c r="G246" s="4"/>
      <c r="H246" s="4"/>
      <c r="I246" s="4"/>
      <c r="J246" s="4"/>
      <c r="K246" s="4"/>
      <c r="L246" s="4"/>
      <c r="M246" s="4"/>
      <c r="N246" s="4"/>
      <c r="O246" s="4"/>
      <c r="P246" s="4"/>
      <c r="Q246" s="4"/>
      <c r="R246" s="4"/>
      <c r="S246" s="4"/>
      <c r="T246" s="4"/>
      <c r="U246" s="4"/>
      <c r="V246" s="4"/>
      <c r="W246" s="4"/>
      <c r="X246" s="4"/>
      <c r="Y246" s="4"/>
    </row>
    <row r="247" spans="1:25" x14ac:dyDescent="0.2">
      <c r="A247" s="41"/>
      <c r="B247" s="5"/>
      <c r="C247" s="4"/>
      <c r="D247" s="4"/>
      <c r="E247" s="4"/>
      <c r="F247" s="4"/>
      <c r="G247" s="4"/>
      <c r="H247" s="4"/>
      <c r="I247" s="4"/>
      <c r="J247" s="4"/>
      <c r="K247" s="4"/>
      <c r="L247" s="4"/>
      <c r="M247" s="4"/>
      <c r="N247" s="4"/>
      <c r="O247" s="4"/>
      <c r="P247" s="4"/>
      <c r="Q247" s="4"/>
      <c r="R247" s="4"/>
      <c r="S247" s="4"/>
      <c r="T247" s="4"/>
      <c r="U247" s="4"/>
      <c r="V247" s="4"/>
      <c r="W247" s="4"/>
      <c r="X247" s="4"/>
      <c r="Y247" s="4"/>
    </row>
    <row r="248" spans="1:25" x14ac:dyDescent="0.2">
      <c r="A248" s="41"/>
      <c r="B248" s="5"/>
      <c r="C248" s="4"/>
      <c r="D248" s="4"/>
      <c r="E248" s="4"/>
      <c r="F248" s="4"/>
      <c r="G248" s="4"/>
      <c r="H248" s="4"/>
      <c r="I248" s="4"/>
      <c r="J248" s="4"/>
      <c r="K248" s="4"/>
      <c r="L248" s="4"/>
      <c r="M248" s="4"/>
      <c r="N248" s="4"/>
      <c r="O248" s="4"/>
      <c r="P248" s="4"/>
      <c r="Q248" s="4"/>
      <c r="R248" s="4"/>
      <c r="S248" s="4"/>
      <c r="T248" s="4"/>
      <c r="U248" s="4"/>
      <c r="V248" s="4"/>
      <c r="W248" s="4"/>
      <c r="X248" s="4"/>
      <c r="Y248" s="4"/>
    </row>
    <row r="249" spans="1:25" x14ac:dyDescent="0.2">
      <c r="A249" s="41"/>
      <c r="B249" s="5"/>
      <c r="C249" s="4"/>
      <c r="D249" s="4"/>
      <c r="E249" s="4"/>
      <c r="F249" s="4"/>
      <c r="G249" s="4"/>
      <c r="H249" s="4"/>
      <c r="I249" s="4"/>
      <c r="J249" s="4"/>
      <c r="K249" s="4"/>
      <c r="L249" s="4"/>
      <c r="M249" s="4"/>
      <c r="N249" s="4"/>
      <c r="O249" s="4"/>
      <c r="P249" s="4"/>
      <c r="Q249" s="4"/>
      <c r="R249" s="4"/>
      <c r="S249" s="4"/>
      <c r="T249" s="4"/>
      <c r="U249" s="4"/>
      <c r="V249" s="4"/>
      <c r="W249" s="4"/>
      <c r="X249" s="4"/>
      <c r="Y249" s="4"/>
    </row>
    <row r="250" spans="1:25" x14ac:dyDescent="0.2">
      <c r="A250" s="41"/>
      <c r="B250" s="5"/>
      <c r="C250" s="4"/>
      <c r="D250" s="4"/>
      <c r="E250" s="4"/>
      <c r="F250" s="4"/>
      <c r="G250" s="4"/>
      <c r="H250" s="4"/>
      <c r="I250" s="4"/>
      <c r="J250" s="4"/>
      <c r="K250" s="4"/>
      <c r="L250" s="4"/>
      <c r="M250" s="4"/>
      <c r="N250" s="4"/>
      <c r="O250" s="4"/>
      <c r="P250" s="4"/>
      <c r="Q250" s="4"/>
      <c r="R250" s="4"/>
      <c r="S250" s="4"/>
      <c r="T250" s="4"/>
      <c r="U250" s="4"/>
      <c r="V250" s="4"/>
      <c r="W250" s="4"/>
      <c r="X250" s="4"/>
      <c r="Y250" s="4"/>
    </row>
    <row r="251" spans="1:25" x14ac:dyDescent="0.2">
      <c r="A251" s="41"/>
      <c r="B251" s="5"/>
      <c r="C251" s="4"/>
      <c r="D251" s="4"/>
      <c r="E251" s="4"/>
      <c r="F251" s="4"/>
      <c r="G251" s="4"/>
      <c r="H251" s="4"/>
      <c r="I251" s="4"/>
      <c r="J251" s="4"/>
      <c r="K251" s="4"/>
      <c r="L251" s="4"/>
      <c r="M251" s="4"/>
      <c r="N251" s="4"/>
      <c r="O251" s="4"/>
      <c r="P251" s="4"/>
      <c r="Q251" s="4"/>
      <c r="R251" s="4"/>
      <c r="S251" s="4"/>
      <c r="T251" s="4"/>
      <c r="U251" s="4"/>
      <c r="V251" s="4"/>
      <c r="W251" s="4"/>
      <c r="X251" s="4"/>
      <c r="Y251" s="4"/>
    </row>
    <row r="252" spans="1:25" x14ac:dyDescent="0.2">
      <c r="A252" s="41"/>
      <c r="B252" s="5"/>
      <c r="C252" s="4"/>
      <c r="D252" s="4"/>
      <c r="E252" s="4"/>
      <c r="F252" s="4"/>
      <c r="G252" s="4"/>
      <c r="H252" s="4"/>
      <c r="I252" s="4"/>
      <c r="J252" s="4"/>
      <c r="K252" s="4"/>
      <c r="L252" s="4"/>
      <c r="M252" s="4"/>
      <c r="N252" s="4"/>
      <c r="O252" s="4"/>
      <c r="P252" s="4"/>
      <c r="Q252" s="4"/>
      <c r="R252" s="4"/>
      <c r="S252" s="4"/>
      <c r="T252" s="4"/>
      <c r="U252" s="4"/>
      <c r="V252" s="4"/>
      <c r="W252" s="4"/>
      <c r="X252" s="4"/>
      <c r="Y252" s="4"/>
    </row>
    <row r="253" spans="1:25" x14ac:dyDescent="0.2">
      <c r="A253" s="41"/>
      <c r="B253" s="5"/>
      <c r="C253" s="4"/>
      <c r="D253" s="4"/>
      <c r="E253" s="4"/>
      <c r="F253" s="4"/>
      <c r="G253" s="4"/>
      <c r="H253" s="4"/>
      <c r="I253" s="4"/>
      <c r="J253" s="4"/>
      <c r="K253" s="4"/>
      <c r="L253" s="4"/>
      <c r="M253" s="4"/>
      <c r="N253" s="4"/>
      <c r="O253" s="4"/>
      <c r="P253" s="4"/>
      <c r="Q253" s="4"/>
      <c r="R253" s="4"/>
      <c r="S253" s="4"/>
      <c r="T253" s="4"/>
      <c r="U253" s="4"/>
      <c r="V253" s="4"/>
      <c r="W253" s="4"/>
      <c r="X253" s="4"/>
      <c r="Y253" s="4"/>
    </row>
    <row r="254" spans="1:25" x14ac:dyDescent="0.2">
      <c r="A254" s="41"/>
      <c r="B254" s="5"/>
      <c r="C254" s="4"/>
      <c r="D254" s="4"/>
      <c r="E254" s="4"/>
      <c r="F254" s="4"/>
      <c r="G254" s="4"/>
      <c r="H254" s="4"/>
      <c r="I254" s="4"/>
      <c r="J254" s="4"/>
      <c r="K254" s="4"/>
      <c r="L254" s="4"/>
      <c r="M254" s="4"/>
      <c r="N254" s="4"/>
      <c r="O254" s="4"/>
      <c r="P254" s="4"/>
      <c r="Q254" s="4"/>
      <c r="R254" s="4"/>
      <c r="S254" s="4"/>
      <c r="T254" s="4"/>
      <c r="U254" s="4"/>
      <c r="V254" s="4"/>
      <c r="W254" s="4"/>
      <c r="X254" s="4"/>
      <c r="Y254" s="4"/>
    </row>
    <row r="255" spans="1:25" x14ac:dyDescent="0.2">
      <c r="A255" s="41"/>
      <c r="B255" s="5"/>
      <c r="C255" s="4"/>
      <c r="D255" s="4"/>
      <c r="E255" s="4"/>
      <c r="F255" s="4"/>
      <c r="G255" s="4"/>
      <c r="H255" s="4"/>
      <c r="I255" s="4"/>
      <c r="J255" s="4"/>
      <c r="K255" s="4"/>
      <c r="L255" s="4"/>
      <c r="M255" s="4"/>
      <c r="N255" s="4"/>
      <c r="O255" s="4"/>
      <c r="P255" s="4"/>
      <c r="Q255" s="4"/>
      <c r="R255" s="4"/>
      <c r="S255" s="4"/>
      <c r="T255" s="4"/>
      <c r="U255" s="4"/>
      <c r="V255" s="4"/>
      <c r="W255" s="4"/>
      <c r="X255" s="4"/>
      <c r="Y255" s="4"/>
    </row>
    <row r="256" spans="1:25" x14ac:dyDescent="0.2">
      <c r="A256" s="41"/>
      <c r="B256" s="5"/>
      <c r="C256" s="4"/>
      <c r="D256" s="4"/>
      <c r="E256" s="4"/>
      <c r="F256" s="4"/>
      <c r="G256" s="4"/>
      <c r="H256" s="4"/>
      <c r="I256" s="4"/>
      <c r="J256" s="4"/>
      <c r="K256" s="4"/>
      <c r="L256" s="4"/>
      <c r="M256" s="4"/>
      <c r="N256" s="4"/>
      <c r="O256" s="4"/>
      <c r="P256" s="4"/>
      <c r="Q256" s="4"/>
      <c r="R256" s="4"/>
      <c r="S256" s="4"/>
      <c r="T256" s="4"/>
      <c r="U256" s="4"/>
      <c r="V256" s="4"/>
      <c r="W256" s="4"/>
      <c r="X256" s="4"/>
      <c r="Y256" s="4"/>
    </row>
    <row r="257" spans="1:25" x14ac:dyDescent="0.2">
      <c r="A257" s="41"/>
      <c r="B257" s="5"/>
      <c r="C257" s="4"/>
      <c r="D257" s="4"/>
      <c r="E257" s="4"/>
      <c r="F257" s="4"/>
      <c r="G257" s="4"/>
      <c r="H257" s="4"/>
      <c r="I257" s="4"/>
      <c r="J257" s="4"/>
      <c r="K257" s="4"/>
      <c r="L257" s="4"/>
      <c r="M257" s="4"/>
      <c r="N257" s="4"/>
      <c r="O257" s="4"/>
      <c r="P257" s="4"/>
      <c r="Q257" s="4"/>
      <c r="R257" s="4"/>
      <c r="S257" s="4"/>
      <c r="T257" s="4"/>
      <c r="U257" s="4"/>
      <c r="V257" s="4"/>
      <c r="W257" s="4"/>
      <c r="X257" s="4"/>
      <c r="Y257" s="4"/>
    </row>
    <row r="258" spans="1:25" x14ac:dyDescent="0.2">
      <c r="A258" s="41"/>
      <c r="B258" s="5"/>
      <c r="C258" s="4"/>
      <c r="D258" s="4"/>
      <c r="E258" s="4"/>
      <c r="F258" s="4"/>
      <c r="G258" s="4"/>
      <c r="H258" s="4"/>
      <c r="I258" s="4"/>
      <c r="J258" s="4"/>
      <c r="K258" s="4"/>
      <c r="L258" s="4"/>
      <c r="M258" s="4"/>
      <c r="N258" s="4"/>
      <c r="O258" s="4"/>
      <c r="P258" s="4"/>
      <c r="Q258" s="4"/>
      <c r="R258" s="4"/>
      <c r="S258" s="4"/>
      <c r="T258" s="4"/>
      <c r="U258" s="4"/>
      <c r="V258" s="4"/>
      <c r="W258" s="4"/>
      <c r="X258" s="4"/>
      <c r="Y258" s="4"/>
    </row>
    <row r="259" spans="1:25" x14ac:dyDescent="0.2">
      <c r="A259" s="41"/>
      <c r="B259" s="5"/>
      <c r="C259" s="4"/>
      <c r="D259" s="4"/>
      <c r="E259" s="4"/>
      <c r="F259" s="4"/>
      <c r="G259" s="4"/>
      <c r="H259" s="4"/>
      <c r="I259" s="4"/>
      <c r="J259" s="4"/>
      <c r="K259" s="4"/>
      <c r="L259" s="4"/>
      <c r="M259" s="4"/>
      <c r="N259" s="4"/>
      <c r="O259" s="4"/>
      <c r="P259" s="4"/>
      <c r="Q259" s="4"/>
      <c r="R259" s="4"/>
      <c r="S259" s="4"/>
      <c r="T259" s="4"/>
      <c r="U259" s="4"/>
      <c r="V259" s="4"/>
      <c r="W259" s="4"/>
      <c r="X259" s="4"/>
      <c r="Y259" s="4"/>
    </row>
    <row r="260" spans="1:25" x14ac:dyDescent="0.2">
      <c r="A260" s="41"/>
      <c r="B260" s="5"/>
      <c r="C260" s="4"/>
      <c r="D260" s="4"/>
      <c r="E260" s="4"/>
      <c r="F260" s="4"/>
      <c r="G260" s="4"/>
      <c r="H260" s="4"/>
      <c r="I260" s="4"/>
      <c r="J260" s="4"/>
      <c r="K260" s="4"/>
      <c r="L260" s="4"/>
      <c r="M260" s="4"/>
      <c r="N260" s="4"/>
      <c r="O260" s="4"/>
      <c r="P260" s="4"/>
      <c r="Q260" s="4"/>
      <c r="R260" s="4"/>
      <c r="S260" s="4"/>
      <c r="T260" s="4"/>
      <c r="U260" s="4"/>
      <c r="V260" s="4"/>
      <c r="W260" s="4"/>
      <c r="X260" s="4"/>
      <c r="Y260" s="4"/>
    </row>
    <row r="261" spans="1:25" x14ac:dyDescent="0.2">
      <c r="A261" s="41"/>
      <c r="B261" s="5"/>
      <c r="C261" s="4"/>
      <c r="D261" s="4"/>
      <c r="E261" s="4"/>
      <c r="F261" s="4"/>
      <c r="G261" s="4"/>
      <c r="H261" s="4"/>
      <c r="I261" s="4"/>
      <c r="J261" s="4"/>
      <c r="K261" s="4"/>
      <c r="L261" s="4"/>
      <c r="M261" s="4"/>
      <c r="N261" s="4"/>
      <c r="O261" s="4"/>
      <c r="P261" s="4"/>
      <c r="Q261" s="4"/>
      <c r="R261" s="4"/>
      <c r="S261" s="4"/>
      <c r="T261" s="4"/>
      <c r="U261" s="4"/>
      <c r="V261" s="4"/>
      <c r="W261" s="4"/>
      <c r="X261" s="4"/>
      <c r="Y261" s="4"/>
    </row>
    <row r="262" spans="1:25" x14ac:dyDescent="0.2">
      <c r="A262" s="41"/>
      <c r="B262" s="5"/>
      <c r="C262" s="4"/>
      <c r="D262" s="4"/>
      <c r="E262" s="4"/>
      <c r="F262" s="4"/>
      <c r="G262" s="4"/>
      <c r="H262" s="4"/>
      <c r="I262" s="4"/>
      <c r="J262" s="4"/>
      <c r="K262" s="4"/>
      <c r="L262" s="4"/>
      <c r="M262" s="4"/>
      <c r="N262" s="4"/>
      <c r="O262" s="4"/>
      <c r="P262" s="4"/>
      <c r="Q262" s="4"/>
      <c r="R262" s="4"/>
      <c r="S262" s="4"/>
      <c r="T262" s="4"/>
      <c r="U262" s="4"/>
      <c r="V262" s="4"/>
      <c r="W262" s="4"/>
      <c r="X262" s="4"/>
      <c r="Y262" s="4"/>
    </row>
    <row r="263" spans="1:25" x14ac:dyDescent="0.2">
      <c r="A263" s="41"/>
      <c r="B263" s="5"/>
      <c r="C263" s="4"/>
      <c r="D263" s="4"/>
      <c r="E263" s="4"/>
      <c r="F263" s="4"/>
      <c r="G263" s="4"/>
      <c r="H263" s="4"/>
      <c r="I263" s="4"/>
      <c r="J263" s="4"/>
      <c r="K263" s="4"/>
      <c r="L263" s="4"/>
      <c r="M263" s="4"/>
      <c r="N263" s="4"/>
      <c r="O263" s="4"/>
      <c r="P263" s="4"/>
      <c r="Q263" s="4"/>
      <c r="R263" s="4"/>
      <c r="S263" s="4"/>
      <c r="T263" s="4"/>
      <c r="U263" s="4"/>
      <c r="V263" s="4"/>
      <c r="W263" s="4"/>
      <c r="X263" s="4"/>
      <c r="Y263" s="4"/>
    </row>
    <row r="264" spans="1:25" x14ac:dyDescent="0.2">
      <c r="A264" s="41"/>
      <c r="B264" s="5"/>
      <c r="C264" s="4"/>
      <c r="D264" s="4"/>
      <c r="E264" s="4"/>
      <c r="F264" s="4"/>
      <c r="G264" s="4"/>
      <c r="H264" s="4"/>
      <c r="I264" s="4"/>
      <c r="J264" s="4"/>
      <c r="K264" s="4"/>
      <c r="L264" s="4"/>
      <c r="M264" s="4"/>
      <c r="N264" s="4"/>
      <c r="O264" s="4"/>
      <c r="P264" s="4"/>
      <c r="Q264" s="4"/>
      <c r="R264" s="4"/>
      <c r="S264" s="4"/>
      <c r="T264" s="4"/>
      <c r="U264" s="4"/>
      <c r="V264" s="4"/>
      <c r="W264" s="4"/>
      <c r="X264" s="4"/>
      <c r="Y264" s="4"/>
    </row>
    <row r="265" spans="1:25" x14ac:dyDescent="0.2">
      <c r="A265" s="41"/>
      <c r="B265" s="5"/>
      <c r="C265" s="4"/>
      <c r="D265" s="4"/>
      <c r="E265" s="4"/>
      <c r="F265" s="4"/>
      <c r="G265" s="4"/>
      <c r="H265" s="4"/>
      <c r="I265" s="4"/>
      <c r="J265" s="4"/>
      <c r="K265" s="4"/>
      <c r="L265" s="4"/>
      <c r="M265" s="4"/>
      <c r="N265" s="4"/>
      <c r="O265" s="4"/>
      <c r="P265" s="4"/>
      <c r="Q265" s="4"/>
      <c r="R265" s="4"/>
      <c r="S265" s="4"/>
      <c r="T265" s="4"/>
      <c r="U265" s="4"/>
      <c r="V265" s="4"/>
      <c r="W265" s="4"/>
      <c r="X265" s="4"/>
      <c r="Y265" s="4"/>
    </row>
    <row r="266" spans="1:25" x14ac:dyDescent="0.2">
      <c r="A266" s="41"/>
      <c r="B266" s="5"/>
      <c r="C266" s="4"/>
      <c r="D266" s="4"/>
      <c r="E266" s="4"/>
      <c r="F266" s="4"/>
      <c r="G266" s="4"/>
      <c r="H266" s="4"/>
      <c r="I266" s="4"/>
      <c r="J266" s="4"/>
      <c r="K266" s="4"/>
      <c r="L266" s="4"/>
      <c r="M266" s="4"/>
      <c r="N266" s="4"/>
      <c r="O266" s="4"/>
      <c r="P266" s="4"/>
      <c r="Q266" s="4"/>
      <c r="R266" s="4"/>
      <c r="S266" s="4"/>
      <c r="T266" s="4"/>
      <c r="U266" s="4"/>
      <c r="V266" s="4"/>
      <c r="W266" s="4"/>
      <c r="X266" s="4"/>
      <c r="Y266" s="4"/>
    </row>
    <row r="267" spans="1:25" x14ac:dyDescent="0.2">
      <c r="A267" s="41"/>
      <c r="B267" s="5"/>
      <c r="C267" s="4"/>
      <c r="D267" s="4"/>
      <c r="E267" s="4"/>
      <c r="F267" s="4"/>
      <c r="G267" s="4"/>
      <c r="H267" s="4"/>
      <c r="I267" s="4"/>
      <c r="J267" s="4"/>
      <c r="K267" s="4"/>
      <c r="L267" s="4"/>
      <c r="M267" s="4"/>
      <c r="N267" s="4"/>
      <c r="O267" s="4"/>
      <c r="P267" s="4"/>
      <c r="Q267" s="4"/>
      <c r="R267" s="4"/>
      <c r="S267" s="4"/>
      <c r="T267" s="4"/>
      <c r="U267" s="4"/>
      <c r="V267" s="4"/>
      <c r="W267" s="4"/>
      <c r="X267" s="4"/>
      <c r="Y267" s="4"/>
    </row>
    <row r="268" spans="1:25" x14ac:dyDescent="0.2">
      <c r="A268" s="41"/>
      <c r="B268" s="5"/>
      <c r="C268" s="4"/>
      <c r="D268" s="4"/>
      <c r="E268" s="4"/>
      <c r="F268" s="4"/>
      <c r="G268" s="4"/>
      <c r="H268" s="4"/>
      <c r="I268" s="4"/>
      <c r="J268" s="4"/>
      <c r="K268" s="4"/>
      <c r="L268" s="4"/>
      <c r="M268" s="4"/>
      <c r="N268" s="4"/>
      <c r="O268" s="4"/>
      <c r="P268" s="4"/>
      <c r="Q268" s="4"/>
      <c r="R268" s="4"/>
      <c r="S268" s="4"/>
      <c r="T268" s="4"/>
      <c r="U268" s="4"/>
      <c r="V268" s="4"/>
      <c r="W268" s="4"/>
      <c r="X268" s="4"/>
      <c r="Y268" s="4"/>
    </row>
    <row r="269" spans="1:25" x14ac:dyDescent="0.2">
      <c r="A269" s="41"/>
      <c r="B269" s="5"/>
      <c r="C269" s="4"/>
      <c r="D269" s="4"/>
      <c r="E269" s="4"/>
      <c r="F269" s="4"/>
      <c r="G269" s="4"/>
      <c r="H269" s="4"/>
      <c r="I269" s="4"/>
      <c r="J269" s="4"/>
      <c r="K269" s="4"/>
      <c r="L269" s="4"/>
      <c r="M269" s="4"/>
      <c r="N269" s="4"/>
      <c r="O269" s="4"/>
      <c r="P269" s="4"/>
      <c r="Q269" s="4"/>
      <c r="R269" s="4"/>
      <c r="S269" s="4"/>
      <c r="T269" s="4"/>
      <c r="U269" s="4"/>
      <c r="V269" s="4"/>
      <c r="W269" s="4"/>
      <c r="X269" s="4"/>
      <c r="Y269" s="4"/>
    </row>
    <row r="270" spans="1:25" x14ac:dyDescent="0.2">
      <c r="A270" s="41"/>
      <c r="B270" s="5"/>
      <c r="C270" s="4"/>
      <c r="D270" s="4"/>
      <c r="E270" s="4"/>
      <c r="F270" s="4"/>
      <c r="G270" s="4"/>
      <c r="H270" s="4"/>
      <c r="I270" s="4"/>
      <c r="J270" s="4"/>
      <c r="K270" s="4"/>
      <c r="L270" s="4"/>
      <c r="M270" s="4"/>
      <c r="N270" s="4"/>
      <c r="O270" s="4"/>
      <c r="P270" s="4"/>
      <c r="Q270" s="4"/>
      <c r="R270" s="4"/>
      <c r="S270" s="4"/>
      <c r="T270" s="4"/>
      <c r="U270" s="4"/>
      <c r="V270" s="4"/>
      <c r="W270" s="4"/>
      <c r="X270" s="4"/>
      <c r="Y270" s="4"/>
    </row>
    <row r="271" spans="1:25" x14ac:dyDescent="0.2">
      <c r="A271" s="41"/>
      <c r="B271" s="5"/>
      <c r="C271" s="4"/>
      <c r="D271" s="4"/>
      <c r="E271" s="4"/>
      <c r="F271" s="4"/>
      <c r="G271" s="4"/>
      <c r="H271" s="4"/>
      <c r="I271" s="4"/>
      <c r="J271" s="4"/>
      <c r="K271" s="4"/>
      <c r="L271" s="4"/>
      <c r="M271" s="4"/>
      <c r="N271" s="4"/>
      <c r="O271" s="4"/>
      <c r="P271" s="4"/>
      <c r="Q271" s="4"/>
      <c r="R271" s="4"/>
      <c r="S271" s="4"/>
      <c r="T271" s="4"/>
      <c r="U271" s="4"/>
      <c r="V271" s="4"/>
      <c r="W271" s="4"/>
      <c r="X271" s="4"/>
      <c r="Y271" s="4"/>
    </row>
    <row r="272" spans="1:25" x14ac:dyDescent="0.2">
      <c r="A272" s="41"/>
      <c r="B272" s="5"/>
      <c r="C272" s="4"/>
      <c r="D272" s="4"/>
      <c r="E272" s="4"/>
      <c r="F272" s="4"/>
      <c r="G272" s="4"/>
      <c r="H272" s="4"/>
      <c r="I272" s="4"/>
      <c r="J272" s="4"/>
      <c r="K272" s="4"/>
      <c r="L272" s="4"/>
      <c r="M272" s="4"/>
      <c r="N272" s="4"/>
      <c r="O272" s="4"/>
      <c r="P272" s="4"/>
      <c r="Q272" s="4"/>
      <c r="R272" s="4"/>
      <c r="S272" s="4"/>
      <c r="T272" s="4"/>
      <c r="U272" s="4"/>
      <c r="V272" s="4"/>
      <c r="W272" s="4"/>
      <c r="X272" s="4"/>
      <c r="Y272" s="4"/>
    </row>
    <row r="273" spans="1:25" x14ac:dyDescent="0.2">
      <c r="A273" s="41"/>
      <c r="B273" s="5"/>
      <c r="C273" s="4"/>
      <c r="D273" s="4"/>
      <c r="E273" s="4"/>
      <c r="F273" s="4"/>
      <c r="G273" s="4"/>
      <c r="H273" s="4"/>
      <c r="I273" s="4"/>
      <c r="J273" s="4"/>
      <c r="K273" s="4"/>
      <c r="L273" s="4"/>
      <c r="M273" s="4"/>
      <c r="N273" s="4"/>
      <c r="O273" s="4"/>
      <c r="P273" s="4"/>
      <c r="Q273" s="4"/>
      <c r="R273" s="4"/>
      <c r="S273" s="4"/>
      <c r="T273" s="4"/>
      <c r="U273" s="4"/>
      <c r="V273" s="4"/>
      <c r="W273" s="4"/>
      <c r="X273" s="4"/>
      <c r="Y273" s="4"/>
    </row>
    <row r="274" spans="1:25" x14ac:dyDescent="0.2">
      <c r="A274" s="41"/>
      <c r="B274" s="5"/>
      <c r="C274" s="4"/>
      <c r="D274" s="4"/>
      <c r="E274" s="4"/>
      <c r="F274" s="4"/>
      <c r="G274" s="4"/>
      <c r="H274" s="4"/>
      <c r="I274" s="4"/>
      <c r="J274" s="4"/>
      <c r="K274" s="4"/>
      <c r="L274" s="4"/>
      <c r="M274" s="4"/>
      <c r="N274" s="4"/>
      <c r="O274" s="4"/>
      <c r="P274" s="4"/>
      <c r="Q274" s="4"/>
      <c r="R274" s="4"/>
      <c r="S274" s="4"/>
      <c r="T274" s="4"/>
      <c r="U274" s="4"/>
      <c r="V274" s="4"/>
      <c r="W274" s="4"/>
      <c r="X274" s="4"/>
      <c r="Y274" s="4"/>
    </row>
    <row r="275" spans="1:25" x14ac:dyDescent="0.2">
      <c r="A275" s="41"/>
      <c r="B275" s="5"/>
      <c r="C275" s="4"/>
      <c r="D275" s="4"/>
      <c r="E275" s="4"/>
      <c r="F275" s="4"/>
      <c r="G275" s="4"/>
      <c r="H275" s="4"/>
      <c r="I275" s="4"/>
      <c r="J275" s="4"/>
      <c r="K275" s="4"/>
      <c r="L275" s="4"/>
      <c r="M275" s="4"/>
      <c r="N275" s="4"/>
      <c r="O275" s="4"/>
      <c r="P275" s="4"/>
      <c r="Q275" s="4"/>
      <c r="R275" s="4"/>
      <c r="S275" s="4"/>
      <c r="T275" s="4"/>
      <c r="U275" s="4"/>
      <c r="V275" s="4"/>
      <c r="W275" s="4"/>
      <c r="X275" s="4"/>
      <c r="Y275" s="4"/>
    </row>
    <row r="276" spans="1:25" x14ac:dyDescent="0.2">
      <c r="A276" s="41"/>
      <c r="B276" s="5"/>
      <c r="C276" s="4"/>
      <c r="D276" s="4"/>
      <c r="E276" s="4"/>
      <c r="F276" s="4"/>
      <c r="G276" s="4"/>
      <c r="H276" s="4"/>
      <c r="I276" s="4"/>
      <c r="J276" s="4"/>
      <c r="K276" s="4"/>
      <c r="L276" s="4"/>
      <c r="M276" s="4"/>
      <c r="N276" s="4"/>
      <c r="O276" s="4"/>
      <c r="P276" s="4"/>
      <c r="Q276" s="4"/>
      <c r="R276" s="4"/>
      <c r="S276" s="4"/>
      <c r="T276" s="4"/>
      <c r="U276" s="4"/>
      <c r="V276" s="4"/>
      <c r="W276" s="4"/>
      <c r="X276" s="4"/>
      <c r="Y276" s="4"/>
    </row>
    <row r="277" spans="1:25" x14ac:dyDescent="0.2">
      <c r="A277" s="41"/>
      <c r="B277" s="5"/>
      <c r="C277" s="4"/>
      <c r="D277" s="4"/>
      <c r="E277" s="4"/>
      <c r="F277" s="4"/>
      <c r="G277" s="4"/>
      <c r="H277" s="4"/>
      <c r="I277" s="4"/>
      <c r="J277" s="4"/>
      <c r="K277" s="4"/>
      <c r="L277" s="4"/>
      <c r="M277" s="4"/>
      <c r="N277" s="4"/>
      <c r="O277" s="4"/>
      <c r="P277" s="4"/>
      <c r="Q277" s="4"/>
      <c r="R277" s="4"/>
      <c r="S277" s="4"/>
      <c r="T277" s="4"/>
      <c r="U277" s="4"/>
      <c r="V277" s="4"/>
      <c r="W277" s="4"/>
      <c r="X277" s="4"/>
      <c r="Y277" s="4"/>
    </row>
    <row r="278" spans="1:25" x14ac:dyDescent="0.2">
      <c r="A278" s="41"/>
      <c r="B278" s="5"/>
      <c r="C278" s="4"/>
      <c r="D278" s="4"/>
      <c r="E278" s="4"/>
      <c r="F278" s="4"/>
      <c r="G278" s="4"/>
      <c r="H278" s="4"/>
      <c r="I278" s="4"/>
      <c r="J278" s="4"/>
      <c r="K278" s="4"/>
      <c r="L278" s="4"/>
      <c r="M278" s="4"/>
      <c r="N278" s="4"/>
      <c r="O278" s="4"/>
      <c r="P278" s="4"/>
      <c r="Q278" s="4"/>
      <c r="R278" s="4"/>
      <c r="S278" s="4"/>
      <c r="T278" s="4"/>
      <c r="U278" s="4"/>
      <c r="V278" s="4"/>
      <c r="W278" s="4"/>
      <c r="X278" s="4"/>
      <c r="Y278" s="4"/>
    </row>
    <row r="279" spans="1:25" x14ac:dyDescent="0.2">
      <c r="A279" s="41"/>
      <c r="B279" s="5"/>
      <c r="C279" s="4"/>
      <c r="D279" s="4"/>
      <c r="E279" s="4"/>
      <c r="F279" s="4"/>
      <c r="G279" s="4"/>
      <c r="H279" s="4"/>
      <c r="I279" s="4"/>
      <c r="J279" s="4"/>
      <c r="K279" s="4"/>
      <c r="L279" s="4"/>
      <c r="M279" s="4"/>
      <c r="N279" s="4"/>
      <c r="O279" s="4"/>
      <c r="P279" s="4"/>
      <c r="Q279" s="4"/>
      <c r="R279" s="4"/>
      <c r="S279" s="4"/>
      <c r="T279" s="4"/>
      <c r="U279" s="4"/>
      <c r="V279" s="4"/>
      <c r="W279" s="4"/>
      <c r="X279" s="4"/>
      <c r="Y279" s="4"/>
    </row>
    <row r="280" spans="1:25" x14ac:dyDescent="0.2">
      <c r="A280" s="41"/>
      <c r="B280" s="5"/>
      <c r="C280" s="4"/>
      <c r="D280" s="4"/>
      <c r="E280" s="4"/>
      <c r="F280" s="4"/>
      <c r="G280" s="4"/>
      <c r="H280" s="4"/>
      <c r="I280" s="4"/>
      <c r="J280" s="4"/>
      <c r="K280" s="4"/>
      <c r="L280" s="4"/>
      <c r="M280" s="4"/>
      <c r="N280" s="4"/>
      <c r="O280" s="4"/>
      <c r="P280" s="4"/>
      <c r="Q280" s="4"/>
      <c r="R280" s="4"/>
      <c r="S280" s="4"/>
      <c r="T280" s="4"/>
      <c r="U280" s="4"/>
      <c r="V280" s="4"/>
      <c r="W280" s="4"/>
      <c r="X280" s="4"/>
      <c r="Y280" s="4"/>
    </row>
    <row r="281" spans="1:25" x14ac:dyDescent="0.2">
      <c r="A281" s="41"/>
      <c r="B281" s="5"/>
      <c r="C281" s="4"/>
      <c r="D281" s="4"/>
      <c r="E281" s="4"/>
      <c r="F281" s="4"/>
      <c r="G281" s="4"/>
      <c r="H281" s="4"/>
      <c r="I281" s="4"/>
      <c r="J281" s="4"/>
      <c r="K281" s="4"/>
      <c r="L281" s="4"/>
      <c r="M281" s="4"/>
      <c r="N281" s="4"/>
      <c r="O281" s="4"/>
      <c r="P281" s="4"/>
      <c r="Q281" s="4"/>
      <c r="R281" s="4"/>
      <c r="S281" s="4"/>
      <c r="T281" s="4"/>
      <c r="U281" s="4"/>
      <c r="V281" s="4"/>
      <c r="W281" s="4"/>
      <c r="X281" s="4"/>
      <c r="Y281" s="4"/>
    </row>
    <row r="282" spans="1:25" x14ac:dyDescent="0.2">
      <c r="A282" s="41"/>
      <c r="B282" s="5"/>
      <c r="C282" s="4"/>
      <c r="D282" s="4"/>
      <c r="E282" s="4"/>
      <c r="F282" s="4"/>
      <c r="G282" s="4"/>
      <c r="H282" s="4"/>
      <c r="I282" s="4"/>
      <c r="J282" s="4"/>
      <c r="K282" s="4"/>
      <c r="L282" s="4"/>
      <c r="M282" s="4"/>
      <c r="N282" s="4"/>
      <c r="O282" s="4"/>
      <c r="P282" s="4"/>
      <c r="Q282" s="4"/>
      <c r="R282" s="4"/>
      <c r="S282" s="4"/>
      <c r="T282" s="4"/>
      <c r="U282" s="4"/>
      <c r="V282" s="4"/>
      <c r="W282" s="4"/>
      <c r="X282" s="4"/>
      <c r="Y282" s="4"/>
    </row>
    <row r="283" spans="1:25" x14ac:dyDescent="0.2">
      <c r="A283" s="41"/>
      <c r="B283" s="5"/>
      <c r="C283" s="4"/>
      <c r="D283" s="4"/>
      <c r="E283" s="4"/>
      <c r="F283" s="4"/>
      <c r="G283" s="4"/>
      <c r="H283" s="4"/>
      <c r="I283" s="4"/>
      <c r="J283" s="4"/>
      <c r="K283" s="4"/>
      <c r="L283" s="4"/>
      <c r="M283" s="4"/>
      <c r="N283" s="4"/>
      <c r="O283" s="4"/>
      <c r="P283" s="4"/>
      <c r="Q283" s="4"/>
      <c r="R283" s="4"/>
      <c r="S283" s="4"/>
      <c r="T283" s="4"/>
      <c r="U283" s="4"/>
      <c r="V283" s="4"/>
      <c r="W283" s="4"/>
      <c r="X283" s="4"/>
      <c r="Y283" s="4"/>
    </row>
    <row r="284" spans="1:25" x14ac:dyDescent="0.2">
      <c r="A284" s="41"/>
      <c r="B284" s="5"/>
      <c r="C284" s="4"/>
      <c r="D284" s="4"/>
      <c r="E284" s="4"/>
      <c r="F284" s="4"/>
      <c r="G284" s="4"/>
      <c r="H284" s="4"/>
      <c r="I284" s="4"/>
      <c r="J284" s="4"/>
      <c r="K284" s="4"/>
      <c r="L284" s="4"/>
      <c r="M284" s="4"/>
      <c r="N284" s="4"/>
      <c r="O284" s="4"/>
      <c r="P284" s="4"/>
      <c r="Q284" s="4"/>
      <c r="R284" s="4"/>
      <c r="S284" s="4"/>
      <c r="T284" s="4"/>
      <c r="U284" s="4"/>
      <c r="V284" s="4"/>
      <c r="W284" s="4"/>
      <c r="X284" s="4"/>
      <c r="Y284" s="4"/>
    </row>
    <row r="285" spans="1:25" x14ac:dyDescent="0.2">
      <c r="A285" s="41"/>
      <c r="B285" s="5"/>
      <c r="C285" s="4"/>
      <c r="D285" s="4"/>
      <c r="E285" s="4"/>
      <c r="F285" s="4"/>
      <c r="G285" s="4"/>
      <c r="H285" s="4"/>
      <c r="I285" s="4"/>
      <c r="J285" s="4"/>
      <c r="K285" s="4"/>
      <c r="L285" s="4"/>
      <c r="M285" s="4"/>
      <c r="N285" s="4"/>
      <c r="O285" s="4"/>
      <c r="P285" s="4"/>
      <c r="Q285" s="4"/>
      <c r="R285" s="4"/>
      <c r="S285" s="4"/>
      <c r="T285" s="4"/>
      <c r="U285" s="4"/>
      <c r="V285" s="4"/>
      <c r="W285" s="4"/>
      <c r="X285" s="4"/>
      <c r="Y285" s="4"/>
    </row>
    <row r="286" spans="1:25" x14ac:dyDescent="0.2">
      <c r="A286" s="41"/>
      <c r="B286" s="5"/>
      <c r="C286" s="4"/>
      <c r="D286" s="4"/>
      <c r="E286" s="4"/>
      <c r="F286" s="4"/>
      <c r="G286" s="4"/>
      <c r="H286" s="4"/>
      <c r="I286" s="4"/>
      <c r="J286" s="4"/>
      <c r="K286" s="4"/>
      <c r="L286" s="4"/>
      <c r="M286" s="4"/>
      <c r="N286" s="4"/>
      <c r="O286" s="4"/>
      <c r="P286" s="4"/>
      <c r="Q286" s="4"/>
      <c r="R286" s="4"/>
      <c r="S286" s="4"/>
      <c r="T286" s="4"/>
      <c r="U286" s="4"/>
      <c r="V286" s="4"/>
      <c r="W286" s="4"/>
      <c r="X286" s="4"/>
      <c r="Y286" s="4"/>
    </row>
    <row r="287" spans="1:25" x14ac:dyDescent="0.2">
      <c r="A287" s="41"/>
      <c r="B287" s="5"/>
      <c r="C287" s="4"/>
      <c r="D287" s="4"/>
      <c r="E287" s="4"/>
      <c r="F287" s="4"/>
      <c r="G287" s="4"/>
      <c r="H287" s="4"/>
      <c r="I287" s="4"/>
      <c r="J287" s="4"/>
      <c r="K287" s="4"/>
      <c r="L287" s="4"/>
      <c r="M287" s="4"/>
      <c r="N287" s="4"/>
      <c r="O287" s="4"/>
      <c r="P287" s="4"/>
      <c r="Q287" s="4"/>
      <c r="R287" s="4"/>
      <c r="S287" s="4"/>
      <c r="T287" s="4"/>
      <c r="U287" s="4"/>
      <c r="V287" s="4"/>
      <c r="W287" s="4"/>
      <c r="X287" s="4"/>
      <c r="Y287" s="4"/>
    </row>
    <row r="288" spans="1:25" x14ac:dyDescent="0.2">
      <c r="A288" s="41"/>
      <c r="B288" s="5"/>
      <c r="C288" s="4"/>
      <c r="D288" s="4"/>
      <c r="E288" s="4"/>
      <c r="F288" s="4"/>
      <c r="G288" s="4"/>
      <c r="H288" s="4"/>
      <c r="I288" s="4"/>
      <c r="J288" s="4"/>
      <c r="K288" s="4"/>
      <c r="L288" s="4"/>
      <c r="M288" s="4"/>
      <c r="N288" s="4"/>
      <c r="O288" s="4"/>
      <c r="P288" s="4"/>
      <c r="Q288" s="4"/>
      <c r="R288" s="4"/>
      <c r="S288" s="4"/>
      <c r="T288" s="4"/>
      <c r="U288" s="4"/>
      <c r="V288" s="4"/>
      <c r="W288" s="4"/>
      <c r="X288" s="4"/>
      <c r="Y288" s="4"/>
    </row>
    <row r="289" spans="1:25" x14ac:dyDescent="0.2">
      <c r="A289" s="41"/>
      <c r="B289" s="5"/>
      <c r="C289" s="4"/>
      <c r="D289" s="4"/>
      <c r="E289" s="4"/>
      <c r="F289" s="4"/>
      <c r="G289" s="4"/>
      <c r="H289" s="4"/>
      <c r="I289" s="4"/>
      <c r="J289" s="4"/>
      <c r="K289" s="4"/>
      <c r="L289" s="4"/>
      <c r="M289" s="4"/>
      <c r="N289" s="4"/>
      <c r="O289" s="4"/>
      <c r="P289" s="4"/>
      <c r="Q289" s="4"/>
      <c r="R289" s="4"/>
      <c r="S289" s="4"/>
      <c r="T289" s="4"/>
      <c r="U289" s="4"/>
      <c r="V289" s="4"/>
      <c r="W289" s="4"/>
      <c r="X289" s="4"/>
      <c r="Y289" s="4"/>
    </row>
    <row r="290" spans="1:25" x14ac:dyDescent="0.2">
      <c r="A290" s="41"/>
      <c r="B290" s="5"/>
      <c r="C290" s="4"/>
      <c r="D290" s="4"/>
      <c r="E290" s="4"/>
      <c r="F290" s="4"/>
      <c r="G290" s="4"/>
      <c r="H290" s="4"/>
      <c r="I290" s="4"/>
      <c r="J290" s="4"/>
      <c r="K290" s="4"/>
      <c r="L290" s="4"/>
      <c r="M290" s="4"/>
      <c r="N290" s="4"/>
      <c r="O290" s="4"/>
      <c r="P290" s="4"/>
      <c r="Q290" s="4"/>
      <c r="R290" s="4"/>
      <c r="S290" s="4"/>
      <c r="T290" s="4"/>
      <c r="U290" s="4"/>
      <c r="V290" s="4"/>
      <c r="W290" s="4"/>
      <c r="X290" s="4"/>
      <c r="Y290" s="4"/>
    </row>
    <row r="291" spans="1:25" x14ac:dyDescent="0.2">
      <c r="A291" s="41"/>
      <c r="B291" s="5"/>
      <c r="C291" s="4"/>
      <c r="D291" s="4"/>
      <c r="E291" s="4"/>
      <c r="F291" s="4"/>
      <c r="G291" s="4"/>
      <c r="H291" s="4"/>
      <c r="I291" s="4"/>
      <c r="J291" s="4"/>
      <c r="K291" s="4"/>
      <c r="L291" s="4"/>
      <c r="M291" s="4"/>
      <c r="N291" s="4"/>
      <c r="O291" s="4"/>
      <c r="P291" s="4"/>
      <c r="Q291" s="4"/>
      <c r="R291" s="4"/>
      <c r="S291" s="4"/>
      <c r="T291" s="4"/>
      <c r="U291" s="4"/>
      <c r="V291" s="4"/>
      <c r="W291" s="4"/>
      <c r="X291" s="4"/>
      <c r="Y291" s="4"/>
    </row>
    <row r="292" spans="1:25" x14ac:dyDescent="0.2">
      <c r="A292" s="41"/>
      <c r="B292" s="5"/>
      <c r="C292" s="4"/>
      <c r="D292" s="4"/>
      <c r="E292" s="4"/>
      <c r="F292" s="4"/>
      <c r="G292" s="4"/>
      <c r="H292" s="4"/>
      <c r="I292" s="4"/>
      <c r="J292" s="4"/>
      <c r="K292" s="4"/>
      <c r="L292" s="4"/>
      <c r="M292" s="4"/>
      <c r="N292" s="4"/>
      <c r="O292" s="4"/>
      <c r="P292" s="4"/>
      <c r="Q292" s="4"/>
      <c r="R292" s="4"/>
      <c r="S292" s="4"/>
      <c r="T292" s="4"/>
      <c r="U292" s="4"/>
      <c r="V292" s="4"/>
      <c r="W292" s="4"/>
      <c r="X292" s="4"/>
      <c r="Y292" s="4"/>
    </row>
    <row r="293" spans="1:25" x14ac:dyDescent="0.2">
      <c r="A293" s="41"/>
      <c r="B293" s="5"/>
      <c r="C293" s="4"/>
      <c r="D293" s="4"/>
      <c r="E293" s="4"/>
      <c r="F293" s="4"/>
      <c r="G293" s="4"/>
      <c r="H293" s="4"/>
      <c r="I293" s="4"/>
      <c r="J293" s="4"/>
      <c r="K293" s="4"/>
      <c r="L293" s="4"/>
      <c r="M293" s="4"/>
      <c r="N293" s="4"/>
      <c r="O293" s="4"/>
      <c r="P293" s="4"/>
      <c r="Q293" s="4"/>
      <c r="R293" s="4"/>
      <c r="S293" s="4"/>
      <c r="T293" s="4"/>
      <c r="U293" s="4"/>
      <c r="V293" s="4"/>
      <c r="W293" s="4"/>
      <c r="X293" s="4"/>
      <c r="Y293" s="4"/>
    </row>
    <row r="294" spans="1:25" x14ac:dyDescent="0.2">
      <c r="A294" s="41"/>
      <c r="B294" s="5"/>
      <c r="C294" s="4"/>
      <c r="D294" s="4"/>
      <c r="E294" s="4"/>
      <c r="F294" s="4"/>
      <c r="G294" s="4"/>
      <c r="H294" s="4"/>
      <c r="I294" s="4"/>
      <c r="J294" s="4"/>
      <c r="K294" s="4"/>
      <c r="L294" s="4"/>
      <c r="M294" s="4"/>
      <c r="N294" s="4"/>
      <c r="O294" s="4"/>
      <c r="P294" s="4"/>
      <c r="Q294" s="4"/>
      <c r="R294" s="4"/>
      <c r="S294" s="4"/>
      <c r="T294" s="4"/>
      <c r="U294" s="4"/>
      <c r="V294" s="4"/>
      <c r="W294" s="4"/>
      <c r="X294" s="4"/>
      <c r="Y294" s="4"/>
    </row>
    <row r="295" spans="1:25" x14ac:dyDescent="0.2">
      <c r="A295" s="41"/>
      <c r="B295" s="5"/>
      <c r="C295" s="4"/>
      <c r="D295" s="4"/>
      <c r="E295" s="4"/>
      <c r="F295" s="4"/>
      <c r="G295" s="4"/>
      <c r="H295" s="4"/>
      <c r="I295" s="4"/>
      <c r="J295" s="4"/>
      <c r="K295" s="4"/>
      <c r="L295" s="4"/>
      <c r="M295" s="4"/>
      <c r="N295" s="4"/>
      <c r="O295" s="4"/>
      <c r="P295" s="4"/>
      <c r="Q295" s="4"/>
      <c r="R295" s="4"/>
      <c r="S295" s="4"/>
      <c r="T295" s="4"/>
      <c r="U295" s="4"/>
      <c r="V295" s="4"/>
      <c r="W295" s="4"/>
      <c r="X295" s="4"/>
      <c r="Y295" s="4"/>
    </row>
    <row r="296" spans="1:25" x14ac:dyDescent="0.2">
      <c r="A296" s="41"/>
      <c r="B296" s="5"/>
      <c r="C296" s="4"/>
      <c r="D296" s="4"/>
      <c r="E296" s="4"/>
      <c r="F296" s="4"/>
      <c r="G296" s="4"/>
      <c r="H296" s="4"/>
      <c r="I296" s="4"/>
      <c r="J296" s="4"/>
      <c r="K296" s="4"/>
      <c r="L296" s="4"/>
      <c r="M296" s="4"/>
      <c r="N296" s="4"/>
      <c r="O296" s="4"/>
      <c r="P296" s="4"/>
      <c r="Q296" s="4"/>
      <c r="R296" s="4"/>
      <c r="S296" s="4"/>
      <c r="T296" s="4"/>
      <c r="U296" s="4"/>
      <c r="V296" s="4"/>
      <c r="W296" s="4"/>
      <c r="X296" s="4"/>
      <c r="Y296" s="4"/>
    </row>
    <row r="297" spans="1:25" x14ac:dyDescent="0.2">
      <c r="A297" s="41"/>
      <c r="B297" s="5"/>
      <c r="C297" s="4"/>
      <c r="D297" s="4"/>
      <c r="E297" s="4"/>
      <c r="F297" s="4"/>
      <c r="G297" s="4"/>
      <c r="H297" s="4"/>
      <c r="I297" s="4"/>
      <c r="J297" s="4"/>
      <c r="K297" s="4"/>
      <c r="L297" s="4"/>
      <c r="M297" s="4"/>
      <c r="N297" s="4"/>
      <c r="O297" s="4"/>
      <c r="P297" s="4"/>
      <c r="Q297" s="4"/>
      <c r="R297" s="4"/>
      <c r="S297" s="4"/>
      <c r="T297" s="4"/>
      <c r="U297" s="4"/>
      <c r="V297" s="4"/>
      <c r="W297" s="4"/>
      <c r="X297" s="4"/>
      <c r="Y297" s="4"/>
    </row>
    <row r="298" spans="1:25" x14ac:dyDescent="0.2">
      <c r="A298" s="41"/>
      <c r="B298" s="5"/>
      <c r="C298" s="4"/>
      <c r="D298" s="4"/>
      <c r="E298" s="4"/>
      <c r="F298" s="4"/>
      <c r="G298" s="4"/>
      <c r="H298" s="4"/>
      <c r="I298" s="4"/>
      <c r="J298" s="4"/>
      <c r="K298" s="4"/>
      <c r="L298" s="4"/>
      <c r="M298" s="4"/>
      <c r="N298" s="4"/>
      <c r="O298" s="4"/>
      <c r="P298" s="4"/>
      <c r="Q298" s="4"/>
      <c r="R298" s="4"/>
      <c r="S298" s="4"/>
      <c r="T298" s="4"/>
      <c r="U298" s="4"/>
      <c r="V298" s="4"/>
      <c r="W298" s="4"/>
      <c r="X298" s="4"/>
      <c r="Y298" s="4"/>
    </row>
    <row r="299" spans="1:25" x14ac:dyDescent="0.2">
      <c r="A299" s="41"/>
      <c r="B299" s="5"/>
      <c r="C299" s="4"/>
      <c r="D299" s="4"/>
      <c r="E299" s="4"/>
      <c r="F299" s="4"/>
      <c r="G299" s="4"/>
      <c r="H299" s="4"/>
      <c r="I299" s="4"/>
      <c r="J299" s="4"/>
      <c r="K299" s="4"/>
      <c r="L299" s="4"/>
      <c r="M299" s="4"/>
      <c r="N299" s="4"/>
      <c r="O299" s="4"/>
      <c r="P299" s="4"/>
      <c r="Q299" s="4"/>
      <c r="R299" s="4"/>
      <c r="S299" s="4"/>
      <c r="T299" s="4"/>
      <c r="U299" s="4"/>
      <c r="V299" s="4"/>
      <c r="W299" s="4"/>
      <c r="X299" s="4"/>
      <c r="Y299" s="4"/>
    </row>
    <row r="300" spans="1:25" x14ac:dyDescent="0.2">
      <c r="A300" s="41"/>
      <c r="B300" s="5"/>
      <c r="C300" s="4"/>
      <c r="D300" s="4"/>
      <c r="E300" s="4"/>
      <c r="F300" s="4"/>
      <c r="G300" s="4"/>
      <c r="H300" s="4"/>
      <c r="I300" s="4"/>
      <c r="J300" s="4"/>
      <c r="K300" s="4"/>
      <c r="L300" s="4"/>
      <c r="M300" s="4"/>
      <c r="N300" s="4"/>
      <c r="O300" s="4"/>
      <c r="P300" s="4"/>
      <c r="Q300" s="4"/>
      <c r="R300" s="4"/>
      <c r="S300" s="4"/>
      <c r="T300" s="4"/>
      <c r="U300" s="4"/>
      <c r="V300" s="4"/>
      <c r="W300" s="4"/>
      <c r="X300" s="4"/>
      <c r="Y300" s="4"/>
    </row>
    <row r="301" spans="1:25" x14ac:dyDescent="0.2">
      <c r="A301" s="41"/>
      <c r="B301" s="5"/>
      <c r="C301" s="4"/>
      <c r="D301" s="4"/>
      <c r="E301" s="4"/>
      <c r="F301" s="4"/>
      <c r="G301" s="4"/>
      <c r="H301" s="4"/>
      <c r="I301" s="4"/>
      <c r="J301" s="4"/>
      <c r="K301" s="4"/>
      <c r="L301" s="4"/>
      <c r="M301" s="4"/>
      <c r="N301" s="4"/>
      <c r="O301" s="4"/>
      <c r="P301" s="4"/>
      <c r="Q301" s="4"/>
      <c r="R301" s="4"/>
      <c r="S301" s="4"/>
      <c r="T301" s="4"/>
      <c r="U301" s="4"/>
      <c r="V301" s="4"/>
      <c r="W301" s="4"/>
      <c r="X301" s="4"/>
      <c r="Y301" s="4"/>
    </row>
    <row r="302" spans="1:25" x14ac:dyDescent="0.2">
      <c r="A302" s="41"/>
      <c r="B302" s="5"/>
      <c r="C302" s="4"/>
      <c r="D302" s="4"/>
      <c r="E302" s="4"/>
      <c r="F302" s="4"/>
      <c r="G302" s="4"/>
      <c r="H302" s="4"/>
      <c r="I302" s="4"/>
      <c r="J302" s="4"/>
      <c r="K302" s="4"/>
      <c r="L302" s="4"/>
      <c r="M302" s="4"/>
      <c r="N302" s="4"/>
      <c r="O302" s="4"/>
      <c r="P302" s="4"/>
      <c r="Q302" s="4"/>
      <c r="R302" s="4"/>
      <c r="S302" s="4"/>
      <c r="T302" s="4"/>
      <c r="U302" s="4"/>
      <c r="V302" s="4"/>
      <c r="W302" s="4"/>
      <c r="X302" s="4"/>
      <c r="Y302" s="4"/>
    </row>
    <row r="303" spans="1:25" x14ac:dyDescent="0.2">
      <c r="A303" s="41"/>
      <c r="B303" s="5"/>
      <c r="C303" s="4"/>
      <c r="D303" s="4"/>
      <c r="E303" s="4"/>
      <c r="F303" s="4"/>
      <c r="G303" s="4"/>
      <c r="H303" s="4"/>
      <c r="I303" s="4"/>
      <c r="J303" s="4"/>
      <c r="K303" s="4"/>
      <c r="L303" s="4"/>
      <c r="M303" s="4"/>
      <c r="N303" s="4"/>
      <c r="O303" s="4"/>
      <c r="P303" s="4"/>
      <c r="Q303" s="4"/>
      <c r="R303" s="4"/>
      <c r="S303" s="4"/>
      <c r="T303" s="4"/>
      <c r="U303" s="4"/>
      <c r="V303" s="4"/>
      <c r="W303" s="4"/>
      <c r="X303" s="4"/>
      <c r="Y303" s="4"/>
    </row>
    <row r="304" spans="1:25" x14ac:dyDescent="0.2">
      <c r="A304" s="41"/>
      <c r="B304" s="5"/>
      <c r="C304" s="4"/>
      <c r="D304" s="4"/>
      <c r="E304" s="4"/>
      <c r="F304" s="4"/>
      <c r="G304" s="4"/>
      <c r="H304" s="4"/>
      <c r="I304" s="4"/>
      <c r="J304" s="4"/>
      <c r="K304" s="4"/>
      <c r="L304" s="4"/>
      <c r="M304" s="4"/>
      <c r="N304" s="4"/>
      <c r="O304" s="4"/>
      <c r="P304" s="4"/>
      <c r="Q304" s="4"/>
      <c r="R304" s="4"/>
      <c r="S304" s="4"/>
      <c r="T304" s="4"/>
      <c r="U304" s="4"/>
      <c r="V304" s="4"/>
      <c r="W304" s="4"/>
      <c r="X304" s="4"/>
      <c r="Y304" s="4"/>
    </row>
    <row r="305" spans="1:25" x14ac:dyDescent="0.2">
      <c r="A305" s="41"/>
      <c r="B305" s="5"/>
      <c r="C305" s="4"/>
      <c r="D305" s="4"/>
      <c r="E305" s="4"/>
      <c r="F305" s="4"/>
      <c r="G305" s="4"/>
      <c r="H305" s="4"/>
      <c r="I305" s="4"/>
      <c r="J305" s="4"/>
      <c r="K305" s="4"/>
      <c r="L305" s="4"/>
      <c r="M305" s="4"/>
      <c r="N305" s="4"/>
      <c r="O305" s="4"/>
      <c r="P305" s="4"/>
      <c r="Q305" s="4"/>
      <c r="R305" s="4"/>
      <c r="S305" s="4"/>
      <c r="T305" s="4"/>
      <c r="U305" s="4"/>
      <c r="V305" s="4"/>
      <c r="W305" s="4"/>
      <c r="X305" s="4"/>
      <c r="Y305" s="4"/>
    </row>
    <row r="306" spans="1:25" x14ac:dyDescent="0.2">
      <c r="A306" s="41"/>
      <c r="B306" s="5"/>
      <c r="C306" s="4"/>
      <c r="D306" s="4"/>
      <c r="E306" s="4"/>
      <c r="F306" s="4"/>
      <c r="G306" s="4"/>
      <c r="H306" s="4"/>
      <c r="I306" s="4"/>
      <c r="J306" s="4"/>
      <c r="K306" s="4"/>
      <c r="L306" s="4"/>
      <c r="M306" s="4"/>
      <c r="N306" s="4"/>
      <c r="O306" s="4"/>
      <c r="P306" s="4"/>
      <c r="Q306" s="4"/>
      <c r="R306" s="4"/>
      <c r="S306" s="4"/>
      <c r="T306" s="4"/>
      <c r="U306" s="4"/>
      <c r="V306" s="4"/>
      <c r="W306" s="4"/>
      <c r="X306" s="4"/>
      <c r="Y306" s="4"/>
    </row>
    <row r="307" spans="1:25" x14ac:dyDescent="0.2">
      <c r="A307" s="41"/>
      <c r="B307" s="5"/>
      <c r="C307" s="4"/>
      <c r="D307" s="4"/>
      <c r="E307" s="4"/>
      <c r="F307" s="4"/>
      <c r="G307" s="4"/>
      <c r="H307" s="4"/>
      <c r="I307" s="4"/>
      <c r="J307" s="4"/>
      <c r="K307" s="4"/>
      <c r="L307" s="4"/>
      <c r="M307" s="4"/>
      <c r="N307" s="4"/>
      <c r="O307" s="4"/>
      <c r="P307" s="4"/>
      <c r="Q307" s="4"/>
      <c r="R307" s="4"/>
      <c r="S307" s="4"/>
      <c r="T307" s="4"/>
      <c r="U307" s="4"/>
      <c r="V307" s="4"/>
      <c r="W307" s="4"/>
      <c r="X307" s="4"/>
      <c r="Y307" s="4"/>
    </row>
    <row r="308" spans="1:25" x14ac:dyDescent="0.2">
      <c r="A308" s="41"/>
      <c r="B308" s="5"/>
      <c r="C308" s="4"/>
      <c r="D308" s="4"/>
      <c r="E308" s="4"/>
      <c r="F308" s="4"/>
      <c r="G308" s="4"/>
      <c r="H308" s="4"/>
      <c r="I308" s="4"/>
      <c r="J308" s="4"/>
      <c r="K308" s="4"/>
      <c r="L308" s="4"/>
      <c r="M308" s="4"/>
      <c r="N308" s="4"/>
      <c r="O308" s="4"/>
      <c r="P308" s="4"/>
      <c r="Q308" s="4"/>
      <c r="R308" s="4"/>
      <c r="S308" s="4"/>
      <c r="T308" s="4"/>
      <c r="U308" s="4"/>
      <c r="V308" s="4"/>
      <c r="W308" s="4"/>
      <c r="X308" s="4"/>
      <c r="Y308" s="4"/>
    </row>
    <row r="309" spans="1:25" x14ac:dyDescent="0.2">
      <c r="A309" s="41"/>
      <c r="B309" s="5"/>
      <c r="C309" s="4"/>
      <c r="D309" s="4"/>
      <c r="E309" s="4"/>
      <c r="F309" s="4"/>
      <c r="G309" s="4"/>
      <c r="H309" s="4"/>
      <c r="I309" s="4"/>
      <c r="J309" s="4"/>
      <c r="K309" s="4"/>
      <c r="L309" s="4"/>
      <c r="M309" s="4"/>
      <c r="N309" s="4"/>
      <c r="O309" s="4"/>
      <c r="P309" s="4"/>
      <c r="Q309" s="4"/>
      <c r="R309" s="4"/>
      <c r="S309" s="4"/>
      <c r="T309" s="4"/>
      <c r="U309" s="4"/>
      <c r="V309" s="4"/>
      <c r="W309" s="4"/>
      <c r="X309" s="4"/>
      <c r="Y309" s="4"/>
    </row>
    <row r="310" spans="1:25" x14ac:dyDescent="0.2">
      <c r="A310" s="41"/>
      <c r="B310" s="5"/>
      <c r="C310" s="4"/>
      <c r="D310" s="4"/>
      <c r="E310" s="4"/>
      <c r="F310" s="4"/>
      <c r="G310" s="4"/>
      <c r="H310" s="4"/>
      <c r="I310" s="4"/>
      <c r="J310" s="4"/>
      <c r="K310" s="4"/>
      <c r="L310" s="4"/>
      <c r="M310" s="4"/>
      <c r="N310" s="4"/>
      <c r="O310" s="4"/>
      <c r="P310" s="4"/>
      <c r="Q310" s="4"/>
      <c r="R310" s="4"/>
      <c r="S310" s="4"/>
      <c r="T310" s="4"/>
      <c r="U310" s="4"/>
      <c r="V310" s="4"/>
      <c r="W310" s="4"/>
      <c r="X310" s="4"/>
      <c r="Y310" s="4"/>
    </row>
    <row r="311" spans="1:25" x14ac:dyDescent="0.2">
      <c r="A311" s="41"/>
      <c r="B311" s="5"/>
      <c r="C311" s="4"/>
      <c r="D311" s="4"/>
      <c r="E311" s="4"/>
      <c r="F311" s="4"/>
      <c r="G311" s="4"/>
      <c r="H311" s="4"/>
      <c r="I311" s="4"/>
      <c r="J311" s="4"/>
      <c r="K311" s="4"/>
      <c r="L311" s="4"/>
      <c r="M311" s="4"/>
      <c r="N311" s="4"/>
      <c r="O311" s="4"/>
      <c r="P311" s="4"/>
      <c r="Q311" s="4"/>
      <c r="R311" s="4"/>
      <c r="S311" s="4"/>
      <c r="T311" s="4"/>
      <c r="U311" s="4"/>
      <c r="V311" s="4"/>
      <c r="W311" s="4"/>
      <c r="X311" s="4"/>
      <c r="Y311" s="4"/>
    </row>
    <row r="312" spans="1:25" x14ac:dyDescent="0.2">
      <c r="A312" s="41"/>
      <c r="B312" s="5"/>
      <c r="C312" s="4"/>
      <c r="D312" s="4"/>
      <c r="E312" s="4"/>
      <c r="F312" s="4"/>
      <c r="G312" s="4"/>
      <c r="H312" s="4"/>
      <c r="I312" s="4"/>
      <c r="J312" s="4"/>
      <c r="K312" s="4"/>
      <c r="L312" s="4"/>
      <c r="M312" s="4"/>
      <c r="N312" s="4"/>
      <c r="O312" s="4"/>
      <c r="P312" s="4"/>
      <c r="Q312" s="4"/>
      <c r="R312" s="4"/>
      <c r="S312" s="4"/>
      <c r="T312" s="4"/>
      <c r="U312" s="4"/>
      <c r="V312" s="4"/>
      <c r="W312" s="4"/>
      <c r="X312" s="4"/>
      <c r="Y312" s="4"/>
    </row>
    <row r="313" spans="1:25" x14ac:dyDescent="0.2">
      <c r="A313" s="41"/>
      <c r="B313" s="5"/>
      <c r="C313" s="4"/>
      <c r="D313" s="4"/>
      <c r="E313" s="4"/>
      <c r="F313" s="4"/>
      <c r="G313" s="4"/>
      <c r="H313" s="4"/>
      <c r="I313" s="4"/>
      <c r="J313" s="4"/>
      <c r="K313" s="4"/>
      <c r="L313" s="4"/>
      <c r="M313" s="4"/>
      <c r="N313" s="4"/>
      <c r="O313" s="4"/>
      <c r="P313" s="4"/>
      <c r="Q313" s="4"/>
      <c r="R313" s="4"/>
      <c r="S313" s="4"/>
      <c r="T313" s="4"/>
      <c r="U313" s="4"/>
      <c r="V313" s="4"/>
      <c r="W313" s="4"/>
      <c r="X313" s="4"/>
      <c r="Y313" s="4"/>
    </row>
    <row r="314" spans="1:25" x14ac:dyDescent="0.2">
      <c r="A314" s="41"/>
      <c r="B314" s="5"/>
      <c r="C314" s="4"/>
      <c r="D314" s="4"/>
      <c r="E314" s="4"/>
      <c r="F314" s="4"/>
      <c r="G314" s="4"/>
      <c r="H314" s="4"/>
      <c r="I314" s="4"/>
      <c r="J314" s="4"/>
      <c r="K314" s="4"/>
      <c r="L314" s="4"/>
      <c r="M314" s="4"/>
      <c r="N314" s="4"/>
      <c r="O314" s="4"/>
      <c r="P314" s="4"/>
      <c r="Q314" s="4"/>
      <c r="R314" s="4"/>
      <c r="S314" s="4"/>
      <c r="T314" s="4"/>
      <c r="U314" s="4"/>
      <c r="V314" s="4"/>
      <c r="W314" s="4"/>
      <c r="X314" s="4"/>
      <c r="Y314" s="4"/>
    </row>
    <row r="315" spans="1:25" x14ac:dyDescent="0.2">
      <c r="A315" s="41"/>
      <c r="B315" s="5"/>
      <c r="C315" s="4"/>
      <c r="D315" s="4"/>
      <c r="E315" s="4"/>
      <c r="F315" s="4"/>
      <c r="G315" s="4"/>
      <c r="H315" s="4"/>
      <c r="I315" s="4"/>
      <c r="J315" s="4"/>
      <c r="K315" s="4"/>
      <c r="L315" s="4"/>
      <c r="M315" s="4"/>
      <c r="N315" s="4"/>
      <c r="O315" s="4"/>
      <c r="P315" s="4"/>
      <c r="Q315" s="4"/>
      <c r="R315" s="4"/>
      <c r="S315" s="4"/>
      <c r="T315" s="4"/>
      <c r="U315" s="4"/>
      <c r="V315" s="4"/>
      <c r="W315" s="4"/>
      <c r="X315" s="4"/>
      <c r="Y315" s="4"/>
    </row>
    <row r="316" spans="1:25" x14ac:dyDescent="0.2">
      <c r="A316" s="41"/>
      <c r="B316" s="5"/>
      <c r="C316" s="4"/>
      <c r="D316" s="4"/>
      <c r="E316" s="4"/>
      <c r="F316" s="4"/>
      <c r="G316" s="4"/>
      <c r="H316" s="4"/>
      <c r="I316" s="4"/>
      <c r="J316" s="4"/>
      <c r="K316" s="4"/>
      <c r="L316" s="4"/>
      <c r="M316" s="4"/>
      <c r="N316" s="4"/>
      <c r="O316" s="4"/>
      <c r="P316" s="4"/>
      <c r="Q316" s="4"/>
      <c r="R316" s="4"/>
      <c r="S316" s="4"/>
      <c r="T316" s="4"/>
      <c r="U316" s="4"/>
      <c r="V316" s="4"/>
      <c r="W316" s="4"/>
      <c r="X316" s="4"/>
      <c r="Y316" s="4"/>
    </row>
    <row r="317" spans="1:25" x14ac:dyDescent="0.2">
      <c r="A317" s="41"/>
      <c r="B317" s="5"/>
      <c r="C317" s="4"/>
      <c r="D317" s="4"/>
      <c r="E317" s="4"/>
      <c r="F317" s="4"/>
      <c r="G317" s="4"/>
      <c r="H317" s="4"/>
      <c r="I317" s="4"/>
      <c r="J317" s="4"/>
      <c r="K317" s="4"/>
      <c r="L317" s="4"/>
      <c r="M317" s="4"/>
      <c r="N317" s="4"/>
      <c r="O317" s="4"/>
      <c r="P317" s="4"/>
      <c r="Q317" s="4"/>
      <c r="R317" s="4"/>
      <c r="S317" s="4"/>
      <c r="T317" s="4"/>
      <c r="U317" s="4"/>
      <c r="V317" s="4"/>
      <c r="W317" s="4"/>
      <c r="X317" s="4"/>
      <c r="Y317" s="4"/>
    </row>
    <row r="318" spans="1:25" x14ac:dyDescent="0.2">
      <c r="A318" s="41"/>
      <c r="B318" s="5"/>
      <c r="C318" s="4"/>
      <c r="D318" s="4"/>
      <c r="E318" s="4"/>
      <c r="F318" s="4"/>
      <c r="G318" s="4"/>
      <c r="H318" s="4"/>
      <c r="I318" s="4"/>
      <c r="J318" s="4"/>
      <c r="K318" s="4"/>
      <c r="L318" s="4"/>
      <c r="M318" s="4"/>
      <c r="N318" s="4"/>
      <c r="O318" s="4"/>
      <c r="P318" s="4"/>
      <c r="Q318" s="4"/>
      <c r="R318" s="4"/>
      <c r="S318" s="4"/>
      <c r="T318" s="4"/>
      <c r="U318" s="4"/>
      <c r="V318" s="4"/>
      <c r="W318" s="4"/>
      <c r="X318" s="4"/>
      <c r="Y318" s="4"/>
    </row>
    <row r="319" spans="1:25" x14ac:dyDescent="0.2">
      <c r="A319" s="41"/>
      <c r="B319" s="5"/>
      <c r="C319" s="4"/>
      <c r="D319" s="4"/>
      <c r="E319" s="4"/>
      <c r="F319" s="4"/>
      <c r="G319" s="4"/>
      <c r="H319" s="4"/>
      <c r="I319" s="4"/>
      <c r="J319" s="4"/>
      <c r="K319" s="4"/>
      <c r="L319" s="4"/>
      <c r="M319" s="4"/>
      <c r="N319" s="4"/>
      <c r="O319" s="4"/>
      <c r="P319" s="4"/>
      <c r="Q319" s="4"/>
      <c r="R319" s="4"/>
      <c r="S319" s="4"/>
      <c r="T319" s="4"/>
      <c r="U319" s="4"/>
      <c r="V319" s="4"/>
      <c r="W319" s="4"/>
      <c r="X319" s="4"/>
      <c r="Y319" s="4"/>
    </row>
    <row r="320" spans="1:25" x14ac:dyDescent="0.2">
      <c r="A320" s="41"/>
      <c r="B320" s="5"/>
      <c r="C320" s="4"/>
      <c r="D320" s="4"/>
      <c r="E320" s="4"/>
      <c r="F320" s="4"/>
      <c r="G320" s="4"/>
      <c r="H320" s="4"/>
      <c r="I320" s="4"/>
      <c r="J320" s="4"/>
      <c r="K320" s="4"/>
      <c r="L320" s="4"/>
      <c r="M320" s="4"/>
      <c r="N320" s="4"/>
      <c r="O320" s="4"/>
      <c r="P320" s="4"/>
      <c r="Q320" s="4"/>
      <c r="R320" s="4"/>
      <c r="S320" s="4"/>
      <c r="T320" s="4"/>
      <c r="U320" s="4"/>
      <c r="V320" s="4"/>
      <c r="W320" s="4"/>
      <c r="X320" s="4"/>
      <c r="Y320" s="4"/>
    </row>
    <row r="321" spans="1:25" x14ac:dyDescent="0.2">
      <c r="A321" s="41"/>
      <c r="B321" s="5"/>
      <c r="C321" s="4"/>
      <c r="D321" s="4"/>
      <c r="E321" s="4"/>
      <c r="F321" s="4"/>
      <c r="G321" s="4"/>
      <c r="H321" s="4"/>
      <c r="I321" s="4"/>
      <c r="J321" s="4"/>
      <c r="K321" s="4"/>
      <c r="L321" s="4"/>
      <c r="M321" s="4"/>
      <c r="N321" s="4"/>
      <c r="O321" s="4"/>
      <c r="P321" s="4"/>
      <c r="Q321" s="4"/>
      <c r="R321" s="4"/>
      <c r="S321" s="4"/>
      <c r="T321" s="4"/>
      <c r="U321" s="4"/>
      <c r="V321" s="4"/>
      <c r="W321" s="4"/>
      <c r="X321" s="4"/>
      <c r="Y321" s="4"/>
    </row>
    <row r="322" spans="1:25" x14ac:dyDescent="0.2">
      <c r="A322" s="41"/>
      <c r="B322" s="5"/>
      <c r="C322" s="4"/>
      <c r="D322" s="4"/>
      <c r="E322" s="4"/>
      <c r="F322" s="4"/>
      <c r="G322" s="4"/>
      <c r="H322" s="4"/>
      <c r="I322" s="4"/>
      <c r="J322" s="4"/>
      <c r="K322" s="4"/>
      <c r="L322" s="4"/>
      <c r="M322" s="4"/>
      <c r="N322" s="4"/>
      <c r="O322" s="4"/>
      <c r="P322" s="4"/>
      <c r="Q322" s="4"/>
      <c r="R322" s="4"/>
      <c r="S322" s="4"/>
      <c r="T322" s="4"/>
      <c r="U322" s="4"/>
      <c r="V322" s="4"/>
      <c r="W322" s="4"/>
      <c r="X322" s="4"/>
      <c r="Y322" s="4"/>
    </row>
    <row r="323" spans="1:25" x14ac:dyDescent="0.2">
      <c r="A323" s="41"/>
      <c r="B323" s="5"/>
      <c r="C323" s="4"/>
      <c r="D323" s="4"/>
      <c r="E323" s="4"/>
      <c r="F323" s="4"/>
      <c r="G323" s="4"/>
      <c r="H323" s="4"/>
      <c r="I323" s="4"/>
      <c r="J323" s="4"/>
      <c r="K323" s="4"/>
      <c r="L323" s="4"/>
      <c r="M323" s="4"/>
      <c r="N323" s="4"/>
      <c r="O323" s="4"/>
      <c r="P323" s="4"/>
      <c r="Q323" s="4"/>
      <c r="R323" s="4"/>
      <c r="S323" s="4"/>
      <c r="T323" s="4"/>
      <c r="U323" s="4"/>
      <c r="V323" s="4"/>
      <c r="W323" s="4"/>
      <c r="X323" s="4"/>
      <c r="Y323" s="4"/>
    </row>
    <row r="324" spans="1:25" x14ac:dyDescent="0.2">
      <c r="A324" s="41"/>
      <c r="B324" s="5"/>
      <c r="C324" s="4"/>
      <c r="D324" s="4"/>
      <c r="E324" s="4"/>
      <c r="F324" s="4"/>
      <c r="G324" s="4"/>
      <c r="H324" s="4"/>
      <c r="I324" s="4"/>
      <c r="J324" s="4"/>
      <c r="K324" s="4"/>
      <c r="L324" s="4"/>
      <c r="M324" s="4"/>
      <c r="N324" s="4"/>
      <c r="O324" s="4"/>
      <c r="P324" s="4"/>
      <c r="Q324" s="4"/>
      <c r="R324" s="4"/>
      <c r="S324" s="4"/>
      <c r="T324" s="4"/>
      <c r="U324" s="4"/>
      <c r="V324" s="4"/>
      <c r="W324" s="4"/>
      <c r="X324" s="4"/>
      <c r="Y324" s="4"/>
    </row>
    <row r="325" spans="1:25" x14ac:dyDescent="0.2">
      <c r="A325" s="41"/>
      <c r="B325" s="5"/>
      <c r="C325" s="4"/>
      <c r="D325" s="4"/>
      <c r="E325" s="4"/>
      <c r="F325" s="4"/>
      <c r="G325" s="4"/>
      <c r="H325" s="4"/>
      <c r="I325" s="4"/>
      <c r="J325" s="4"/>
      <c r="K325" s="4"/>
      <c r="L325" s="4"/>
      <c r="M325" s="4"/>
      <c r="N325" s="4"/>
      <c r="O325" s="4"/>
      <c r="P325" s="4"/>
      <c r="Q325" s="4"/>
      <c r="R325" s="4"/>
      <c r="S325" s="4"/>
      <c r="T325" s="4"/>
      <c r="U325" s="4"/>
      <c r="V325" s="4"/>
      <c r="W325" s="4"/>
      <c r="X325" s="4"/>
      <c r="Y325" s="4"/>
    </row>
    <row r="326" spans="1:25" x14ac:dyDescent="0.2">
      <c r="A326" s="41"/>
      <c r="B326" s="5"/>
      <c r="C326" s="4"/>
      <c r="D326" s="4"/>
      <c r="E326" s="4"/>
      <c r="F326" s="4"/>
      <c r="G326" s="4"/>
      <c r="H326" s="4"/>
      <c r="I326" s="4"/>
      <c r="J326" s="4"/>
      <c r="K326" s="4"/>
      <c r="L326" s="4"/>
      <c r="M326" s="4"/>
      <c r="N326" s="4"/>
      <c r="O326" s="4"/>
      <c r="P326" s="4"/>
      <c r="Q326" s="4"/>
      <c r="R326" s="4"/>
      <c r="S326" s="4"/>
      <c r="T326" s="4"/>
      <c r="U326" s="4"/>
      <c r="V326" s="4"/>
      <c r="W326" s="4"/>
      <c r="X326" s="4"/>
      <c r="Y326" s="4"/>
    </row>
    <row r="327" spans="1:25" x14ac:dyDescent="0.2">
      <c r="A327" s="41"/>
      <c r="B327" s="5"/>
      <c r="C327" s="4"/>
      <c r="D327" s="4"/>
      <c r="E327" s="4"/>
      <c r="F327" s="4"/>
      <c r="G327" s="4"/>
      <c r="H327" s="4"/>
      <c r="I327" s="4"/>
      <c r="J327" s="4"/>
      <c r="K327" s="4"/>
      <c r="L327" s="4"/>
      <c r="M327" s="4"/>
      <c r="N327" s="4"/>
      <c r="O327" s="4"/>
      <c r="P327" s="4"/>
      <c r="Q327" s="4"/>
      <c r="R327" s="4"/>
      <c r="S327" s="4"/>
      <c r="T327" s="4"/>
      <c r="U327" s="4"/>
      <c r="V327" s="4"/>
      <c r="W327" s="4"/>
      <c r="X327" s="4"/>
      <c r="Y327" s="4"/>
    </row>
    <row r="328" spans="1:25" x14ac:dyDescent="0.2">
      <c r="A328" s="41"/>
      <c r="B328" s="5"/>
      <c r="C328" s="4"/>
      <c r="D328" s="4"/>
      <c r="E328" s="4"/>
      <c r="F328" s="4"/>
      <c r="G328" s="4"/>
      <c r="H328" s="4"/>
      <c r="I328" s="4"/>
      <c r="J328" s="4"/>
      <c r="K328" s="4"/>
      <c r="L328" s="4"/>
      <c r="M328" s="4"/>
      <c r="N328" s="4"/>
      <c r="O328" s="4"/>
      <c r="P328" s="4"/>
      <c r="Q328" s="4"/>
      <c r="R328" s="4"/>
      <c r="S328" s="4"/>
      <c r="T328" s="4"/>
      <c r="U328" s="4"/>
      <c r="V328" s="4"/>
      <c r="W328" s="4"/>
      <c r="X328" s="4"/>
      <c r="Y328" s="4"/>
    </row>
    <row r="329" spans="1:25" x14ac:dyDescent="0.2">
      <c r="A329" s="41"/>
      <c r="B329" s="5"/>
      <c r="C329" s="4"/>
      <c r="D329" s="4"/>
      <c r="E329" s="4"/>
      <c r="F329" s="4"/>
      <c r="G329" s="4"/>
      <c r="H329" s="4"/>
      <c r="I329" s="4"/>
      <c r="J329" s="4"/>
      <c r="K329" s="4"/>
      <c r="L329" s="4"/>
      <c r="M329" s="4"/>
      <c r="N329" s="4"/>
      <c r="O329" s="4"/>
      <c r="P329" s="4"/>
      <c r="Q329" s="4"/>
      <c r="R329" s="4"/>
      <c r="S329" s="4"/>
      <c r="T329" s="4"/>
      <c r="U329" s="4"/>
      <c r="V329" s="4"/>
      <c r="W329" s="4"/>
      <c r="X329" s="4"/>
      <c r="Y329" s="4"/>
    </row>
    <row r="330" spans="1:25" x14ac:dyDescent="0.2">
      <c r="A330" s="41"/>
      <c r="B330" s="5"/>
      <c r="C330" s="4"/>
      <c r="D330" s="4"/>
      <c r="E330" s="4"/>
      <c r="F330" s="4"/>
      <c r="G330" s="4"/>
      <c r="H330" s="4"/>
      <c r="I330" s="4"/>
      <c r="J330" s="4"/>
      <c r="K330" s="4"/>
      <c r="L330" s="4"/>
      <c r="M330" s="4"/>
      <c r="N330" s="4"/>
      <c r="O330" s="4"/>
      <c r="P330" s="4"/>
      <c r="Q330" s="4"/>
      <c r="R330" s="4"/>
      <c r="S330" s="4"/>
      <c r="T330" s="4"/>
      <c r="U330" s="4"/>
      <c r="V330" s="4"/>
      <c r="W330" s="4"/>
      <c r="X330" s="4"/>
      <c r="Y330" s="4"/>
    </row>
    <row r="331" spans="1:25" x14ac:dyDescent="0.2">
      <c r="A331" s="41"/>
      <c r="B331" s="5"/>
      <c r="C331" s="4"/>
      <c r="D331" s="4"/>
      <c r="E331" s="4"/>
      <c r="F331" s="4"/>
      <c r="G331" s="4"/>
      <c r="H331" s="4"/>
      <c r="I331" s="4"/>
      <c r="J331" s="4"/>
      <c r="K331" s="4"/>
      <c r="L331" s="4"/>
      <c r="M331" s="4"/>
      <c r="N331" s="4"/>
      <c r="O331" s="4"/>
      <c r="P331" s="4"/>
      <c r="Q331" s="4"/>
      <c r="R331" s="4"/>
      <c r="S331" s="4"/>
      <c r="T331" s="4"/>
      <c r="U331" s="4"/>
      <c r="V331" s="4"/>
      <c r="W331" s="4"/>
      <c r="X331" s="4"/>
      <c r="Y331" s="4"/>
    </row>
    <row r="332" spans="1:25" x14ac:dyDescent="0.2">
      <c r="A332" s="41"/>
      <c r="B332" s="5"/>
      <c r="C332" s="4"/>
      <c r="D332" s="4"/>
      <c r="E332" s="4"/>
      <c r="F332" s="4"/>
      <c r="G332" s="4"/>
      <c r="H332" s="4"/>
      <c r="I332" s="4"/>
      <c r="J332" s="4"/>
      <c r="K332" s="4"/>
      <c r="L332" s="4"/>
      <c r="M332" s="4"/>
      <c r="N332" s="4"/>
      <c r="O332" s="4"/>
      <c r="P332" s="4"/>
      <c r="Q332" s="4"/>
      <c r="R332" s="4"/>
      <c r="S332" s="4"/>
      <c r="T332" s="4"/>
      <c r="U332" s="4"/>
      <c r="V332" s="4"/>
      <c r="W332" s="4"/>
      <c r="X332" s="4"/>
      <c r="Y332" s="4"/>
    </row>
    <row r="333" spans="1:25" x14ac:dyDescent="0.2">
      <c r="A333" s="41"/>
      <c r="B333" s="5"/>
      <c r="C333" s="4"/>
      <c r="D333" s="4"/>
      <c r="E333" s="4"/>
      <c r="F333" s="4"/>
      <c r="G333" s="4"/>
      <c r="H333" s="4"/>
      <c r="I333" s="4"/>
      <c r="J333" s="4"/>
      <c r="K333" s="4"/>
      <c r="L333" s="4"/>
      <c r="M333" s="4"/>
      <c r="N333" s="4"/>
      <c r="O333" s="4"/>
      <c r="P333" s="4"/>
      <c r="Q333" s="4"/>
      <c r="R333" s="4"/>
      <c r="S333" s="4"/>
      <c r="T333" s="4"/>
      <c r="U333" s="4"/>
      <c r="V333" s="4"/>
      <c r="W333" s="4"/>
      <c r="X333" s="4"/>
      <c r="Y333" s="4"/>
    </row>
    <row r="334" spans="1:25" x14ac:dyDescent="0.2">
      <c r="A334" s="41"/>
      <c r="B334" s="5"/>
      <c r="C334" s="4"/>
      <c r="D334" s="4"/>
      <c r="E334" s="4"/>
      <c r="F334" s="4"/>
      <c r="G334" s="4"/>
      <c r="H334" s="4"/>
      <c r="I334" s="4"/>
      <c r="J334" s="4"/>
      <c r="K334" s="4"/>
      <c r="L334" s="4"/>
      <c r="M334" s="4"/>
      <c r="N334" s="4"/>
      <c r="O334" s="4"/>
      <c r="P334" s="4"/>
      <c r="Q334" s="4"/>
      <c r="R334" s="4"/>
      <c r="S334" s="4"/>
      <c r="T334" s="4"/>
      <c r="U334" s="4"/>
      <c r="V334" s="4"/>
      <c r="W334" s="4"/>
      <c r="X334" s="4"/>
      <c r="Y334" s="4"/>
    </row>
    <row r="335" spans="1:25" x14ac:dyDescent="0.2">
      <c r="A335" s="41"/>
      <c r="B335" s="5"/>
      <c r="C335" s="4"/>
      <c r="D335" s="4"/>
      <c r="E335" s="4"/>
      <c r="F335" s="4"/>
      <c r="G335" s="4"/>
      <c r="H335" s="4"/>
      <c r="I335" s="4"/>
      <c r="J335" s="4"/>
      <c r="K335" s="4"/>
      <c r="L335" s="4"/>
      <c r="M335" s="4"/>
      <c r="N335" s="4"/>
      <c r="O335" s="4"/>
      <c r="P335" s="4"/>
      <c r="Q335" s="4"/>
      <c r="R335" s="4"/>
      <c r="S335" s="4"/>
      <c r="T335" s="4"/>
      <c r="U335" s="4"/>
      <c r="V335" s="4"/>
      <c r="W335" s="4"/>
      <c r="X335" s="4"/>
      <c r="Y335" s="4"/>
    </row>
    <row r="336" spans="1:25" x14ac:dyDescent="0.2">
      <c r="A336" s="41"/>
      <c r="B336" s="5"/>
      <c r="C336" s="4"/>
      <c r="D336" s="4"/>
      <c r="E336" s="4"/>
      <c r="F336" s="4"/>
      <c r="G336" s="4"/>
      <c r="H336" s="4"/>
      <c r="I336" s="4"/>
      <c r="J336" s="4"/>
      <c r="K336" s="4"/>
      <c r="L336" s="4"/>
      <c r="M336" s="4"/>
      <c r="N336" s="4"/>
      <c r="O336" s="4"/>
      <c r="P336" s="4"/>
      <c r="Q336" s="4"/>
      <c r="R336" s="4"/>
      <c r="S336" s="4"/>
      <c r="T336" s="4"/>
      <c r="U336" s="4"/>
      <c r="V336" s="4"/>
      <c r="W336" s="4"/>
      <c r="X336" s="4"/>
      <c r="Y336" s="4"/>
    </row>
    <row r="337" spans="1:25" x14ac:dyDescent="0.2">
      <c r="A337" s="41"/>
      <c r="B337" s="5"/>
      <c r="C337" s="4"/>
      <c r="D337" s="4"/>
      <c r="E337" s="4"/>
      <c r="F337" s="4"/>
      <c r="G337" s="4"/>
      <c r="H337" s="4"/>
      <c r="I337" s="4"/>
      <c r="J337" s="4"/>
      <c r="K337" s="4"/>
      <c r="L337" s="4"/>
      <c r="M337" s="4"/>
      <c r="N337" s="4"/>
      <c r="O337" s="4"/>
      <c r="P337" s="4"/>
      <c r="Q337" s="4"/>
      <c r="R337" s="4"/>
      <c r="S337" s="4"/>
      <c r="T337" s="4"/>
      <c r="U337" s="4"/>
      <c r="V337" s="4"/>
      <c r="W337" s="4"/>
      <c r="X337" s="4"/>
      <c r="Y337" s="4"/>
    </row>
    <row r="338" spans="1:25" x14ac:dyDescent="0.2">
      <c r="A338" s="41"/>
      <c r="B338" s="5"/>
      <c r="C338" s="4"/>
      <c r="D338" s="4"/>
      <c r="E338" s="4"/>
      <c r="F338" s="4"/>
      <c r="G338" s="4"/>
      <c r="H338" s="4"/>
      <c r="I338" s="4"/>
      <c r="J338" s="4"/>
      <c r="K338" s="4"/>
      <c r="L338" s="4"/>
      <c r="M338" s="4"/>
      <c r="N338" s="4"/>
      <c r="O338" s="4"/>
      <c r="P338" s="4"/>
      <c r="Q338" s="4"/>
      <c r="R338" s="4"/>
      <c r="S338" s="4"/>
      <c r="T338" s="4"/>
      <c r="U338" s="4"/>
      <c r="V338" s="4"/>
      <c r="W338" s="4"/>
      <c r="X338" s="4"/>
      <c r="Y338" s="4"/>
    </row>
    <row r="339" spans="1:25" x14ac:dyDescent="0.2">
      <c r="A339" s="41"/>
      <c r="B339" s="5"/>
      <c r="C339" s="4"/>
      <c r="D339" s="4"/>
      <c r="E339" s="4"/>
      <c r="F339" s="4"/>
      <c r="G339" s="4"/>
      <c r="H339" s="4"/>
      <c r="I339" s="4"/>
      <c r="J339" s="4"/>
      <c r="K339" s="4"/>
      <c r="L339" s="4"/>
      <c r="M339" s="4"/>
      <c r="N339" s="4"/>
      <c r="O339" s="4"/>
      <c r="P339" s="4"/>
      <c r="Q339" s="4"/>
      <c r="R339" s="4"/>
      <c r="S339" s="4"/>
      <c r="T339" s="4"/>
      <c r="U339" s="4"/>
      <c r="V339" s="4"/>
      <c r="W339" s="4"/>
      <c r="X339" s="4"/>
      <c r="Y339" s="4"/>
    </row>
    <row r="340" spans="1:25" x14ac:dyDescent="0.2">
      <c r="A340" s="41"/>
      <c r="B340" s="5"/>
      <c r="C340" s="4"/>
      <c r="D340" s="4"/>
      <c r="E340" s="4"/>
      <c r="F340" s="4"/>
      <c r="G340" s="4"/>
      <c r="H340" s="4"/>
      <c r="I340" s="4"/>
      <c r="J340" s="4"/>
      <c r="K340" s="4"/>
      <c r="L340" s="4"/>
      <c r="M340" s="4"/>
      <c r="N340" s="4"/>
      <c r="O340" s="4"/>
      <c r="P340" s="4"/>
      <c r="Q340" s="4"/>
      <c r="R340" s="4"/>
      <c r="S340" s="4"/>
      <c r="T340" s="4"/>
      <c r="U340" s="4"/>
      <c r="V340" s="4"/>
      <c r="W340" s="4"/>
      <c r="X340" s="4"/>
      <c r="Y340" s="4"/>
    </row>
    <row r="341" spans="1:25" x14ac:dyDescent="0.2">
      <c r="A341" s="41"/>
      <c r="B341" s="5"/>
      <c r="C341" s="4"/>
      <c r="D341" s="4"/>
      <c r="E341" s="4"/>
      <c r="F341" s="4"/>
      <c r="G341" s="4"/>
      <c r="H341" s="4"/>
      <c r="I341" s="4"/>
      <c r="J341" s="4"/>
      <c r="K341" s="4"/>
      <c r="L341" s="4"/>
      <c r="M341" s="4"/>
      <c r="N341" s="4"/>
      <c r="O341" s="4"/>
      <c r="P341" s="4"/>
      <c r="Q341" s="4"/>
      <c r="R341" s="4"/>
      <c r="S341" s="4"/>
      <c r="T341" s="4"/>
      <c r="U341" s="4"/>
      <c r="V341" s="4"/>
      <c r="W341" s="4"/>
      <c r="X341" s="4"/>
      <c r="Y341" s="4"/>
    </row>
    <row r="342" spans="1:25" x14ac:dyDescent="0.2">
      <c r="A342" s="41"/>
      <c r="B342" s="5"/>
      <c r="C342" s="4"/>
      <c r="D342" s="4"/>
      <c r="E342" s="4"/>
      <c r="F342" s="4"/>
      <c r="G342" s="4"/>
      <c r="H342" s="4"/>
      <c r="I342" s="4"/>
      <c r="J342" s="4"/>
      <c r="K342" s="4"/>
      <c r="L342" s="4"/>
      <c r="M342" s="4"/>
      <c r="N342" s="4"/>
      <c r="O342" s="4"/>
      <c r="P342" s="4"/>
      <c r="Q342" s="4"/>
      <c r="R342" s="4"/>
      <c r="S342" s="4"/>
      <c r="T342" s="4"/>
      <c r="U342" s="4"/>
      <c r="V342" s="4"/>
      <c r="W342" s="4"/>
      <c r="X342" s="4"/>
      <c r="Y342" s="4"/>
    </row>
    <row r="343" spans="1:25" x14ac:dyDescent="0.2">
      <c r="A343" s="41"/>
      <c r="B343" s="5"/>
      <c r="C343" s="4"/>
      <c r="D343" s="4"/>
      <c r="E343" s="4"/>
      <c r="F343" s="4"/>
      <c r="G343" s="4"/>
      <c r="H343" s="4"/>
      <c r="I343" s="4"/>
      <c r="J343" s="4"/>
      <c r="K343" s="4"/>
      <c r="L343" s="4"/>
      <c r="M343" s="4"/>
      <c r="N343" s="4"/>
      <c r="O343" s="4"/>
      <c r="P343" s="4"/>
      <c r="Q343" s="4"/>
      <c r="R343" s="4"/>
      <c r="S343" s="4"/>
      <c r="T343" s="4"/>
      <c r="U343" s="4"/>
      <c r="V343" s="4"/>
      <c r="W343" s="4"/>
      <c r="X343" s="4"/>
      <c r="Y343" s="4"/>
    </row>
    <row r="344" spans="1:25" x14ac:dyDescent="0.2">
      <c r="A344" s="41"/>
      <c r="B344" s="5"/>
      <c r="C344" s="4"/>
      <c r="D344" s="4"/>
      <c r="E344" s="4"/>
      <c r="F344" s="4"/>
      <c r="G344" s="4"/>
      <c r="H344" s="4"/>
      <c r="I344" s="4"/>
      <c r="J344" s="4"/>
      <c r="K344" s="4"/>
      <c r="L344" s="4"/>
      <c r="M344" s="4"/>
      <c r="N344" s="4"/>
      <c r="O344" s="4"/>
      <c r="P344" s="4"/>
      <c r="Q344" s="4"/>
      <c r="R344" s="4"/>
      <c r="S344" s="4"/>
      <c r="T344" s="4"/>
      <c r="U344" s="4"/>
      <c r="V344" s="4"/>
      <c r="W344" s="4"/>
      <c r="X344" s="4"/>
      <c r="Y344" s="4"/>
    </row>
    <row r="345" spans="1:25" x14ac:dyDescent="0.2">
      <c r="A345" s="41"/>
      <c r="B345" s="5"/>
      <c r="C345" s="4"/>
      <c r="D345" s="4"/>
      <c r="E345" s="4"/>
      <c r="F345" s="4"/>
      <c r="G345" s="4"/>
      <c r="H345" s="4"/>
      <c r="I345" s="4"/>
      <c r="J345" s="4"/>
      <c r="K345" s="4"/>
      <c r="L345" s="4"/>
      <c r="M345" s="4"/>
      <c r="N345" s="4"/>
      <c r="O345" s="4"/>
      <c r="P345" s="4"/>
      <c r="Q345" s="4"/>
      <c r="R345" s="4"/>
      <c r="S345" s="4"/>
      <c r="T345" s="4"/>
      <c r="U345" s="4"/>
      <c r="V345" s="4"/>
      <c r="W345" s="4"/>
      <c r="X345" s="4"/>
      <c r="Y345" s="4"/>
    </row>
    <row r="346" spans="1:25" x14ac:dyDescent="0.2">
      <c r="A346" s="41"/>
      <c r="B346" s="5"/>
      <c r="C346" s="4"/>
      <c r="D346" s="4"/>
      <c r="E346" s="4"/>
      <c r="F346" s="4"/>
      <c r="G346" s="4"/>
      <c r="H346" s="4"/>
      <c r="I346" s="4"/>
      <c r="J346" s="4"/>
      <c r="K346" s="4"/>
      <c r="L346" s="4"/>
      <c r="M346" s="4"/>
      <c r="N346" s="4"/>
      <c r="O346" s="4"/>
      <c r="P346" s="4"/>
      <c r="Q346" s="4"/>
      <c r="R346" s="4"/>
      <c r="S346" s="4"/>
      <c r="T346" s="4"/>
      <c r="U346" s="4"/>
      <c r="V346" s="4"/>
      <c r="W346" s="4"/>
      <c r="X346" s="4"/>
      <c r="Y346" s="4"/>
    </row>
    <row r="347" spans="1:25" x14ac:dyDescent="0.2">
      <c r="A347" s="41"/>
      <c r="B347" s="5"/>
      <c r="C347" s="4"/>
      <c r="D347" s="4"/>
      <c r="E347" s="4"/>
      <c r="F347" s="4"/>
      <c r="G347" s="4"/>
      <c r="H347" s="4"/>
      <c r="I347" s="4"/>
      <c r="J347" s="4"/>
      <c r="K347" s="4"/>
      <c r="L347" s="4"/>
      <c r="M347" s="4"/>
      <c r="N347" s="4"/>
      <c r="O347" s="4"/>
      <c r="P347" s="4"/>
      <c r="Q347" s="4"/>
      <c r="R347" s="4"/>
      <c r="S347" s="4"/>
      <c r="T347" s="4"/>
      <c r="U347" s="4"/>
      <c r="V347" s="4"/>
      <c r="W347" s="4"/>
      <c r="X347" s="4"/>
      <c r="Y347" s="4"/>
    </row>
    <row r="348" spans="1:25" x14ac:dyDescent="0.2">
      <c r="A348" s="41"/>
      <c r="B348" s="5"/>
      <c r="C348" s="4"/>
      <c r="D348" s="4"/>
      <c r="E348" s="4"/>
      <c r="F348" s="4"/>
      <c r="G348" s="4"/>
      <c r="H348" s="4"/>
      <c r="I348" s="4"/>
      <c r="J348" s="4"/>
      <c r="K348" s="4"/>
      <c r="L348" s="4"/>
      <c r="M348" s="4"/>
      <c r="N348" s="4"/>
      <c r="O348" s="4"/>
      <c r="P348" s="4"/>
      <c r="Q348" s="4"/>
      <c r="R348" s="4"/>
      <c r="S348" s="4"/>
      <c r="T348" s="4"/>
      <c r="U348" s="4"/>
      <c r="V348" s="4"/>
      <c r="W348" s="4"/>
      <c r="X348" s="4"/>
      <c r="Y348" s="4"/>
    </row>
    <row r="349" spans="1:25" x14ac:dyDescent="0.2">
      <c r="A349" s="41"/>
      <c r="B349" s="5"/>
      <c r="C349" s="4"/>
      <c r="D349" s="4"/>
      <c r="E349" s="4"/>
      <c r="F349" s="4"/>
      <c r="G349" s="4"/>
      <c r="H349" s="4"/>
      <c r="I349" s="4"/>
      <c r="J349" s="4"/>
      <c r="K349" s="4"/>
      <c r="L349" s="4"/>
      <c r="M349" s="4"/>
      <c r="N349" s="4"/>
      <c r="O349" s="4"/>
      <c r="P349" s="4"/>
      <c r="Q349" s="4"/>
      <c r="R349" s="4"/>
      <c r="S349" s="4"/>
      <c r="T349" s="4"/>
      <c r="U349" s="4"/>
      <c r="V349" s="4"/>
      <c r="W349" s="4"/>
      <c r="X349" s="4"/>
      <c r="Y349" s="4"/>
    </row>
    <row r="350" spans="1:25" x14ac:dyDescent="0.2">
      <c r="A350" s="41"/>
      <c r="B350" s="5"/>
      <c r="C350" s="4"/>
      <c r="D350" s="4"/>
      <c r="E350" s="4"/>
      <c r="F350" s="4"/>
      <c r="G350" s="4"/>
      <c r="H350" s="4"/>
      <c r="I350" s="4"/>
      <c r="J350" s="4"/>
      <c r="K350" s="4"/>
      <c r="L350" s="4"/>
      <c r="M350" s="4"/>
      <c r="N350" s="4"/>
      <c r="O350" s="4"/>
      <c r="P350" s="4"/>
      <c r="Q350" s="4"/>
      <c r="R350" s="4"/>
      <c r="S350" s="4"/>
      <c r="T350" s="4"/>
      <c r="U350" s="4"/>
      <c r="V350" s="4"/>
      <c r="W350" s="4"/>
      <c r="X350" s="4"/>
      <c r="Y350" s="4"/>
    </row>
    <row r="351" spans="1:25" x14ac:dyDescent="0.2">
      <c r="A351" s="41"/>
      <c r="B351" s="5"/>
      <c r="C351" s="4"/>
      <c r="D351" s="4"/>
      <c r="E351" s="4"/>
      <c r="F351" s="4"/>
      <c r="G351" s="4"/>
      <c r="H351" s="4"/>
      <c r="I351" s="4"/>
      <c r="J351" s="4"/>
      <c r="K351" s="4"/>
      <c r="L351" s="4"/>
      <c r="M351" s="4"/>
      <c r="N351" s="4"/>
      <c r="O351" s="4"/>
      <c r="P351" s="4"/>
      <c r="Q351" s="4"/>
      <c r="R351" s="4"/>
      <c r="S351" s="4"/>
      <c r="T351" s="4"/>
      <c r="U351" s="4"/>
      <c r="V351" s="4"/>
      <c r="W351" s="4"/>
      <c r="X351" s="4"/>
      <c r="Y351" s="4"/>
    </row>
    <row r="352" spans="1:25" x14ac:dyDescent="0.2">
      <c r="A352" s="41"/>
      <c r="B352" s="5"/>
      <c r="C352" s="4"/>
      <c r="D352" s="4"/>
      <c r="E352" s="4"/>
      <c r="F352" s="4"/>
      <c r="G352" s="4"/>
      <c r="H352" s="4"/>
      <c r="I352" s="4"/>
      <c r="J352" s="4"/>
      <c r="K352" s="4"/>
      <c r="L352" s="4"/>
      <c r="M352" s="4"/>
      <c r="N352" s="4"/>
      <c r="O352" s="4"/>
      <c r="P352" s="4"/>
      <c r="Q352" s="4"/>
      <c r="R352" s="4"/>
      <c r="S352" s="4"/>
      <c r="T352" s="4"/>
      <c r="U352" s="4"/>
      <c r="V352" s="4"/>
      <c r="W352" s="4"/>
      <c r="X352" s="4"/>
      <c r="Y352" s="4"/>
    </row>
    <row r="353" spans="1:25" x14ac:dyDescent="0.2">
      <c r="A353" s="41"/>
      <c r="B353" s="5"/>
      <c r="C353" s="4"/>
      <c r="D353" s="4"/>
      <c r="E353" s="4"/>
      <c r="F353" s="4"/>
      <c r="G353" s="4"/>
      <c r="H353" s="4"/>
      <c r="I353" s="4"/>
      <c r="J353" s="4"/>
      <c r="K353" s="4"/>
      <c r="L353" s="4"/>
      <c r="M353" s="4"/>
      <c r="N353" s="4"/>
      <c r="O353" s="4"/>
      <c r="P353" s="4"/>
      <c r="Q353" s="4"/>
      <c r="R353" s="4"/>
      <c r="S353" s="4"/>
      <c r="T353" s="4"/>
      <c r="U353" s="4"/>
      <c r="V353" s="4"/>
      <c r="W353" s="4"/>
      <c r="X353" s="4"/>
      <c r="Y353" s="4"/>
    </row>
    <row r="354" spans="1:25" x14ac:dyDescent="0.2">
      <c r="A354" s="41"/>
      <c r="B354" s="5"/>
      <c r="C354" s="4"/>
      <c r="D354" s="4"/>
      <c r="E354" s="4"/>
      <c r="F354" s="4"/>
      <c r="G354" s="4"/>
      <c r="H354" s="4"/>
      <c r="I354" s="4"/>
      <c r="J354" s="4"/>
      <c r="K354" s="4"/>
      <c r="L354" s="4"/>
      <c r="M354" s="4"/>
      <c r="N354" s="4"/>
      <c r="O354" s="4"/>
      <c r="P354" s="4"/>
      <c r="Q354" s="4"/>
      <c r="R354" s="4"/>
      <c r="S354" s="4"/>
      <c r="T354" s="4"/>
      <c r="U354" s="4"/>
      <c r="V354" s="4"/>
      <c r="W354" s="4"/>
      <c r="X354" s="4"/>
      <c r="Y354" s="4"/>
    </row>
    <row r="355" spans="1:25" x14ac:dyDescent="0.2">
      <c r="A355" s="41"/>
      <c r="B355" s="5"/>
      <c r="C355" s="4"/>
      <c r="D355" s="4"/>
      <c r="E355" s="4"/>
      <c r="F355" s="4"/>
      <c r="G355" s="4"/>
      <c r="H355" s="4"/>
      <c r="I355" s="4"/>
      <c r="J355" s="4"/>
      <c r="K355" s="4"/>
      <c r="L355" s="4"/>
      <c r="M355" s="4"/>
      <c r="N355" s="4"/>
      <c r="O355" s="4"/>
      <c r="P355" s="4"/>
      <c r="Q355" s="4"/>
      <c r="R355" s="4"/>
      <c r="S355" s="4"/>
      <c r="T355" s="4"/>
      <c r="U355" s="4"/>
      <c r="V355" s="4"/>
      <c r="W355" s="4"/>
      <c r="X355" s="4"/>
      <c r="Y355" s="4"/>
    </row>
    <row r="356" spans="1:25" x14ac:dyDescent="0.2">
      <c r="A356" s="41"/>
      <c r="B356" s="5"/>
      <c r="C356" s="4"/>
      <c r="D356" s="4"/>
      <c r="E356" s="4"/>
      <c r="F356" s="4"/>
      <c r="G356" s="4"/>
      <c r="H356" s="4"/>
      <c r="I356" s="4"/>
      <c r="J356" s="4"/>
      <c r="K356" s="4"/>
      <c r="L356" s="4"/>
      <c r="M356" s="4"/>
      <c r="N356" s="4"/>
      <c r="O356" s="4"/>
      <c r="P356" s="4"/>
      <c r="Q356" s="4"/>
      <c r="R356" s="4"/>
      <c r="S356" s="4"/>
      <c r="T356" s="4"/>
      <c r="U356" s="4"/>
      <c r="V356" s="4"/>
      <c r="W356" s="4"/>
      <c r="X356" s="4"/>
      <c r="Y356" s="4"/>
    </row>
    <row r="357" spans="1:25" x14ac:dyDescent="0.2">
      <c r="A357" s="41"/>
      <c r="B357" s="5"/>
      <c r="C357" s="4"/>
      <c r="D357" s="4"/>
      <c r="E357" s="4"/>
      <c r="F357" s="4"/>
      <c r="G357" s="4"/>
      <c r="H357" s="4"/>
      <c r="I357" s="4"/>
      <c r="J357" s="4"/>
      <c r="K357" s="4"/>
      <c r="L357" s="4"/>
      <c r="M357" s="4"/>
      <c r="N357" s="4"/>
      <c r="O357" s="4"/>
      <c r="P357" s="4"/>
      <c r="Q357" s="4"/>
      <c r="R357" s="4"/>
      <c r="S357" s="4"/>
      <c r="T357" s="4"/>
      <c r="U357" s="4"/>
      <c r="V357" s="4"/>
      <c r="W357" s="4"/>
      <c r="X357" s="4"/>
      <c r="Y357" s="4"/>
    </row>
    <row r="358" spans="1:25" x14ac:dyDescent="0.2">
      <c r="A358" s="41"/>
      <c r="B358" s="5"/>
      <c r="C358" s="4"/>
      <c r="D358" s="4"/>
      <c r="E358" s="4"/>
      <c r="F358" s="4"/>
      <c r="G358" s="4"/>
      <c r="H358" s="4"/>
      <c r="I358" s="4"/>
      <c r="J358" s="4"/>
      <c r="K358" s="4"/>
      <c r="L358" s="4"/>
      <c r="M358" s="4"/>
      <c r="N358" s="4"/>
      <c r="O358" s="4"/>
      <c r="P358" s="4"/>
      <c r="Q358" s="4"/>
      <c r="R358" s="4"/>
      <c r="S358" s="4"/>
      <c r="T358" s="4"/>
      <c r="U358" s="4"/>
      <c r="V358" s="4"/>
      <c r="W358" s="4"/>
      <c r="X358" s="4"/>
      <c r="Y358" s="4"/>
    </row>
    <row r="359" spans="1:25" x14ac:dyDescent="0.2">
      <c r="A359" s="41"/>
      <c r="B359" s="5"/>
      <c r="C359" s="4"/>
      <c r="D359" s="4"/>
      <c r="E359" s="4"/>
      <c r="F359" s="4"/>
      <c r="G359" s="4"/>
      <c r="H359" s="4"/>
      <c r="I359" s="4"/>
      <c r="J359" s="4"/>
      <c r="K359" s="4"/>
      <c r="L359" s="4"/>
      <c r="M359" s="4"/>
      <c r="N359" s="4"/>
      <c r="O359" s="4"/>
      <c r="P359" s="4"/>
      <c r="Q359" s="4"/>
      <c r="R359" s="4"/>
      <c r="S359" s="4"/>
      <c r="T359" s="4"/>
      <c r="U359" s="4"/>
      <c r="V359" s="4"/>
      <c r="W359" s="4"/>
      <c r="X359" s="4"/>
      <c r="Y359" s="4"/>
    </row>
    <row r="360" spans="1:25" x14ac:dyDescent="0.2">
      <c r="A360" s="41"/>
      <c r="B360" s="5"/>
      <c r="C360" s="4"/>
      <c r="D360" s="4"/>
      <c r="E360" s="4"/>
      <c r="F360" s="4"/>
      <c r="G360" s="4"/>
      <c r="H360" s="4"/>
      <c r="I360" s="4"/>
      <c r="J360" s="4"/>
      <c r="K360" s="4"/>
      <c r="L360" s="4"/>
      <c r="M360" s="4"/>
      <c r="N360" s="4"/>
      <c r="O360" s="4"/>
      <c r="P360" s="4"/>
      <c r="Q360" s="4"/>
      <c r="R360" s="4"/>
      <c r="S360" s="4"/>
      <c r="T360" s="4"/>
      <c r="U360" s="4"/>
      <c r="V360" s="4"/>
      <c r="W360" s="4"/>
      <c r="X360" s="4"/>
      <c r="Y360" s="4"/>
    </row>
    <row r="361" spans="1:25" x14ac:dyDescent="0.2">
      <c r="A361" s="41"/>
      <c r="B361" s="5"/>
      <c r="C361" s="4"/>
      <c r="D361" s="4"/>
      <c r="E361" s="4"/>
      <c r="F361" s="4"/>
      <c r="G361" s="4"/>
      <c r="H361" s="4"/>
      <c r="I361" s="4"/>
      <c r="J361" s="4"/>
      <c r="K361" s="4"/>
      <c r="L361" s="4"/>
      <c r="M361" s="4"/>
      <c r="N361" s="4"/>
      <c r="O361" s="4"/>
      <c r="P361" s="4"/>
      <c r="Q361" s="4"/>
      <c r="R361" s="4"/>
      <c r="S361" s="4"/>
      <c r="T361" s="4"/>
      <c r="U361" s="4"/>
      <c r="V361" s="4"/>
      <c r="W361" s="4"/>
      <c r="X361" s="4"/>
      <c r="Y361" s="4"/>
    </row>
    <row r="362" spans="1:25" x14ac:dyDescent="0.2">
      <c r="A362" s="41"/>
      <c r="B362" s="5"/>
      <c r="C362" s="4"/>
      <c r="D362" s="4"/>
      <c r="E362" s="4"/>
      <c r="F362" s="4"/>
      <c r="G362" s="4"/>
      <c r="H362" s="4"/>
      <c r="I362" s="4"/>
      <c r="J362" s="4"/>
      <c r="K362" s="4"/>
      <c r="L362" s="4"/>
      <c r="M362" s="4"/>
      <c r="N362" s="4"/>
      <c r="O362" s="4"/>
      <c r="P362" s="4"/>
      <c r="Q362" s="4"/>
      <c r="R362" s="4"/>
      <c r="S362" s="4"/>
      <c r="T362" s="4"/>
      <c r="U362" s="4"/>
      <c r="V362" s="4"/>
      <c r="W362" s="4"/>
      <c r="X362" s="4"/>
      <c r="Y362" s="4"/>
    </row>
    <row r="363" spans="1:25" x14ac:dyDescent="0.2">
      <c r="A363" s="41"/>
      <c r="B363" s="5"/>
      <c r="C363" s="4"/>
      <c r="D363" s="4"/>
      <c r="E363" s="4"/>
      <c r="F363" s="4"/>
      <c r="G363" s="4"/>
      <c r="H363" s="4"/>
      <c r="I363" s="4"/>
      <c r="J363" s="4"/>
      <c r="K363" s="4"/>
      <c r="L363" s="4"/>
      <c r="M363" s="4"/>
      <c r="N363" s="4"/>
      <c r="O363" s="4"/>
      <c r="P363" s="4"/>
      <c r="Q363" s="4"/>
      <c r="R363" s="4"/>
      <c r="S363" s="4"/>
      <c r="T363" s="4"/>
      <c r="U363" s="4"/>
      <c r="V363" s="4"/>
      <c r="W363" s="4"/>
      <c r="X363" s="4"/>
      <c r="Y363" s="4"/>
    </row>
    <row r="364" spans="1:25" x14ac:dyDescent="0.2">
      <c r="A364" s="41"/>
      <c r="B364" s="5"/>
      <c r="C364" s="4"/>
      <c r="D364" s="4"/>
      <c r="E364" s="4"/>
      <c r="F364" s="4"/>
      <c r="G364" s="4"/>
      <c r="H364" s="4"/>
      <c r="I364" s="4"/>
      <c r="J364" s="4"/>
      <c r="K364" s="4"/>
      <c r="L364" s="4"/>
      <c r="M364" s="4"/>
      <c r="N364" s="4"/>
      <c r="O364" s="4"/>
      <c r="P364" s="4"/>
      <c r="Q364" s="4"/>
      <c r="R364" s="4"/>
      <c r="S364" s="4"/>
      <c r="T364" s="4"/>
      <c r="U364" s="4"/>
      <c r="V364" s="4"/>
      <c r="W364" s="4"/>
      <c r="X364" s="4"/>
      <c r="Y364" s="4"/>
    </row>
    <row r="365" spans="1:25" x14ac:dyDescent="0.2">
      <c r="A365" s="41"/>
      <c r="B365" s="5"/>
      <c r="C365" s="4"/>
      <c r="D365" s="4"/>
      <c r="E365" s="4"/>
      <c r="F365" s="4"/>
      <c r="G365" s="4"/>
      <c r="H365" s="4"/>
      <c r="I365" s="4"/>
      <c r="J365" s="4"/>
      <c r="K365" s="4"/>
      <c r="L365" s="4"/>
      <c r="M365" s="4"/>
      <c r="N365" s="4"/>
      <c r="O365" s="4"/>
      <c r="P365" s="4"/>
      <c r="Q365" s="4"/>
      <c r="R365" s="4"/>
      <c r="S365" s="4"/>
      <c r="T365" s="4"/>
      <c r="U365" s="4"/>
      <c r="V365" s="4"/>
      <c r="W365" s="4"/>
      <c r="X365" s="4"/>
      <c r="Y365" s="4"/>
    </row>
    <row r="366" spans="1:25" x14ac:dyDescent="0.2">
      <c r="A366" s="41"/>
      <c r="B366" s="5"/>
      <c r="C366" s="4"/>
      <c r="D366" s="4"/>
      <c r="E366" s="4"/>
      <c r="F366" s="4"/>
      <c r="G366" s="4"/>
      <c r="H366" s="4"/>
      <c r="I366" s="4"/>
      <c r="J366" s="4"/>
      <c r="K366" s="4"/>
      <c r="L366" s="4"/>
      <c r="M366" s="4"/>
      <c r="N366" s="4"/>
      <c r="O366" s="4"/>
      <c r="P366" s="4"/>
      <c r="Q366" s="4"/>
      <c r="R366" s="4"/>
      <c r="S366" s="4"/>
      <c r="T366" s="4"/>
      <c r="U366" s="4"/>
      <c r="V366" s="4"/>
      <c r="W366" s="4"/>
      <c r="X366" s="4"/>
      <c r="Y366" s="4"/>
    </row>
    <row r="367" spans="1:25" x14ac:dyDescent="0.2">
      <c r="A367" s="41"/>
      <c r="B367" s="5"/>
      <c r="C367" s="4"/>
      <c r="D367" s="4"/>
      <c r="E367" s="4"/>
      <c r="F367" s="4"/>
      <c r="G367" s="4"/>
      <c r="H367" s="4"/>
      <c r="I367" s="4"/>
      <c r="J367" s="4"/>
      <c r="K367" s="4"/>
      <c r="L367" s="4"/>
      <c r="M367" s="4"/>
      <c r="N367" s="4"/>
      <c r="O367" s="4"/>
      <c r="P367" s="4"/>
      <c r="Q367" s="4"/>
      <c r="R367" s="4"/>
      <c r="S367" s="4"/>
      <c r="T367" s="4"/>
      <c r="U367" s="4"/>
      <c r="V367" s="4"/>
      <c r="W367" s="4"/>
      <c r="X367" s="4"/>
      <c r="Y367" s="4"/>
    </row>
    <row r="368" spans="1:25" x14ac:dyDescent="0.2">
      <c r="A368" s="41"/>
      <c r="B368" s="5"/>
      <c r="C368" s="4"/>
      <c r="D368" s="4"/>
      <c r="E368" s="4"/>
      <c r="F368" s="4"/>
      <c r="G368" s="4"/>
      <c r="H368" s="4"/>
      <c r="I368" s="4"/>
      <c r="J368" s="4"/>
      <c r="K368" s="4"/>
      <c r="L368" s="4"/>
      <c r="M368" s="4"/>
      <c r="N368" s="4"/>
      <c r="O368" s="4"/>
      <c r="P368" s="4"/>
      <c r="Q368" s="4"/>
      <c r="R368" s="4"/>
      <c r="S368" s="4"/>
      <c r="T368" s="4"/>
      <c r="U368" s="4"/>
      <c r="V368" s="4"/>
      <c r="W368" s="4"/>
      <c r="X368" s="4"/>
      <c r="Y368" s="4"/>
    </row>
    <row r="369" spans="1:25" x14ac:dyDescent="0.2">
      <c r="A369" s="41"/>
      <c r="B369" s="5"/>
      <c r="C369" s="4"/>
      <c r="D369" s="4"/>
      <c r="E369" s="4"/>
      <c r="F369" s="4"/>
      <c r="G369" s="4"/>
      <c r="H369" s="4"/>
      <c r="I369" s="4"/>
      <c r="J369" s="4"/>
      <c r="K369" s="4"/>
      <c r="L369" s="4"/>
      <c r="M369" s="4"/>
      <c r="N369" s="4"/>
      <c r="O369" s="4"/>
      <c r="P369" s="4"/>
      <c r="Q369" s="4"/>
      <c r="R369" s="4"/>
      <c r="S369" s="4"/>
      <c r="T369" s="4"/>
      <c r="U369" s="4"/>
      <c r="V369" s="4"/>
      <c r="W369" s="4"/>
      <c r="X369" s="4"/>
      <c r="Y369" s="4"/>
    </row>
    <row r="370" spans="1:25" x14ac:dyDescent="0.2">
      <c r="A370" s="41"/>
      <c r="B370" s="5"/>
      <c r="C370" s="4"/>
      <c r="D370" s="4"/>
      <c r="E370" s="4"/>
      <c r="F370" s="4"/>
      <c r="G370" s="4"/>
      <c r="H370" s="4"/>
      <c r="I370" s="4"/>
      <c r="J370" s="4"/>
      <c r="K370" s="4"/>
      <c r="L370" s="4"/>
      <c r="M370" s="4"/>
      <c r="N370" s="4"/>
      <c r="O370" s="4"/>
      <c r="P370" s="4"/>
      <c r="Q370" s="4"/>
      <c r="R370" s="4"/>
      <c r="S370" s="4"/>
      <c r="T370" s="4"/>
      <c r="U370" s="4"/>
      <c r="V370" s="4"/>
      <c r="W370" s="4"/>
      <c r="X370" s="4"/>
      <c r="Y370" s="4"/>
    </row>
    <row r="371" spans="1:25" x14ac:dyDescent="0.2">
      <c r="A371" s="41"/>
      <c r="B371" s="5"/>
      <c r="C371" s="4"/>
      <c r="D371" s="4"/>
      <c r="E371" s="4"/>
      <c r="F371" s="4"/>
      <c r="G371" s="4"/>
      <c r="H371" s="4"/>
      <c r="I371" s="4"/>
      <c r="J371" s="4"/>
      <c r="K371" s="4"/>
      <c r="L371" s="4"/>
      <c r="M371" s="4"/>
      <c r="N371" s="4"/>
      <c r="O371" s="4"/>
      <c r="P371" s="4"/>
      <c r="Q371" s="4"/>
      <c r="R371" s="4"/>
      <c r="S371" s="4"/>
      <c r="T371" s="4"/>
      <c r="U371" s="4"/>
      <c r="V371" s="4"/>
      <c r="W371" s="4"/>
      <c r="X371" s="4"/>
      <c r="Y371" s="4"/>
    </row>
    <row r="372" spans="1:25" x14ac:dyDescent="0.2">
      <c r="A372" s="41"/>
      <c r="B372" s="5"/>
      <c r="C372" s="4"/>
      <c r="D372" s="4"/>
      <c r="E372" s="4"/>
      <c r="F372" s="4"/>
      <c r="G372" s="4"/>
      <c r="H372" s="4"/>
      <c r="I372" s="4"/>
      <c r="J372" s="4"/>
      <c r="K372" s="4"/>
      <c r="L372" s="4"/>
      <c r="M372" s="4"/>
      <c r="N372" s="4"/>
      <c r="O372" s="4"/>
      <c r="P372" s="4"/>
      <c r="Q372" s="4"/>
      <c r="R372" s="4"/>
      <c r="S372" s="4"/>
      <c r="T372" s="4"/>
      <c r="U372" s="4"/>
      <c r="V372" s="4"/>
      <c r="W372" s="4"/>
      <c r="X372" s="4"/>
      <c r="Y372" s="4"/>
    </row>
    <row r="373" spans="1:25" x14ac:dyDescent="0.2">
      <c r="A373" s="41"/>
      <c r="B373" s="5"/>
      <c r="C373" s="4"/>
      <c r="D373" s="4"/>
      <c r="E373" s="4"/>
      <c r="F373" s="4"/>
      <c r="G373" s="4"/>
      <c r="H373" s="4"/>
      <c r="I373" s="4"/>
      <c r="J373" s="4"/>
      <c r="K373" s="4"/>
      <c r="L373" s="4"/>
      <c r="M373" s="4"/>
      <c r="N373" s="4"/>
      <c r="O373" s="4"/>
      <c r="P373" s="4"/>
      <c r="Q373" s="4"/>
      <c r="R373" s="4"/>
      <c r="S373" s="4"/>
      <c r="T373" s="4"/>
      <c r="U373" s="4"/>
      <c r="V373" s="4"/>
      <c r="W373" s="4"/>
      <c r="X373" s="4"/>
      <c r="Y373" s="4"/>
    </row>
    <row r="374" spans="1:25" x14ac:dyDescent="0.2">
      <c r="A374" s="41"/>
      <c r="B374" s="5"/>
      <c r="C374" s="4"/>
      <c r="D374" s="4"/>
      <c r="E374" s="4"/>
      <c r="F374" s="4"/>
      <c r="G374" s="4"/>
      <c r="H374" s="4"/>
      <c r="I374" s="4"/>
      <c r="J374" s="4"/>
      <c r="K374" s="4"/>
      <c r="L374" s="4"/>
      <c r="M374" s="4"/>
      <c r="N374" s="4"/>
      <c r="O374" s="4"/>
      <c r="P374" s="4"/>
      <c r="Q374" s="4"/>
      <c r="R374" s="4"/>
      <c r="S374" s="4"/>
      <c r="T374" s="4"/>
      <c r="U374" s="4"/>
      <c r="V374" s="4"/>
      <c r="W374" s="4"/>
      <c r="X374" s="4"/>
      <c r="Y374" s="4"/>
    </row>
    <row r="375" spans="1:25" x14ac:dyDescent="0.2">
      <c r="A375" s="41"/>
      <c r="B375" s="5"/>
      <c r="C375" s="4"/>
      <c r="D375" s="4"/>
      <c r="E375" s="4"/>
      <c r="F375" s="4"/>
      <c r="G375" s="4"/>
      <c r="H375" s="4"/>
      <c r="I375" s="4"/>
      <c r="J375" s="4"/>
      <c r="K375" s="4"/>
      <c r="L375" s="4"/>
      <c r="M375" s="4"/>
      <c r="N375" s="4"/>
      <c r="O375" s="4"/>
      <c r="P375" s="4"/>
      <c r="Q375" s="4"/>
      <c r="R375" s="4"/>
      <c r="S375" s="4"/>
      <c r="T375" s="4"/>
      <c r="U375" s="4"/>
      <c r="V375" s="4"/>
      <c r="W375" s="4"/>
      <c r="X375" s="4"/>
      <c r="Y375" s="4"/>
    </row>
    <row r="376" spans="1:25" x14ac:dyDescent="0.2">
      <c r="A376" s="41"/>
      <c r="B376" s="5"/>
      <c r="C376" s="4"/>
      <c r="D376" s="4"/>
      <c r="E376" s="4"/>
      <c r="F376" s="4"/>
      <c r="G376" s="4"/>
      <c r="H376" s="4"/>
      <c r="I376" s="4"/>
      <c r="J376" s="4"/>
      <c r="K376" s="4"/>
      <c r="L376" s="4"/>
      <c r="M376" s="4"/>
      <c r="N376" s="4"/>
      <c r="O376" s="4"/>
      <c r="P376" s="4"/>
      <c r="Q376" s="4"/>
      <c r="R376" s="4"/>
      <c r="S376" s="4"/>
      <c r="T376" s="4"/>
      <c r="U376" s="4"/>
      <c r="V376" s="4"/>
      <c r="W376" s="4"/>
      <c r="X376" s="4"/>
      <c r="Y376" s="4"/>
    </row>
    <row r="377" spans="1:25" x14ac:dyDescent="0.2">
      <c r="A377" s="41"/>
      <c r="B377" s="5"/>
      <c r="C377" s="4"/>
      <c r="D377" s="4"/>
      <c r="E377" s="4"/>
      <c r="F377" s="4"/>
      <c r="G377" s="4"/>
      <c r="H377" s="4"/>
      <c r="I377" s="4"/>
      <c r="J377" s="4"/>
      <c r="K377" s="4"/>
      <c r="L377" s="4"/>
      <c r="M377" s="4"/>
      <c r="N377" s="4"/>
      <c r="O377" s="4"/>
      <c r="P377" s="4"/>
      <c r="Q377" s="4"/>
      <c r="R377" s="4"/>
      <c r="S377" s="4"/>
      <c r="T377" s="4"/>
      <c r="U377" s="4"/>
      <c r="V377" s="4"/>
      <c r="W377" s="4"/>
      <c r="X377" s="4"/>
      <c r="Y377" s="4"/>
    </row>
    <row r="378" spans="1:25" x14ac:dyDescent="0.2">
      <c r="A378" s="41"/>
      <c r="B378" s="5"/>
      <c r="C378" s="4"/>
      <c r="D378" s="4"/>
      <c r="E378" s="4"/>
      <c r="F378" s="4"/>
      <c r="G378" s="4"/>
      <c r="H378" s="4"/>
      <c r="I378" s="4"/>
      <c r="J378" s="4"/>
      <c r="K378" s="4"/>
      <c r="L378" s="4"/>
      <c r="M378" s="4"/>
      <c r="N378" s="4"/>
      <c r="O378" s="4"/>
      <c r="P378" s="4"/>
      <c r="Q378" s="4"/>
      <c r="R378" s="4"/>
      <c r="S378" s="4"/>
      <c r="T378" s="4"/>
      <c r="U378" s="4"/>
      <c r="V378" s="4"/>
      <c r="W378" s="4"/>
      <c r="X378" s="4"/>
      <c r="Y378" s="4"/>
    </row>
    <row r="379" spans="1:25" x14ac:dyDescent="0.2">
      <c r="A379" s="41"/>
      <c r="B379" s="5"/>
      <c r="C379" s="4"/>
      <c r="D379" s="4"/>
      <c r="E379" s="4"/>
      <c r="F379" s="4"/>
      <c r="G379" s="4"/>
      <c r="H379" s="4"/>
      <c r="I379" s="4"/>
      <c r="J379" s="4"/>
      <c r="K379" s="4"/>
      <c r="L379" s="4"/>
      <c r="M379" s="4"/>
      <c r="N379" s="4"/>
      <c r="O379" s="4"/>
      <c r="P379" s="4"/>
      <c r="Q379" s="4"/>
      <c r="R379" s="4"/>
      <c r="S379" s="4"/>
      <c r="T379" s="4"/>
      <c r="U379" s="4"/>
      <c r="V379" s="4"/>
      <c r="W379" s="4"/>
      <c r="X379" s="4"/>
      <c r="Y379" s="4"/>
    </row>
    <row r="380" spans="1:25" x14ac:dyDescent="0.2">
      <c r="A380" s="41"/>
      <c r="B380" s="5"/>
      <c r="C380" s="4"/>
      <c r="D380" s="4"/>
      <c r="E380" s="4"/>
      <c r="F380" s="4"/>
      <c r="G380" s="4"/>
      <c r="H380" s="4"/>
      <c r="I380" s="4"/>
      <c r="J380" s="4"/>
      <c r="K380" s="4"/>
      <c r="L380" s="4"/>
      <c r="M380" s="4"/>
      <c r="N380" s="4"/>
      <c r="O380" s="4"/>
      <c r="P380" s="4"/>
      <c r="Q380" s="4"/>
      <c r="R380" s="4"/>
      <c r="S380" s="4"/>
      <c r="T380" s="4"/>
      <c r="U380" s="4"/>
      <c r="V380" s="4"/>
      <c r="W380" s="4"/>
      <c r="X380" s="4"/>
      <c r="Y380" s="4"/>
    </row>
    <row r="381" spans="1:25" x14ac:dyDescent="0.2">
      <c r="A381" s="41"/>
      <c r="B381" s="5"/>
      <c r="C381" s="4"/>
      <c r="D381" s="4"/>
      <c r="E381" s="4"/>
      <c r="F381" s="4"/>
      <c r="G381" s="4"/>
      <c r="H381" s="4"/>
      <c r="I381" s="4"/>
      <c r="J381" s="4"/>
      <c r="K381" s="4"/>
      <c r="L381" s="4"/>
      <c r="M381" s="4"/>
      <c r="N381" s="4"/>
      <c r="O381" s="4"/>
      <c r="P381" s="4"/>
      <c r="Q381" s="4"/>
      <c r="R381" s="4"/>
      <c r="S381" s="4"/>
      <c r="T381" s="4"/>
      <c r="U381" s="4"/>
      <c r="V381" s="4"/>
      <c r="W381" s="4"/>
      <c r="X381" s="4"/>
      <c r="Y381" s="4"/>
    </row>
    <row r="382" spans="1:25" x14ac:dyDescent="0.2">
      <c r="A382" s="41"/>
      <c r="B382" s="5"/>
      <c r="C382" s="4"/>
      <c r="D382" s="4"/>
      <c r="E382" s="4"/>
      <c r="F382" s="4"/>
      <c r="G382" s="4"/>
      <c r="H382" s="4"/>
      <c r="I382" s="4"/>
      <c r="J382" s="4"/>
      <c r="K382" s="4"/>
      <c r="L382" s="4"/>
      <c r="M382" s="4"/>
      <c r="N382" s="4"/>
      <c r="O382" s="4"/>
      <c r="P382" s="4"/>
      <c r="Q382" s="4"/>
      <c r="R382" s="4"/>
      <c r="S382" s="4"/>
      <c r="T382" s="4"/>
      <c r="U382" s="4"/>
      <c r="V382" s="4"/>
      <c r="W382" s="4"/>
      <c r="X382" s="4"/>
      <c r="Y382" s="4"/>
    </row>
    <row r="383" spans="1:25" x14ac:dyDescent="0.2">
      <c r="A383" s="41"/>
      <c r="B383" s="5"/>
      <c r="C383" s="4"/>
      <c r="D383" s="4"/>
      <c r="E383" s="4"/>
      <c r="F383" s="4"/>
      <c r="G383" s="4"/>
      <c r="H383" s="4"/>
      <c r="I383" s="4"/>
      <c r="J383" s="4"/>
      <c r="K383" s="4"/>
      <c r="L383" s="4"/>
      <c r="M383" s="4"/>
      <c r="N383" s="4"/>
      <c r="O383" s="4"/>
      <c r="P383" s="4"/>
      <c r="Q383" s="4"/>
      <c r="R383" s="4"/>
      <c r="S383" s="4"/>
      <c r="T383" s="4"/>
      <c r="U383" s="4"/>
      <c r="V383" s="4"/>
      <c r="W383" s="4"/>
      <c r="X383" s="4"/>
      <c r="Y383" s="4"/>
    </row>
    <row r="384" spans="1:25" x14ac:dyDescent="0.2">
      <c r="A384" s="41"/>
      <c r="B384" s="5"/>
      <c r="C384" s="4"/>
      <c r="D384" s="4"/>
      <c r="E384" s="4"/>
      <c r="F384" s="4"/>
      <c r="G384" s="4"/>
      <c r="H384" s="4"/>
      <c r="I384" s="4"/>
      <c r="J384" s="4"/>
      <c r="K384" s="4"/>
      <c r="L384" s="4"/>
      <c r="M384" s="4"/>
      <c r="N384" s="4"/>
      <c r="O384" s="4"/>
      <c r="P384" s="4"/>
      <c r="Q384" s="4"/>
      <c r="R384" s="4"/>
      <c r="S384" s="4"/>
      <c r="T384" s="4"/>
      <c r="U384" s="4"/>
      <c r="V384" s="4"/>
      <c r="W384" s="4"/>
      <c r="X384" s="4"/>
      <c r="Y384" s="4"/>
    </row>
    <row r="385" spans="1:25" x14ac:dyDescent="0.2">
      <c r="A385" s="41"/>
      <c r="B385" s="5"/>
      <c r="C385" s="4"/>
      <c r="D385" s="4"/>
      <c r="E385" s="4"/>
      <c r="F385" s="4"/>
      <c r="G385" s="4"/>
      <c r="H385" s="4"/>
      <c r="I385" s="4"/>
      <c r="J385" s="4"/>
      <c r="K385" s="4"/>
      <c r="L385" s="4"/>
      <c r="M385" s="4"/>
      <c r="N385" s="4"/>
      <c r="O385" s="4"/>
      <c r="P385" s="4"/>
      <c r="Q385" s="4"/>
      <c r="R385" s="4"/>
      <c r="S385" s="4"/>
      <c r="T385" s="4"/>
      <c r="U385" s="4"/>
      <c r="V385" s="4"/>
      <c r="W385" s="4"/>
      <c r="X385" s="4"/>
      <c r="Y385" s="4"/>
    </row>
    <row r="386" spans="1:25" x14ac:dyDescent="0.2">
      <c r="A386" s="41"/>
      <c r="B386" s="5"/>
      <c r="C386" s="4"/>
      <c r="D386" s="4"/>
      <c r="E386" s="4"/>
      <c r="F386" s="4"/>
      <c r="G386" s="4"/>
      <c r="H386" s="4"/>
      <c r="I386" s="4"/>
      <c r="J386" s="4"/>
      <c r="K386" s="4"/>
      <c r="L386" s="4"/>
      <c r="M386" s="4"/>
      <c r="N386" s="4"/>
      <c r="O386" s="4"/>
      <c r="P386" s="4"/>
      <c r="Q386" s="4"/>
      <c r="R386" s="4"/>
      <c r="S386" s="4"/>
      <c r="T386" s="4"/>
      <c r="U386" s="4"/>
      <c r="V386" s="4"/>
      <c r="W386" s="4"/>
      <c r="X386" s="4"/>
      <c r="Y386" s="4"/>
    </row>
    <row r="387" spans="1:25" x14ac:dyDescent="0.2">
      <c r="A387" s="41"/>
      <c r="B387" s="5"/>
      <c r="C387" s="4"/>
      <c r="D387" s="4"/>
      <c r="E387" s="4"/>
      <c r="F387" s="4"/>
      <c r="G387" s="4"/>
      <c r="H387" s="4"/>
      <c r="I387" s="4"/>
      <c r="J387" s="4"/>
      <c r="K387" s="4"/>
      <c r="L387" s="4"/>
      <c r="M387" s="4"/>
      <c r="N387" s="4"/>
      <c r="O387" s="4"/>
      <c r="P387" s="4"/>
      <c r="Q387" s="4"/>
      <c r="R387" s="4"/>
      <c r="S387" s="4"/>
      <c r="T387" s="4"/>
      <c r="U387" s="4"/>
      <c r="V387" s="4"/>
      <c r="W387" s="4"/>
      <c r="X387" s="4"/>
      <c r="Y387" s="4"/>
    </row>
    <row r="388" spans="1:25" x14ac:dyDescent="0.2">
      <c r="A388" s="41"/>
      <c r="B388" s="5"/>
      <c r="C388" s="4"/>
      <c r="D388" s="4"/>
      <c r="E388" s="4"/>
      <c r="F388" s="4"/>
      <c r="G388" s="4"/>
      <c r="H388" s="4"/>
      <c r="I388" s="4"/>
      <c r="J388" s="4"/>
      <c r="K388" s="4"/>
      <c r="L388" s="4"/>
      <c r="M388" s="4"/>
      <c r="N388" s="4"/>
      <c r="O388" s="4"/>
      <c r="P388" s="4"/>
      <c r="Q388" s="4"/>
      <c r="R388" s="4"/>
      <c r="S388" s="4"/>
      <c r="T388" s="4"/>
      <c r="U388" s="4"/>
      <c r="V388" s="4"/>
      <c r="W388" s="4"/>
      <c r="X388" s="4"/>
      <c r="Y388" s="4"/>
    </row>
    <row r="389" spans="1:25" x14ac:dyDescent="0.2">
      <c r="A389" s="41"/>
      <c r="B389" s="5"/>
      <c r="C389" s="4"/>
      <c r="D389" s="4"/>
      <c r="E389" s="4"/>
      <c r="F389" s="4"/>
      <c r="G389" s="4"/>
      <c r="H389" s="4"/>
      <c r="I389" s="4"/>
      <c r="J389" s="4"/>
      <c r="K389" s="4"/>
      <c r="L389" s="4"/>
      <c r="M389" s="4"/>
      <c r="N389" s="4"/>
      <c r="O389" s="4"/>
      <c r="P389" s="4"/>
      <c r="Q389" s="4"/>
      <c r="R389" s="4"/>
      <c r="S389" s="4"/>
      <c r="T389" s="4"/>
      <c r="U389" s="4"/>
      <c r="V389" s="4"/>
      <c r="W389" s="4"/>
      <c r="X389" s="4"/>
      <c r="Y389" s="4"/>
    </row>
    <row r="390" spans="1:25" x14ac:dyDescent="0.2">
      <c r="A390" s="41"/>
      <c r="B390" s="5"/>
      <c r="C390" s="4"/>
      <c r="D390" s="4"/>
      <c r="E390" s="4"/>
      <c r="F390" s="4"/>
      <c r="G390" s="4"/>
      <c r="H390" s="4"/>
      <c r="I390" s="4"/>
      <c r="J390" s="4"/>
      <c r="K390" s="4"/>
      <c r="L390" s="4"/>
      <c r="M390" s="4"/>
      <c r="N390" s="4"/>
      <c r="O390" s="4"/>
      <c r="P390" s="4"/>
      <c r="Q390" s="4"/>
      <c r="R390" s="4"/>
      <c r="S390" s="4"/>
      <c r="T390" s="4"/>
      <c r="U390" s="4"/>
      <c r="V390" s="4"/>
      <c r="W390" s="4"/>
      <c r="X390" s="4"/>
      <c r="Y390" s="4"/>
    </row>
    <row r="391" spans="1:25" x14ac:dyDescent="0.2">
      <c r="A391" s="41"/>
      <c r="B391" s="5"/>
      <c r="C391" s="4"/>
      <c r="D391" s="4"/>
      <c r="E391" s="4"/>
      <c r="F391" s="4"/>
      <c r="G391" s="4"/>
      <c r="H391" s="4"/>
      <c r="I391" s="4"/>
      <c r="J391" s="4"/>
      <c r="K391" s="4"/>
      <c r="L391" s="4"/>
      <c r="M391" s="4"/>
      <c r="N391" s="4"/>
      <c r="O391" s="4"/>
      <c r="P391" s="4"/>
      <c r="Q391" s="4"/>
      <c r="R391" s="4"/>
      <c r="S391" s="4"/>
      <c r="T391" s="4"/>
      <c r="U391" s="4"/>
      <c r="V391" s="4"/>
      <c r="W391" s="4"/>
      <c r="X391" s="4"/>
      <c r="Y391" s="4"/>
    </row>
    <row r="392" spans="1:25" x14ac:dyDescent="0.2">
      <c r="A392" s="41"/>
      <c r="B392" s="5"/>
      <c r="C392" s="4"/>
      <c r="D392" s="4"/>
      <c r="E392" s="4"/>
      <c r="F392" s="4"/>
      <c r="G392" s="4"/>
      <c r="H392" s="4"/>
      <c r="I392" s="4"/>
      <c r="J392" s="4"/>
      <c r="K392" s="4"/>
      <c r="L392" s="4"/>
      <c r="M392" s="4"/>
      <c r="N392" s="4"/>
      <c r="O392" s="4"/>
      <c r="P392" s="4"/>
      <c r="Q392" s="4"/>
      <c r="R392" s="4"/>
      <c r="S392" s="4"/>
      <c r="T392" s="4"/>
      <c r="U392" s="4"/>
      <c r="V392" s="4"/>
      <c r="W392" s="4"/>
      <c r="X392" s="4"/>
      <c r="Y392" s="4"/>
    </row>
    <row r="393" spans="1:25" x14ac:dyDescent="0.2">
      <c r="A393" s="41"/>
      <c r="B393" s="5"/>
      <c r="C393" s="4"/>
      <c r="D393" s="4"/>
      <c r="E393" s="4"/>
      <c r="F393" s="4"/>
      <c r="G393" s="4"/>
      <c r="H393" s="4"/>
      <c r="I393" s="4"/>
      <c r="J393" s="4"/>
      <c r="K393" s="4"/>
      <c r="L393" s="4"/>
      <c r="M393" s="4"/>
      <c r="N393" s="4"/>
      <c r="O393" s="4"/>
      <c r="P393" s="4"/>
      <c r="Q393" s="4"/>
      <c r="R393" s="4"/>
      <c r="S393" s="4"/>
      <c r="T393" s="4"/>
      <c r="U393" s="4"/>
      <c r="V393" s="4"/>
      <c r="W393" s="4"/>
      <c r="X393" s="4"/>
      <c r="Y393" s="4"/>
    </row>
    <row r="394" spans="1:25" x14ac:dyDescent="0.2">
      <c r="A394" s="41"/>
      <c r="B394" s="5"/>
      <c r="C394" s="4"/>
      <c r="D394" s="4"/>
      <c r="E394" s="4"/>
      <c r="F394" s="4"/>
      <c r="G394" s="4"/>
      <c r="H394" s="4"/>
      <c r="I394" s="4"/>
      <c r="J394" s="4"/>
      <c r="K394" s="4"/>
      <c r="L394" s="4"/>
      <c r="M394" s="4"/>
      <c r="N394" s="4"/>
      <c r="O394" s="4"/>
      <c r="P394" s="4"/>
      <c r="Q394" s="4"/>
      <c r="R394" s="4"/>
      <c r="S394" s="4"/>
      <c r="T394" s="4"/>
      <c r="U394" s="4"/>
      <c r="V394" s="4"/>
      <c r="W394" s="4"/>
      <c r="X394" s="4"/>
      <c r="Y394" s="4"/>
    </row>
    <row r="395" spans="1:25" x14ac:dyDescent="0.2">
      <c r="A395" s="41"/>
      <c r="B395" s="5"/>
      <c r="C395" s="4"/>
      <c r="D395" s="4"/>
      <c r="E395" s="4"/>
      <c r="F395" s="4"/>
      <c r="G395" s="4"/>
      <c r="H395" s="4"/>
      <c r="I395" s="4"/>
      <c r="J395" s="4"/>
      <c r="K395" s="4"/>
      <c r="L395" s="4"/>
      <c r="M395" s="4"/>
      <c r="N395" s="4"/>
      <c r="O395" s="4"/>
      <c r="P395" s="4"/>
      <c r="Q395" s="4"/>
      <c r="R395" s="4"/>
      <c r="S395" s="4"/>
      <c r="T395" s="4"/>
      <c r="U395" s="4"/>
      <c r="V395" s="4"/>
      <c r="W395" s="4"/>
      <c r="X395" s="4"/>
      <c r="Y395" s="4"/>
    </row>
    <row r="396" spans="1:25" x14ac:dyDescent="0.2">
      <c r="A396" s="41"/>
      <c r="B396" s="5"/>
      <c r="C396" s="4"/>
      <c r="D396" s="4"/>
      <c r="E396" s="4"/>
      <c r="F396" s="4"/>
      <c r="G396" s="4"/>
      <c r="H396" s="4"/>
      <c r="I396" s="4"/>
      <c r="J396" s="4"/>
      <c r="K396" s="4"/>
      <c r="L396" s="4"/>
      <c r="M396" s="4"/>
      <c r="N396" s="4"/>
      <c r="O396" s="4"/>
      <c r="P396" s="4"/>
      <c r="Q396" s="4"/>
      <c r="R396" s="4"/>
      <c r="S396" s="4"/>
      <c r="T396" s="4"/>
      <c r="U396" s="4"/>
      <c r="V396" s="4"/>
      <c r="W396" s="4"/>
      <c r="X396" s="4"/>
      <c r="Y396" s="4"/>
    </row>
    <row r="397" spans="1:25" x14ac:dyDescent="0.2">
      <c r="A397" s="41"/>
      <c r="B397" s="5"/>
      <c r="C397" s="4"/>
      <c r="D397" s="4"/>
      <c r="E397" s="4"/>
      <c r="F397" s="4"/>
      <c r="G397" s="4"/>
      <c r="H397" s="4"/>
      <c r="I397" s="4"/>
      <c r="J397" s="4"/>
      <c r="K397" s="4"/>
      <c r="L397" s="4"/>
      <c r="M397" s="4"/>
      <c r="N397" s="4"/>
      <c r="O397" s="4"/>
      <c r="P397" s="4"/>
      <c r="Q397" s="4"/>
      <c r="R397" s="4"/>
      <c r="S397" s="4"/>
      <c r="T397" s="4"/>
      <c r="U397" s="4"/>
      <c r="V397" s="4"/>
      <c r="W397" s="4"/>
      <c r="X397" s="4"/>
      <c r="Y397" s="4"/>
    </row>
    <row r="398" spans="1:25" x14ac:dyDescent="0.2">
      <c r="A398" s="41"/>
      <c r="B398" s="5"/>
      <c r="C398" s="4"/>
      <c r="D398" s="4"/>
      <c r="E398" s="4"/>
      <c r="F398" s="4"/>
      <c r="G398" s="4"/>
      <c r="H398" s="4"/>
      <c r="I398" s="4"/>
      <c r="J398" s="4"/>
      <c r="K398" s="4"/>
      <c r="L398" s="4"/>
      <c r="M398" s="4"/>
      <c r="N398" s="4"/>
      <c r="O398" s="4"/>
      <c r="P398" s="4"/>
      <c r="Q398" s="4"/>
      <c r="R398" s="4"/>
      <c r="S398" s="4"/>
      <c r="T398" s="4"/>
      <c r="U398" s="4"/>
      <c r="V398" s="4"/>
      <c r="W398" s="4"/>
      <c r="X398" s="4"/>
      <c r="Y398" s="4"/>
    </row>
    <row r="399" spans="1:25" x14ac:dyDescent="0.2">
      <c r="A399" s="41"/>
      <c r="B399" s="5"/>
      <c r="C399" s="4"/>
      <c r="D399" s="4"/>
      <c r="E399" s="4"/>
      <c r="F399" s="4"/>
      <c r="G399" s="4"/>
      <c r="H399" s="4"/>
      <c r="I399" s="4"/>
      <c r="J399" s="4"/>
      <c r="K399" s="4"/>
      <c r="L399" s="4"/>
      <c r="M399" s="4"/>
      <c r="N399" s="4"/>
      <c r="O399" s="4"/>
      <c r="P399" s="4"/>
      <c r="Q399" s="4"/>
      <c r="R399" s="4"/>
      <c r="S399" s="4"/>
      <c r="T399" s="4"/>
      <c r="U399" s="4"/>
      <c r="V399" s="4"/>
      <c r="W399" s="4"/>
      <c r="X399" s="4"/>
      <c r="Y399" s="4"/>
    </row>
    <row r="400" spans="1:25" x14ac:dyDescent="0.2">
      <c r="A400" s="41"/>
      <c r="B400" s="5"/>
      <c r="C400" s="4"/>
      <c r="D400" s="4"/>
      <c r="E400" s="4"/>
      <c r="F400" s="4"/>
      <c r="G400" s="4"/>
      <c r="H400" s="4"/>
      <c r="I400" s="4"/>
      <c r="J400" s="4"/>
      <c r="K400" s="4"/>
      <c r="L400" s="4"/>
      <c r="M400" s="4"/>
      <c r="N400" s="4"/>
      <c r="O400" s="4"/>
      <c r="P400" s="4"/>
      <c r="Q400" s="4"/>
      <c r="R400" s="4"/>
      <c r="S400" s="4"/>
      <c r="T400" s="4"/>
      <c r="U400" s="4"/>
      <c r="V400" s="4"/>
      <c r="W400" s="4"/>
      <c r="X400" s="4"/>
      <c r="Y400" s="4"/>
    </row>
    <row r="401" spans="1:25" x14ac:dyDescent="0.2">
      <c r="A401" s="41"/>
      <c r="B401" s="5"/>
      <c r="C401" s="4"/>
      <c r="D401" s="4"/>
      <c r="E401" s="4"/>
      <c r="F401" s="4"/>
      <c r="G401" s="4"/>
      <c r="H401" s="4"/>
      <c r="I401" s="4"/>
      <c r="J401" s="4"/>
      <c r="K401" s="4"/>
      <c r="L401" s="4"/>
      <c r="M401" s="4"/>
      <c r="N401" s="4"/>
      <c r="O401" s="4"/>
      <c r="P401" s="4"/>
      <c r="Q401" s="4"/>
      <c r="R401" s="4"/>
      <c r="S401" s="4"/>
      <c r="T401" s="4"/>
      <c r="U401" s="4"/>
      <c r="V401" s="4"/>
      <c r="W401" s="4"/>
      <c r="X401" s="4"/>
      <c r="Y401" s="4"/>
    </row>
    <row r="402" spans="1:25" x14ac:dyDescent="0.2">
      <c r="A402" s="41"/>
      <c r="B402" s="5"/>
      <c r="C402" s="4"/>
      <c r="D402" s="4"/>
      <c r="E402" s="4"/>
      <c r="F402" s="4"/>
      <c r="G402" s="4"/>
      <c r="H402" s="4"/>
      <c r="I402" s="4"/>
      <c r="J402" s="4"/>
      <c r="K402" s="4"/>
      <c r="L402" s="4"/>
      <c r="M402" s="4"/>
      <c r="N402" s="4"/>
      <c r="O402" s="4"/>
      <c r="P402" s="4"/>
      <c r="Q402" s="4"/>
      <c r="R402" s="4"/>
      <c r="S402" s="4"/>
      <c r="T402" s="4"/>
      <c r="U402" s="4"/>
      <c r="V402" s="4"/>
      <c r="W402" s="4"/>
      <c r="X402" s="4"/>
      <c r="Y402" s="4"/>
    </row>
    <row r="403" spans="1:25" x14ac:dyDescent="0.2">
      <c r="A403" s="41"/>
      <c r="B403" s="5"/>
      <c r="C403" s="4"/>
      <c r="D403" s="4"/>
      <c r="E403" s="4"/>
      <c r="F403" s="4"/>
      <c r="G403" s="4"/>
      <c r="H403" s="4"/>
      <c r="I403" s="4"/>
      <c r="J403" s="4"/>
      <c r="K403" s="4"/>
      <c r="L403" s="4"/>
      <c r="M403" s="4"/>
      <c r="N403" s="4"/>
      <c r="O403" s="4"/>
      <c r="P403" s="4"/>
      <c r="Q403" s="4"/>
      <c r="R403" s="4"/>
      <c r="S403" s="4"/>
      <c r="T403" s="4"/>
      <c r="U403" s="4"/>
      <c r="V403" s="4"/>
      <c r="W403" s="4"/>
      <c r="X403" s="4"/>
      <c r="Y403" s="4"/>
    </row>
    <row r="404" spans="1:25" x14ac:dyDescent="0.2">
      <c r="A404" s="41"/>
      <c r="B404" s="5"/>
      <c r="C404" s="4"/>
      <c r="D404" s="4"/>
      <c r="E404" s="4"/>
      <c r="F404" s="4"/>
      <c r="G404" s="4"/>
      <c r="H404" s="4"/>
      <c r="I404" s="4"/>
      <c r="J404" s="4"/>
      <c r="K404" s="4"/>
      <c r="L404" s="4"/>
      <c r="M404" s="4"/>
      <c r="N404" s="4"/>
      <c r="O404" s="4"/>
      <c r="P404" s="4"/>
      <c r="Q404" s="4"/>
      <c r="R404" s="4"/>
      <c r="S404" s="4"/>
      <c r="T404" s="4"/>
      <c r="U404" s="4"/>
      <c r="V404" s="4"/>
      <c r="W404" s="4"/>
      <c r="X404" s="4"/>
      <c r="Y404" s="4"/>
    </row>
    <row r="405" spans="1:25" x14ac:dyDescent="0.2">
      <c r="A405" s="41"/>
      <c r="B405" s="5"/>
      <c r="C405" s="4"/>
      <c r="D405" s="4"/>
      <c r="E405" s="4"/>
      <c r="F405" s="4"/>
      <c r="G405" s="4"/>
      <c r="H405" s="4"/>
      <c r="I405" s="4"/>
      <c r="J405" s="4"/>
      <c r="K405" s="4"/>
      <c r="L405" s="4"/>
      <c r="M405" s="4"/>
      <c r="N405" s="4"/>
      <c r="O405" s="4"/>
      <c r="P405" s="4"/>
      <c r="Q405" s="4"/>
      <c r="R405" s="4"/>
      <c r="S405" s="4"/>
      <c r="T405" s="4"/>
      <c r="U405" s="4"/>
      <c r="V405" s="4"/>
      <c r="W405" s="4"/>
      <c r="X405" s="4"/>
      <c r="Y405" s="4"/>
    </row>
    <row r="406" spans="1:25" x14ac:dyDescent="0.2">
      <c r="A406" s="41"/>
      <c r="B406" s="5"/>
      <c r="C406" s="4"/>
      <c r="D406" s="4"/>
      <c r="E406" s="4"/>
      <c r="F406" s="4"/>
      <c r="G406" s="4"/>
      <c r="H406" s="4"/>
      <c r="I406" s="4"/>
      <c r="J406" s="4"/>
      <c r="K406" s="4"/>
      <c r="L406" s="4"/>
      <c r="M406" s="4"/>
      <c r="N406" s="4"/>
      <c r="O406" s="4"/>
      <c r="P406" s="4"/>
      <c r="Q406" s="4"/>
      <c r="R406" s="4"/>
      <c r="S406" s="4"/>
      <c r="T406" s="4"/>
      <c r="U406" s="4"/>
      <c r="V406" s="4"/>
      <c r="W406" s="4"/>
      <c r="X406" s="4"/>
      <c r="Y406" s="4"/>
    </row>
    <row r="407" spans="1:25" x14ac:dyDescent="0.2">
      <c r="A407" s="41"/>
      <c r="B407" s="5"/>
      <c r="C407" s="4"/>
      <c r="D407" s="4"/>
      <c r="E407" s="4"/>
      <c r="F407" s="4"/>
      <c r="G407" s="4"/>
      <c r="H407" s="4"/>
      <c r="I407" s="4"/>
      <c r="J407" s="4"/>
      <c r="K407" s="4"/>
      <c r="L407" s="4"/>
      <c r="M407" s="4"/>
      <c r="N407" s="4"/>
      <c r="O407" s="4"/>
      <c r="P407" s="4"/>
      <c r="Q407" s="4"/>
      <c r="R407" s="4"/>
      <c r="S407" s="4"/>
      <c r="T407" s="4"/>
      <c r="U407" s="4"/>
      <c r="V407" s="4"/>
      <c r="W407" s="4"/>
      <c r="X407" s="4"/>
      <c r="Y407" s="4"/>
    </row>
    <row r="408" spans="1:25" x14ac:dyDescent="0.2">
      <c r="A408" s="41"/>
      <c r="B408" s="5"/>
      <c r="C408" s="4"/>
      <c r="D408" s="4"/>
      <c r="E408" s="4"/>
      <c r="F408" s="4"/>
      <c r="G408" s="4"/>
      <c r="H408" s="4"/>
      <c r="I408" s="4"/>
      <c r="J408" s="4"/>
      <c r="K408" s="4"/>
      <c r="L408" s="4"/>
      <c r="M408" s="4"/>
      <c r="N408" s="4"/>
      <c r="O408" s="4"/>
      <c r="P408" s="4"/>
      <c r="Q408" s="4"/>
      <c r="R408" s="4"/>
      <c r="S408" s="4"/>
      <c r="T408" s="4"/>
      <c r="U408" s="4"/>
      <c r="V408" s="4"/>
      <c r="W408" s="4"/>
      <c r="X408" s="4"/>
      <c r="Y408" s="4"/>
    </row>
    <row r="409" spans="1:25" x14ac:dyDescent="0.2">
      <c r="A409" s="41"/>
      <c r="B409" s="5"/>
      <c r="C409" s="4"/>
      <c r="D409" s="4"/>
      <c r="E409" s="4"/>
      <c r="F409" s="4"/>
      <c r="G409" s="4"/>
      <c r="H409" s="4"/>
      <c r="I409" s="4"/>
      <c r="J409" s="4"/>
      <c r="K409" s="4"/>
      <c r="L409" s="4"/>
      <c r="M409" s="4"/>
      <c r="N409" s="4"/>
      <c r="O409" s="4"/>
      <c r="P409" s="4"/>
      <c r="Q409" s="4"/>
      <c r="R409" s="4"/>
      <c r="S409" s="4"/>
      <c r="T409" s="4"/>
      <c r="U409" s="4"/>
      <c r="V409" s="4"/>
      <c r="W409" s="4"/>
      <c r="X409" s="4"/>
      <c r="Y409" s="4"/>
    </row>
    <row r="410" spans="1:25" x14ac:dyDescent="0.2">
      <c r="A410" s="41"/>
      <c r="B410" s="5"/>
      <c r="C410" s="4"/>
      <c r="D410" s="4"/>
      <c r="E410" s="4"/>
      <c r="F410" s="4"/>
      <c r="G410" s="4"/>
      <c r="H410" s="4"/>
      <c r="I410" s="4"/>
      <c r="J410" s="4"/>
      <c r="K410" s="4"/>
      <c r="L410" s="4"/>
      <c r="M410" s="4"/>
      <c r="N410" s="4"/>
      <c r="O410" s="4"/>
      <c r="P410" s="4"/>
      <c r="Q410" s="4"/>
      <c r="R410" s="4"/>
      <c r="S410" s="4"/>
      <c r="T410" s="4"/>
      <c r="U410" s="4"/>
      <c r="V410" s="4"/>
      <c r="W410" s="4"/>
      <c r="X410" s="4"/>
      <c r="Y410" s="4"/>
    </row>
    <row r="411" spans="1:25" x14ac:dyDescent="0.2">
      <c r="A411" s="41"/>
      <c r="B411" s="5"/>
      <c r="C411" s="4"/>
      <c r="D411" s="4"/>
      <c r="E411" s="4"/>
      <c r="F411" s="4"/>
      <c r="G411" s="4"/>
      <c r="H411" s="4"/>
      <c r="I411" s="4"/>
      <c r="J411" s="4"/>
      <c r="K411" s="4"/>
      <c r="L411" s="4"/>
      <c r="M411" s="4"/>
      <c r="N411" s="4"/>
      <c r="O411" s="4"/>
      <c r="P411" s="4"/>
      <c r="Q411" s="4"/>
      <c r="R411" s="4"/>
      <c r="S411" s="4"/>
      <c r="T411" s="4"/>
      <c r="U411" s="4"/>
      <c r="V411" s="4"/>
      <c r="W411" s="4"/>
      <c r="X411" s="4"/>
      <c r="Y411" s="4"/>
    </row>
    <row r="412" spans="1:25" x14ac:dyDescent="0.2">
      <c r="A412" s="41"/>
      <c r="B412" s="5"/>
      <c r="C412" s="4"/>
      <c r="D412" s="4"/>
      <c r="E412" s="4"/>
      <c r="F412" s="4"/>
      <c r="G412" s="4"/>
      <c r="H412" s="4"/>
      <c r="I412" s="4"/>
      <c r="J412" s="4"/>
      <c r="K412" s="4"/>
      <c r="L412" s="4"/>
      <c r="M412" s="4"/>
      <c r="N412" s="4"/>
      <c r="O412" s="4"/>
      <c r="P412" s="4"/>
      <c r="Q412" s="4"/>
      <c r="R412" s="4"/>
      <c r="S412" s="4"/>
      <c r="T412" s="4"/>
      <c r="U412" s="4"/>
      <c r="V412" s="4"/>
      <c r="W412" s="4"/>
      <c r="X412" s="4"/>
      <c r="Y412" s="4"/>
    </row>
    <row r="413" spans="1:25" x14ac:dyDescent="0.2">
      <c r="A413" s="41"/>
      <c r="B413" s="5"/>
      <c r="C413" s="4"/>
      <c r="D413" s="4"/>
      <c r="E413" s="4"/>
      <c r="F413" s="4"/>
      <c r="G413" s="4"/>
      <c r="H413" s="4"/>
      <c r="I413" s="4"/>
      <c r="J413" s="4"/>
      <c r="K413" s="4"/>
      <c r="L413" s="4"/>
      <c r="M413" s="4"/>
      <c r="N413" s="4"/>
      <c r="O413" s="4"/>
      <c r="P413" s="4"/>
      <c r="Q413" s="4"/>
      <c r="R413" s="4"/>
      <c r="S413" s="4"/>
      <c r="T413" s="4"/>
      <c r="U413" s="4"/>
      <c r="V413" s="4"/>
      <c r="W413" s="4"/>
      <c r="X413" s="4"/>
      <c r="Y413" s="4"/>
    </row>
    <row r="414" spans="1:25" x14ac:dyDescent="0.2">
      <c r="A414" s="41"/>
      <c r="B414" s="5"/>
      <c r="C414" s="4"/>
      <c r="D414" s="4"/>
      <c r="E414" s="4"/>
      <c r="F414" s="4"/>
      <c r="G414" s="4"/>
      <c r="H414" s="4"/>
      <c r="I414" s="4"/>
      <c r="J414" s="4"/>
      <c r="K414" s="4"/>
      <c r="L414" s="4"/>
      <c r="M414" s="4"/>
      <c r="N414" s="4"/>
      <c r="O414" s="4"/>
      <c r="P414" s="4"/>
      <c r="Q414" s="4"/>
      <c r="R414" s="4"/>
      <c r="S414" s="4"/>
      <c r="T414" s="4"/>
      <c r="U414" s="4"/>
      <c r="V414" s="4"/>
      <c r="W414" s="4"/>
      <c r="X414" s="4"/>
      <c r="Y414" s="4"/>
    </row>
    <row r="415" spans="1:25" x14ac:dyDescent="0.2">
      <c r="A415" s="41"/>
      <c r="B415" s="5"/>
      <c r="C415" s="4"/>
      <c r="D415" s="4"/>
      <c r="E415" s="4"/>
      <c r="F415" s="4"/>
      <c r="G415" s="4"/>
      <c r="H415" s="4"/>
      <c r="I415" s="4"/>
      <c r="J415" s="4"/>
      <c r="K415" s="4"/>
      <c r="L415" s="4"/>
      <c r="M415" s="4"/>
      <c r="N415" s="4"/>
      <c r="O415" s="4"/>
      <c r="P415" s="4"/>
      <c r="Q415" s="4"/>
      <c r="R415" s="4"/>
      <c r="S415" s="4"/>
      <c r="T415" s="4"/>
      <c r="U415" s="4"/>
      <c r="V415" s="4"/>
      <c r="W415" s="4"/>
      <c r="X415" s="4"/>
      <c r="Y415" s="4"/>
    </row>
    <row r="416" spans="1:25" x14ac:dyDescent="0.2">
      <c r="A416" s="41"/>
      <c r="B416" s="5"/>
      <c r="C416" s="4"/>
      <c r="D416" s="4"/>
      <c r="E416" s="4"/>
      <c r="F416" s="4"/>
      <c r="G416" s="4"/>
      <c r="H416" s="4"/>
      <c r="I416" s="4"/>
      <c r="J416" s="4"/>
      <c r="K416" s="4"/>
      <c r="L416" s="4"/>
      <c r="M416" s="4"/>
      <c r="N416" s="4"/>
      <c r="O416" s="4"/>
      <c r="P416" s="4"/>
      <c r="Q416" s="4"/>
      <c r="R416" s="4"/>
      <c r="S416" s="4"/>
      <c r="T416" s="4"/>
      <c r="U416" s="4"/>
      <c r="V416" s="4"/>
      <c r="W416" s="4"/>
      <c r="X416" s="4"/>
      <c r="Y416" s="4"/>
    </row>
    <row r="417" spans="1:25" x14ac:dyDescent="0.2">
      <c r="A417" s="41"/>
      <c r="B417" s="5"/>
      <c r="C417" s="4"/>
      <c r="D417" s="4"/>
      <c r="E417" s="4"/>
      <c r="F417" s="4"/>
      <c r="G417" s="4"/>
      <c r="H417" s="4"/>
      <c r="I417" s="4"/>
      <c r="J417" s="4"/>
      <c r="K417" s="4"/>
      <c r="L417" s="4"/>
      <c r="M417" s="4"/>
      <c r="N417" s="4"/>
      <c r="O417" s="4"/>
      <c r="P417" s="4"/>
      <c r="Q417" s="4"/>
      <c r="R417" s="4"/>
      <c r="S417" s="4"/>
      <c r="T417" s="4"/>
      <c r="U417" s="4"/>
      <c r="V417" s="4"/>
      <c r="W417" s="4"/>
      <c r="X417" s="4"/>
      <c r="Y417" s="4"/>
    </row>
    <row r="418" spans="1:25" x14ac:dyDescent="0.2">
      <c r="A418" s="41"/>
      <c r="B418" s="5"/>
      <c r="C418" s="4"/>
      <c r="D418" s="4"/>
      <c r="E418" s="4"/>
      <c r="F418" s="4"/>
      <c r="G418" s="4"/>
      <c r="H418" s="4"/>
      <c r="I418" s="4"/>
      <c r="J418" s="4"/>
      <c r="K418" s="4"/>
      <c r="L418" s="4"/>
      <c r="M418" s="4"/>
      <c r="N418" s="4"/>
      <c r="O418" s="4"/>
      <c r="P418" s="4"/>
      <c r="Q418" s="4"/>
      <c r="R418" s="4"/>
      <c r="S418" s="4"/>
      <c r="T418" s="4"/>
      <c r="U418" s="4"/>
      <c r="V418" s="4"/>
      <c r="W418" s="4"/>
      <c r="X418" s="4"/>
      <c r="Y418" s="4"/>
    </row>
    <row r="419" spans="1:25" x14ac:dyDescent="0.2">
      <c r="A419" s="41"/>
      <c r="B419" s="5"/>
      <c r="C419" s="4"/>
      <c r="D419" s="4"/>
      <c r="E419" s="4"/>
      <c r="F419" s="4"/>
      <c r="G419" s="4"/>
      <c r="H419" s="4"/>
      <c r="I419" s="4"/>
      <c r="J419" s="4"/>
      <c r="K419" s="4"/>
      <c r="L419" s="4"/>
      <c r="M419" s="4"/>
      <c r="N419" s="4"/>
      <c r="O419" s="4"/>
      <c r="P419" s="4"/>
      <c r="Q419" s="4"/>
      <c r="R419" s="4"/>
      <c r="S419" s="4"/>
      <c r="T419" s="4"/>
      <c r="U419" s="4"/>
      <c r="V419" s="4"/>
      <c r="W419" s="4"/>
      <c r="X419" s="4"/>
      <c r="Y419" s="4"/>
    </row>
    <row r="420" spans="1:25" x14ac:dyDescent="0.2">
      <c r="A420" s="41"/>
      <c r="B420" s="5"/>
      <c r="C420" s="4"/>
      <c r="D420" s="4"/>
      <c r="E420" s="4"/>
      <c r="F420" s="4"/>
      <c r="G420" s="4"/>
      <c r="H420" s="4"/>
      <c r="I420" s="4"/>
      <c r="J420" s="4"/>
      <c r="K420" s="4"/>
      <c r="L420" s="4"/>
      <c r="M420" s="4"/>
      <c r="N420" s="4"/>
      <c r="O420" s="4"/>
      <c r="P420" s="4"/>
      <c r="Q420" s="4"/>
      <c r="R420" s="4"/>
      <c r="S420" s="4"/>
      <c r="T420" s="4"/>
      <c r="U420" s="4"/>
      <c r="V420" s="4"/>
      <c r="W420" s="4"/>
      <c r="X420" s="4"/>
      <c r="Y420" s="4"/>
    </row>
    <row r="421" spans="1:25" x14ac:dyDescent="0.2">
      <c r="A421" s="41"/>
      <c r="B421" s="5"/>
      <c r="C421" s="4"/>
      <c r="D421" s="4"/>
      <c r="E421" s="4"/>
      <c r="F421" s="4"/>
      <c r="G421" s="4"/>
      <c r="H421" s="4"/>
      <c r="I421" s="4"/>
      <c r="J421" s="4"/>
      <c r="K421" s="4"/>
      <c r="L421" s="4"/>
      <c r="M421" s="4"/>
      <c r="N421" s="4"/>
      <c r="O421" s="4"/>
      <c r="P421" s="4"/>
      <c r="Q421" s="4"/>
      <c r="R421" s="4"/>
      <c r="S421" s="4"/>
      <c r="T421" s="4"/>
      <c r="U421" s="4"/>
      <c r="V421" s="4"/>
      <c r="W421" s="4"/>
      <c r="X421" s="4"/>
      <c r="Y421" s="4"/>
    </row>
    <row r="422" spans="1:25" x14ac:dyDescent="0.2">
      <c r="A422" s="41"/>
      <c r="B422" s="5"/>
      <c r="C422" s="4"/>
      <c r="D422" s="4"/>
      <c r="E422" s="4"/>
      <c r="F422" s="4"/>
      <c r="G422" s="4"/>
      <c r="H422" s="4"/>
      <c r="I422" s="4"/>
      <c r="J422" s="4"/>
      <c r="K422" s="4"/>
      <c r="L422" s="4"/>
      <c r="M422" s="4"/>
      <c r="N422" s="4"/>
      <c r="O422" s="4"/>
      <c r="P422" s="4"/>
      <c r="Q422" s="4"/>
      <c r="R422" s="4"/>
      <c r="S422" s="4"/>
      <c r="T422" s="4"/>
      <c r="U422" s="4"/>
      <c r="V422" s="4"/>
      <c r="W422" s="4"/>
      <c r="X422" s="4"/>
      <c r="Y422" s="4"/>
    </row>
    <row r="423" spans="1:25" x14ac:dyDescent="0.2">
      <c r="A423" s="41"/>
      <c r="B423" s="5"/>
      <c r="C423" s="4"/>
      <c r="D423" s="4"/>
      <c r="E423" s="4"/>
      <c r="F423" s="4"/>
      <c r="G423" s="4"/>
      <c r="H423" s="4"/>
      <c r="I423" s="4"/>
      <c r="J423" s="4"/>
      <c r="K423" s="4"/>
      <c r="L423" s="4"/>
      <c r="M423" s="4"/>
      <c r="N423" s="4"/>
      <c r="O423" s="4"/>
      <c r="P423" s="4"/>
      <c r="Q423" s="4"/>
      <c r="R423" s="4"/>
      <c r="S423" s="4"/>
      <c r="T423" s="4"/>
      <c r="U423" s="4"/>
      <c r="V423" s="4"/>
      <c r="W423" s="4"/>
      <c r="X423" s="4"/>
      <c r="Y423" s="4"/>
    </row>
    <row r="424" spans="1:25" x14ac:dyDescent="0.2">
      <c r="A424" s="41"/>
      <c r="B424" s="5"/>
      <c r="C424" s="4"/>
      <c r="D424" s="4"/>
      <c r="E424" s="4"/>
      <c r="F424" s="4"/>
      <c r="G424" s="4"/>
      <c r="H424" s="4"/>
      <c r="I424" s="4"/>
      <c r="J424" s="4"/>
      <c r="K424" s="4"/>
      <c r="L424" s="4"/>
      <c r="M424" s="4"/>
      <c r="N424" s="4"/>
      <c r="O424" s="4"/>
      <c r="P424" s="4"/>
      <c r="Q424" s="4"/>
      <c r="R424" s="4"/>
      <c r="S424" s="4"/>
      <c r="T424" s="4"/>
      <c r="U424" s="4"/>
      <c r="V424" s="4"/>
      <c r="W424" s="4"/>
      <c r="X424" s="4"/>
      <c r="Y424" s="4"/>
    </row>
    <row r="425" spans="1:25" x14ac:dyDescent="0.2">
      <c r="A425" s="41"/>
      <c r="B425" s="5"/>
      <c r="C425" s="4"/>
      <c r="D425" s="4"/>
      <c r="E425" s="4"/>
      <c r="F425" s="4"/>
      <c r="G425" s="4"/>
      <c r="H425" s="4"/>
      <c r="I425" s="4"/>
      <c r="J425" s="4"/>
      <c r="K425" s="4"/>
      <c r="L425" s="4"/>
      <c r="M425" s="4"/>
      <c r="N425" s="4"/>
      <c r="O425" s="4"/>
      <c r="P425" s="4"/>
      <c r="Q425" s="4"/>
      <c r="R425" s="4"/>
      <c r="S425" s="4"/>
      <c r="T425" s="4"/>
      <c r="U425" s="4"/>
      <c r="V425" s="4"/>
      <c r="W425" s="4"/>
      <c r="X425" s="4"/>
      <c r="Y425" s="4"/>
    </row>
    <row r="426" spans="1:25" x14ac:dyDescent="0.2">
      <c r="A426" s="41"/>
      <c r="B426" s="5"/>
      <c r="C426" s="4"/>
      <c r="D426" s="4"/>
      <c r="E426" s="4"/>
      <c r="F426" s="4"/>
      <c r="G426" s="4"/>
      <c r="H426" s="4"/>
      <c r="I426" s="4"/>
      <c r="J426" s="4"/>
      <c r="K426" s="4"/>
      <c r="L426" s="4"/>
      <c r="M426" s="4"/>
      <c r="N426" s="4"/>
      <c r="O426" s="4"/>
      <c r="P426" s="4"/>
      <c r="Q426" s="4"/>
      <c r="R426" s="4"/>
      <c r="S426" s="4"/>
      <c r="T426" s="4"/>
      <c r="U426" s="4"/>
      <c r="V426" s="4"/>
      <c r="W426" s="4"/>
      <c r="X426" s="4"/>
      <c r="Y426" s="4"/>
    </row>
    <row r="427" spans="1:25" x14ac:dyDescent="0.2">
      <c r="A427" s="41"/>
      <c r="B427" s="5"/>
      <c r="C427" s="4"/>
      <c r="D427" s="4"/>
      <c r="E427" s="4"/>
      <c r="F427" s="4"/>
      <c r="G427" s="4"/>
      <c r="H427" s="4"/>
      <c r="I427" s="4"/>
      <c r="J427" s="4"/>
      <c r="K427" s="4"/>
      <c r="L427" s="4"/>
      <c r="M427" s="4"/>
      <c r="N427" s="4"/>
      <c r="O427" s="4"/>
      <c r="P427" s="4"/>
      <c r="Q427" s="4"/>
      <c r="R427" s="4"/>
      <c r="S427" s="4"/>
      <c r="T427" s="4"/>
      <c r="U427" s="4"/>
      <c r="V427" s="4"/>
      <c r="W427" s="4"/>
      <c r="X427" s="4"/>
      <c r="Y427" s="4"/>
    </row>
    <row r="428" spans="1:25" x14ac:dyDescent="0.2">
      <c r="A428" s="41"/>
      <c r="B428" s="5"/>
      <c r="C428" s="4"/>
      <c r="D428" s="4"/>
      <c r="E428" s="4"/>
      <c r="F428" s="4"/>
      <c r="G428" s="4"/>
      <c r="H428" s="4"/>
      <c r="I428" s="4"/>
      <c r="J428" s="4"/>
      <c r="K428" s="4"/>
      <c r="L428" s="4"/>
      <c r="M428" s="4"/>
      <c r="N428" s="4"/>
      <c r="O428" s="4"/>
      <c r="P428" s="4"/>
      <c r="Q428" s="4"/>
      <c r="R428" s="4"/>
      <c r="S428" s="4"/>
      <c r="T428" s="4"/>
      <c r="U428" s="4"/>
      <c r="V428" s="4"/>
      <c r="W428" s="4"/>
      <c r="X428" s="4"/>
      <c r="Y428" s="4"/>
    </row>
    <row r="429" spans="1:25" x14ac:dyDescent="0.2">
      <c r="A429" s="41"/>
      <c r="B429" s="5"/>
      <c r="C429" s="4"/>
      <c r="D429" s="4"/>
      <c r="E429" s="4"/>
      <c r="F429" s="4"/>
      <c r="G429" s="4"/>
      <c r="H429" s="4"/>
      <c r="I429" s="4"/>
      <c r="J429" s="4"/>
      <c r="K429" s="4"/>
      <c r="L429" s="4"/>
      <c r="M429" s="4"/>
      <c r="N429" s="4"/>
      <c r="O429" s="4"/>
      <c r="P429" s="4"/>
      <c r="Q429" s="4"/>
      <c r="R429" s="4"/>
      <c r="S429" s="4"/>
      <c r="T429" s="4"/>
      <c r="U429" s="4"/>
      <c r="V429" s="4"/>
      <c r="W429" s="4"/>
      <c r="X429" s="4"/>
      <c r="Y429" s="4"/>
    </row>
    <row r="430" spans="1:25" x14ac:dyDescent="0.2">
      <c r="A430" s="41"/>
      <c r="B430" s="5"/>
      <c r="C430" s="4"/>
      <c r="D430" s="4"/>
      <c r="E430" s="4"/>
      <c r="F430" s="4"/>
      <c r="G430" s="4"/>
      <c r="H430" s="4"/>
      <c r="I430" s="4"/>
      <c r="J430" s="4"/>
      <c r="K430" s="4"/>
      <c r="L430" s="4"/>
      <c r="M430" s="4"/>
      <c r="N430" s="4"/>
      <c r="O430" s="4"/>
      <c r="P430" s="4"/>
      <c r="Q430" s="4"/>
      <c r="R430" s="4"/>
      <c r="S430" s="4"/>
      <c r="T430" s="4"/>
      <c r="U430" s="4"/>
      <c r="V430" s="4"/>
      <c r="W430" s="4"/>
      <c r="X430" s="4"/>
      <c r="Y430" s="4"/>
    </row>
    <row r="431" spans="1:25" x14ac:dyDescent="0.2">
      <c r="A431" s="41"/>
      <c r="B431" s="5"/>
      <c r="C431" s="4"/>
      <c r="D431" s="4"/>
      <c r="E431" s="4"/>
      <c r="F431" s="4"/>
      <c r="G431" s="4"/>
      <c r="H431" s="4"/>
      <c r="I431" s="4"/>
      <c r="J431" s="4"/>
      <c r="K431" s="4"/>
      <c r="L431" s="4"/>
      <c r="M431" s="4"/>
      <c r="N431" s="4"/>
      <c r="O431" s="4"/>
      <c r="P431" s="4"/>
      <c r="Q431" s="4"/>
      <c r="R431" s="4"/>
      <c r="S431" s="4"/>
      <c r="T431" s="4"/>
      <c r="U431" s="4"/>
      <c r="V431" s="4"/>
      <c r="W431" s="4"/>
      <c r="X431" s="4"/>
      <c r="Y431" s="4"/>
    </row>
    <row r="432" spans="1:25" x14ac:dyDescent="0.2">
      <c r="A432" s="41"/>
      <c r="B432" s="5"/>
      <c r="C432" s="4"/>
      <c r="D432" s="4"/>
      <c r="E432" s="4"/>
      <c r="F432" s="4"/>
      <c r="G432" s="4"/>
      <c r="H432" s="4"/>
      <c r="I432" s="4"/>
      <c r="J432" s="4"/>
      <c r="K432" s="4"/>
      <c r="L432" s="4"/>
      <c r="M432" s="4"/>
      <c r="N432" s="4"/>
      <c r="O432" s="4"/>
      <c r="P432" s="4"/>
      <c r="Q432" s="4"/>
      <c r="R432" s="4"/>
      <c r="S432" s="4"/>
      <c r="T432" s="4"/>
      <c r="U432" s="4"/>
      <c r="V432" s="4"/>
      <c r="W432" s="4"/>
      <c r="X432" s="4"/>
      <c r="Y432" s="4"/>
    </row>
    <row r="433" spans="1:25" x14ac:dyDescent="0.2">
      <c r="A433" s="41"/>
      <c r="B433" s="5"/>
      <c r="C433" s="4"/>
      <c r="D433" s="4"/>
      <c r="E433" s="4"/>
      <c r="F433" s="4"/>
      <c r="G433" s="4"/>
      <c r="H433" s="4"/>
      <c r="I433" s="4"/>
      <c r="J433" s="4"/>
      <c r="K433" s="4"/>
      <c r="L433" s="4"/>
      <c r="M433" s="4"/>
      <c r="N433" s="4"/>
      <c r="O433" s="4"/>
      <c r="P433" s="4"/>
      <c r="Q433" s="4"/>
      <c r="R433" s="4"/>
      <c r="S433" s="4"/>
      <c r="T433" s="4"/>
      <c r="U433" s="4"/>
      <c r="V433" s="4"/>
      <c r="W433" s="4"/>
      <c r="X433" s="4"/>
      <c r="Y433" s="4"/>
    </row>
    <row r="434" spans="1:25" x14ac:dyDescent="0.2">
      <c r="A434" s="41"/>
      <c r="B434" s="5"/>
      <c r="C434" s="4"/>
      <c r="D434" s="4"/>
      <c r="E434" s="4"/>
      <c r="F434" s="4"/>
      <c r="G434" s="4"/>
      <c r="H434" s="4"/>
      <c r="I434" s="4"/>
      <c r="J434" s="4"/>
      <c r="K434" s="4"/>
      <c r="L434" s="4"/>
      <c r="M434" s="4"/>
      <c r="N434" s="4"/>
      <c r="O434" s="4"/>
      <c r="P434" s="4"/>
      <c r="Q434" s="4"/>
      <c r="R434" s="4"/>
      <c r="S434" s="4"/>
      <c r="T434" s="4"/>
      <c r="U434" s="4"/>
      <c r="V434" s="4"/>
      <c r="W434" s="4"/>
      <c r="X434" s="4"/>
      <c r="Y434" s="4"/>
    </row>
    <row r="435" spans="1:25" x14ac:dyDescent="0.2">
      <c r="A435" s="41"/>
      <c r="B435" s="5"/>
      <c r="C435" s="4"/>
      <c r="D435" s="4"/>
      <c r="E435" s="4"/>
      <c r="F435" s="4"/>
      <c r="G435" s="4"/>
      <c r="H435" s="4"/>
      <c r="I435" s="4"/>
      <c r="J435" s="4"/>
      <c r="K435" s="4"/>
      <c r="L435" s="4"/>
      <c r="M435" s="4"/>
      <c r="N435" s="4"/>
      <c r="O435" s="4"/>
      <c r="P435" s="4"/>
      <c r="Q435" s="4"/>
      <c r="R435" s="4"/>
      <c r="S435" s="4"/>
      <c r="T435" s="4"/>
      <c r="U435" s="4"/>
      <c r="V435" s="4"/>
      <c r="W435" s="4"/>
      <c r="X435" s="4"/>
      <c r="Y435" s="4"/>
    </row>
    <row r="436" spans="1:25" x14ac:dyDescent="0.2">
      <c r="A436" s="41"/>
      <c r="B436" s="5"/>
      <c r="C436" s="4"/>
      <c r="D436" s="4"/>
      <c r="E436" s="4"/>
      <c r="F436" s="4"/>
      <c r="G436" s="4"/>
      <c r="H436" s="4"/>
      <c r="I436" s="4"/>
      <c r="J436" s="4"/>
      <c r="K436" s="4"/>
      <c r="L436" s="4"/>
      <c r="M436" s="4"/>
      <c r="N436" s="4"/>
      <c r="O436" s="4"/>
      <c r="P436" s="4"/>
      <c r="Q436" s="4"/>
      <c r="R436" s="4"/>
      <c r="S436" s="4"/>
      <c r="T436" s="4"/>
      <c r="U436" s="4"/>
      <c r="V436" s="4"/>
      <c r="W436" s="4"/>
      <c r="X436" s="4"/>
      <c r="Y436" s="4"/>
    </row>
    <row r="437" spans="1:25" x14ac:dyDescent="0.2">
      <c r="A437" s="41"/>
      <c r="B437" s="5"/>
      <c r="C437" s="4"/>
      <c r="D437" s="4"/>
      <c r="E437" s="4"/>
      <c r="F437" s="4"/>
      <c r="G437" s="4"/>
      <c r="H437" s="4"/>
      <c r="I437" s="4"/>
      <c r="J437" s="4"/>
      <c r="K437" s="4"/>
      <c r="L437" s="4"/>
      <c r="M437" s="4"/>
      <c r="N437" s="4"/>
      <c r="O437" s="4"/>
      <c r="P437" s="4"/>
      <c r="Q437" s="4"/>
      <c r="R437" s="4"/>
      <c r="S437" s="4"/>
      <c r="T437" s="4"/>
      <c r="U437" s="4"/>
      <c r="V437" s="4"/>
      <c r="W437" s="4"/>
      <c r="X437" s="4"/>
      <c r="Y437" s="4"/>
    </row>
    <row r="438" spans="1:25" x14ac:dyDescent="0.2">
      <c r="A438" s="41"/>
      <c r="B438" s="5"/>
      <c r="C438" s="4"/>
      <c r="D438" s="4"/>
      <c r="E438" s="4"/>
      <c r="F438" s="4"/>
      <c r="G438" s="4"/>
      <c r="H438" s="4"/>
      <c r="I438" s="4"/>
      <c r="J438" s="4"/>
      <c r="K438" s="4"/>
      <c r="L438" s="4"/>
      <c r="M438" s="4"/>
      <c r="N438" s="4"/>
      <c r="O438" s="4"/>
      <c r="P438" s="4"/>
      <c r="Q438" s="4"/>
      <c r="R438" s="4"/>
      <c r="S438" s="4"/>
      <c r="T438" s="4"/>
      <c r="U438" s="4"/>
      <c r="V438" s="4"/>
      <c r="W438" s="4"/>
      <c r="X438" s="4"/>
      <c r="Y438" s="4"/>
    </row>
    <row r="439" spans="1:25" x14ac:dyDescent="0.2">
      <c r="A439" s="41"/>
      <c r="B439" s="5"/>
      <c r="C439" s="4"/>
      <c r="D439" s="4"/>
      <c r="E439" s="4"/>
      <c r="F439" s="4"/>
      <c r="G439" s="4"/>
      <c r="H439" s="4"/>
      <c r="I439" s="4"/>
      <c r="J439" s="4"/>
      <c r="K439" s="4"/>
      <c r="L439" s="4"/>
      <c r="M439" s="4"/>
      <c r="N439" s="4"/>
      <c r="O439" s="4"/>
      <c r="P439" s="4"/>
      <c r="Q439" s="4"/>
      <c r="R439" s="4"/>
      <c r="S439" s="4"/>
      <c r="T439" s="4"/>
      <c r="U439" s="4"/>
      <c r="V439" s="4"/>
      <c r="W439" s="4"/>
      <c r="X439" s="4"/>
      <c r="Y439" s="4"/>
    </row>
    <row r="440" spans="1:25" x14ac:dyDescent="0.2">
      <c r="A440" s="41"/>
      <c r="B440" s="5"/>
      <c r="C440" s="4"/>
      <c r="D440" s="4"/>
      <c r="E440" s="4"/>
      <c r="F440" s="4"/>
      <c r="G440" s="4"/>
      <c r="H440" s="4"/>
      <c r="I440" s="4"/>
      <c r="J440" s="4"/>
      <c r="K440" s="4"/>
      <c r="L440" s="4"/>
      <c r="M440" s="4"/>
      <c r="N440" s="4"/>
      <c r="O440" s="4"/>
      <c r="P440" s="4"/>
      <c r="Q440" s="4"/>
      <c r="R440" s="4"/>
      <c r="S440" s="4"/>
      <c r="T440" s="4"/>
      <c r="U440" s="4"/>
      <c r="V440" s="4"/>
      <c r="W440" s="4"/>
      <c r="X440" s="4"/>
      <c r="Y440" s="4"/>
    </row>
    <row r="441" spans="1:25" x14ac:dyDescent="0.2">
      <c r="A441" s="41"/>
      <c r="B441" s="5"/>
      <c r="C441" s="4"/>
      <c r="D441" s="4"/>
      <c r="E441" s="4"/>
      <c r="F441" s="4"/>
      <c r="G441" s="4"/>
      <c r="H441" s="4"/>
      <c r="I441" s="4"/>
      <c r="J441" s="4"/>
      <c r="K441" s="4"/>
      <c r="L441" s="4"/>
      <c r="M441" s="4"/>
      <c r="N441" s="4"/>
      <c r="O441" s="4"/>
      <c r="P441" s="4"/>
      <c r="Q441" s="4"/>
      <c r="R441" s="4"/>
      <c r="S441" s="4"/>
      <c r="T441" s="4"/>
      <c r="U441" s="4"/>
      <c r="V441" s="4"/>
      <c r="W441" s="4"/>
      <c r="X441" s="4"/>
      <c r="Y441" s="4"/>
    </row>
    <row r="442" spans="1:25" x14ac:dyDescent="0.2">
      <c r="A442" s="41"/>
      <c r="B442" s="5"/>
      <c r="C442" s="4"/>
      <c r="D442" s="4"/>
      <c r="E442" s="4"/>
      <c r="F442" s="4"/>
      <c r="G442" s="4"/>
      <c r="H442" s="4"/>
      <c r="I442" s="4"/>
      <c r="J442" s="4"/>
      <c r="K442" s="4"/>
      <c r="L442" s="4"/>
      <c r="M442" s="4"/>
      <c r="N442" s="4"/>
      <c r="O442" s="4"/>
      <c r="P442" s="4"/>
      <c r="Q442" s="4"/>
      <c r="R442" s="4"/>
      <c r="S442" s="4"/>
      <c r="T442" s="4"/>
      <c r="U442" s="4"/>
      <c r="V442" s="4"/>
      <c r="W442" s="4"/>
      <c r="X442" s="4"/>
      <c r="Y442" s="4"/>
    </row>
    <row r="443" spans="1:25" x14ac:dyDescent="0.2">
      <c r="A443" s="41"/>
      <c r="B443" s="5"/>
      <c r="C443" s="4"/>
      <c r="D443" s="4"/>
      <c r="E443" s="4"/>
      <c r="F443" s="4"/>
      <c r="G443" s="4"/>
      <c r="H443" s="4"/>
      <c r="I443" s="4"/>
      <c r="J443" s="4"/>
      <c r="K443" s="4"/>
      <c r="L443" s="4"/>
      <c r="M443" s="4"/>
      <c r="N443" s="4"/>
      <c r="O443" s="4"/>
      <c r="P443" s="4"/>
      <c r="Q443" s="4"/>
      <c r="R443" s="4"/>
      <c r="S443" s="4"/>
      <c r="T443" s="4"/>
      <c r="U443" s="4"/>
      <c r="V443" s="4"/>
      <c r="W443" s="4"/>
      <c r="X443" s="4"/>
      <c r="Y443" s="4"/>
    </row>
    <row r="444" spans="1:25" x14ac:dyDescent="0.2">
      <c r="A444" s="41"/>
      <c r="B444" s="5"/>
      <c r="C444" s="4"/>
      <c r="D444" s="4"/>
      <c r="E444" s="4"/>
      <c r="F444" s="4"/>
      <c r="G444" s="4"/>
      <c r="H444" s="4"/>
      <c r="I444" s="4"/>
      <c r="J444" s="4"/>
      <c r="K444" s="4"/>
      <c r="L444" s="4"/>
      <c r="M444" s="4"/>
      <c r="N444" s="4"/>
      <c r="O444" s="4"/>
      <c r="P444" s="4"/>
      <c r="Q444" s="4"/>
      <c r="R444" s="4"/>
      <c r="S444" s="4"/>
      <c r="T444" s="4"/>
      <c r="U444" s="4"/>
      <c r="V444" s="4"/>
      <c r="W444" s="4"/>
      <c r="X444" s="4"/>
      <c r="Y444" s="4"/>
    </row>
    <row r="445" spans="1:25" x14ac:dyDescent="0.2">
      <c r="A445" s="41"/>
      <c r="B445" s="5"/>
      <c r="C445" s="4"/>
      <c r="D445" s="4"/>
      <c r="E445" s="4"/>
      <c r="F445" s="4"/>
      <c r="G445" s="4"/>
      <c r="H445" s="4"/>
      <c r="I445" s="4"/>
      <c r="J445" s="4"/>
      <c r="K445" s="4"/>
      <c r="L445" s="4"/>
      <c r="M445" s="4"/>
      <c r="N445" s="4"/>
      <c r="O445" s="4"/>
      <c r="P445" s="4"/>
      <c r="Q445" s="4"/>
      <c r="R445" s="4"/>
      <c r="S445" s="4"/>
      <c r="T445" s="4"/>
      <c r="U445" s="4"/>
      <c r="V445" s="4"/>
      <c r="W445" s="4"/>
      <c r="X445" s="4"/>
      <c r="Y445" s="4"/>
    </row>
    <row r="446" spans="1:25" x14ac:dyDescent="0.2">
      <c r="A446" s="41"/>
      <c r="B446" s="5"/>
      <c r="C446" s="4"/>
      <c r="D446" s="4"/>
      <c r="E446" s="4"/>
      <c r="F446" s="4"/>
      <c r="G446" s="4"/>
      <c r="H446" s="4"/>
      <c r="I446" s="4"/>
      <c r="J446" s="4"/>
      <c r="K446" s="4"/>
      <c r="L446" s="4"/>
      <c r="M446" s="4"/>
      <c r="N446" s="4"/>
      <c r="O446" s="4"/>
      <c r="P446" s="4"/>
      <c r="Q446" s="4"/>
      <c r="R446" s="4"/>
      <c r="S446" s="4"/>
      <c r="T446" s="4"/>
      <c r="U446" s="4"/>
      <c r="V446" s="4"/>
      <c r="W446" s="4"/>
      <c r="X446" s="4"/>
      <c r="Y446" s="4"/>
    </row>
    <row r="447" spans="1:25" x14ac:dyDescent="0.2">
      <c r="A447" s="41"/>
      <c r="B447" s="5"/>
      <c r="C447" s="4"/>
      <c r="D447" s="4"/>
      <c r="E447" s="4"/>
      <c r="F447" s="4"/>
      <c r="G447" s="4"/>
      <c r="H447" s="4"/>
      <c r="I447" s="4"/>
      <c r="J447" s="4"/>
      <c r="K447" s="4"/>
      <c r="L447" s="4"/>
      <c r="M447" s="4"/>
      <c r="N447" s="4"/>
      <c r="O447" s="4"/>
      <c r="P447" s="4"/>
      <c r="Q447" s="4"/>
      <c r="R447" s="4"/>
      <c r="S447" s="4"/>
      <c r="T447" s="4"/>
      <c r="U447" s="4"/>
      <c r="V447" s="4"/>
      <c r="W447" s="4"/>
      <c r="X447" s="4"/>
      <c r="Y447" s="4"/>
    </row>
    <row r="448" spans="1:25" x14ac:dyDescent="0.2">
      <c r="A448" s="41"/>
      <c r="B448" s="5"/>
      <c r="C448" s="4"/>
      <c r="D448" s="4"/>
      <c r="E448" s="4"/>
      <c r="F448" s="4"/>
      <c r="G448" s="4"/>
      <c r="H448" s="4"/>
      <c r="I448" s="4"/>
      <c r="J448" s="4"/>
      <c r="K448" s="4"/>
      <c r="L448" s="4"/>
      <c r="M448" s="4"/>
      <c r="N448" s="4"/>
      <c r="O448" s="4"/>
      <c r="P448" s="4"/>
      <c r="Q448" s="4"/>
      <c r="R448" s="4"/>
      <c r="S448" s="4"/>
      <c r="T448" s="4"/>
      <c r="U448" s="4"/>
      <c r="V448" s="4"/>
      <c r="W448" s="4"/>
      <c r="X448" s="4"/>
      <c r="Y448" s="4"/>
    </row>
    <row r="449" spans="1:25" x14ac:dyDescent="0.2">
      <c r="A449" s="41"/>
      <c r="B449" s="5"/>
      <c r="C449" s="4"/>
      <c r="D449" s="4"/>
      <c r="E449" s="4"/>
      <c r="F449" s="4"/>
      <c r="G449" s="4"/>
      <c r="H449" s="4"/>
      <c r="I449" s="4"/>
      <c r="J449" s="4"/>
      <c r="K449" s="4"/>
      <c r="L449" s="4"/>
      <c r="M449" s="4"/>
      <c r="N449" s="4"/>
      <c r="O449" s="4"/>
      <c r="P449" s="4"/>
      <c r="Q449" s="4"/>
      <c r="R449" s="4"/>
      <c r="S449" s="4"/>
      <c r="T449" s="4"/>
      <c r="U449" s="4"/>
      <c r="V449" s="4"/>
      <c r="W449" s="4"/>
      <c r="X449" s="4"/>
      <c r="Y449" s="4"/>
    </row>
    <row r="450" spans="1:25" x14ac:dyDescent="0.2">
      <c r="A450" s="41"/>
      <c r="B450" s="5"/>
      <c r="C450" s="4"/>
      <c r="D450" s="4"/>
      <c r="E450" s="4"/>
      <c r="F450" s="4"/>
      <c r="G450" s="4"/>
      <c r="H450" s="4"/>
      <c r="I450" s="4"/>
      <c r="J450" s="4"/>
      <c r="K450" s="4"/>
      <c r="L450" s="4"/>
      <c r="M450" s="4"/>
      <c r="N450" s="4"/>
      <c r="O450" s="4"/>
      <c r="P450" s="4"/>
      <c r="Q450" s="4"/>
      <c r="R450" s="4"/>
      <c r="S450" s="4"/>
      <c r="T450" s="4"/>
      <c r="U450" s="4"/>
      <c r="V450" s="4"/>
      <c r="W450" s="4"/>
      <c r="X450" s="4"/>
      <c r="Y450" s="4"/>
    </row>
    <row r="451" spans="1:25" x14ac:dyDescent="0.2">
      <c r="A451" s="41"/>
      <c r="B451" s="5"/>
      <c r="C451" s="4"/>
      <c r="D451" s="4"/>
      <c r="E451" s="4"/>
      <c r="F451" s="4"/>
      <c r="G451" s="4"/>
      <c r="H451" s="4"/>
      <c r="I451" s="4"/>
      <c r="J451" s="4"/>
      <c r="K451" s="4"/>
      <c r="L451" s="4"/>
      <c r="M451" s="4"/>
      <c r="N451" s="4"/>
      <c r="O451" s="4"/>
      <c r="P451" s="4"/>
      <c r="Q451" s="4"/>
      <c r="R451" s="4"/>
      <c r="S451" s="4"/>
      <c r="T451" s="4"/>
      <c r="U451" s="4"/>
      <c r="V451" s="4"/>
      <c r="W451" s="4"/>
      <c r="X451" s="4"/>
      <c r="Y451" s="4"/>
    </row>
    <row r="452" spans="1:25" x14ac:dyDescent="0.2">
      <c r="A452" s="41"/>
      <c r="B452" s="5"/>
      <c r="C452" s="4"/>
      <c r="D452" s="4"/>
      <c r="E452" s="4"/>
      <c r="F452" s="4"/>
      <c r="G452" s="4"/>
      <c r="H452" s="4"/>
      <c r="I452" s="4"/>
      <c r="J452" s="4"/>
      <c r="K452" s="4"/>
      <c r="L452" s="4"/>
      <c r="M452" s="4"/>
      <c r="N452" s="4"/>
      <c r="O452" s="4"/>
      <c r="P452" s="4"/>
      <c r="Q452" s="4"/>
      <c r="R452" s="4"/>
      <c r="S452" s="4"/>
      <c r="T452" s="4"/>
      <c r="U452" s="4"/>
      <c r="V452" s="4"/>
      <c r="W452" s="4"/>
      <c r="X452" s="4"/>
      <c r="Y452" s="4"/>
    </row>
    <row r="453" spans="1:25" x14ac:dyDescent="0.2">
      <c r="A453" s="41"/>
      <c r="B453" s="5"/>
      <c r="C453" s="4"/>
      <c r="D453" s="4"/>
      <c r="E453" s="4"/>
      <c r="F453" s="4"/>
      <c r="G453" s="4"/>
      <c r="H453" s="4"/>
      <c r="I453" s="4"/>
      <c r="J453" s="4"/>
      <c r="K453" s="4"/>
      <c r="L453" s="4"/>
      <c r="M453" s="4"/>
      <c r="N453" s="4"/>
      <c r="O453" s="4"/>
      <c r="P453" s="4"/>
      <c r="Q453" s="4"/>
      <c r="R453" s="4"/>
      <c r="S453" s="4"/>
      <c r="T453" s="4"/>
      <c r="U453" s="4"/>
      <c r="V453" s="4"/>
      <c r="W453" s="4"/>
      <c r="X453" s="4"/>
      <c r="Y453" s="4"/>
    </row>
    <row r="454" spans="1:25" x14ac:dyDescent="0.2">
      <c r="A454" s="41"/>
      <c r="B454" s="5"/>
      <c r="C454" s="4"/>
      <c r="D454" s="4"/>
      <c r="E454" s="4"/>
      <c r="F454" s="4"/>
      <c r="G454" s="4"/>
      <c r="H454" s="4"/>
      <c r="I454" s="4"/>
      <c r="J454" s="4"/>
      <c r="K454" s="4"/>
      <c r="L454" s="4"/>
      <c r="M454" s="4"/>
      <c r="N454" s="4"/>
      <c r="O454" s="4"/>
      <c r="P454" s="4"/>
      <c r="Q454" s="4"/>
      <c r="R454" s="4"/>
      <c r="S454" s="4"/>
      <c r="T454" s="4"/>
      <c r="U454" s="4"/>
      <c r="V454" s="4"/>
      <c r="W454" s="4"/>
      <c r="X454" s="4"/>
      <c r="Y454" s="4"/>
    </row>
    <row r="455" spans="1:25" x14ac:dyDescent="0.2">
      <c r="A455" s="41"/>
      <c r="B455" s="5"/>
      <c r="C455" s="4"/>
      <c r="D455" s="4"/>
      <c r="E455" s="4"/>
      <c r="F455" s="4"/>
      <c r="G455" s="4"/>
      <c r="H455" s="4"/>
      <c r="I455" s="4"/>
      <c r="J455" s="4"/>
      <c r="K455" s="4"/>
      <c r="L455" s="4"/>
      <c r="M455" s="4"/>
      <c r="N455" s="4"/>
      <c r="O455" s="4"/>
      <c r="P455" s="4"/>
      <c r="Q455" s="4"/>
      <c r="R455" s="4"/>
      <c r="S455" s="4"/>
      <c r="T455" s="4"/>
      <c r="U455" s="4"/>
      <c r="V455" s="4"/>
      <c r="W455" s="4"/>
      <c r="X455" s="4"/>
      <c r="Y455" s="4"/>
    </row>
    <row r="456" spans="1:25" x14ac:dyDescent="0.2">
      <c r="A456" s="41"/>
      <c r="B456" s="5"/>
      <c r="C456" s="4"/>
      <c r="D456" s="4"/>
      <c r="E456" s="4"/>
      <c r="F456" s="4"/>
      <c r="G456" s="4"/>
      <c r="H456" s="4"/>
      <c r="I456" s="4"/>
      <c r="J456" s="4"/>
      <c r="K456" s="4"/>
      <c r="L456" s="4"/>
      <c r="M456" s="4"/>
      <c r="N456" s="4"/>
      <c r="O456" s="4"/>
      <c r="P456" s="4"/>
      <c r="Q456" s="4"/>
      <c r="R456" s="4"/>
      <c r="S456" s="4"/>
      <c r="T456" s="4"/>
      <c r="U456" s="4"/>
      <c r="V456" s="4"/>
      <c r="W456" s="4"/>
      <c r="X456" s="4"/>
      <c r="Y456" s="4"/>
    </row>
    <row r="457" spans="1:25" x14ac:dyDescent="0.2">
      <c r="A457" s="41"/>
      <c r="B457" s="5"/>
      <c r="C457" s="4"/>
      <c r="D457" s="4"/>
      <c r="E457" s="4"/>
      <c r="F457" s="4"/>
      <c r="G457" s="4"/>
      <c r="H457" s="4"/>
      <c r="I457" s="4"/>
      <c r="J457" s="4"/>
      <c r="K457" s="4"/>
      <c r="L457" s="4"/>
      <c r="M457" s="4"/>
      <c r="N457" s="4"/>
      <c r="O457" s="4"/>
      <c r="P457" s="4"/>
      <c r="Q457" s="4"/>
      <c r="R457" s="4"/>
      <c r="S457" s="4"/>
      <c r="T457" s="4"/>
      <c r="U457" s="4"/>
      <c r="V457" s="4"/>
      <c r="W457" s="4"/>
      <c r="X457" s="4"/>
      <c r="Y457" s="4"/>
    </row>
    <row r="458" spans="1:25" x14ac:dyDescent="0.2">
      <c r="A458" s="41"/>
      <c r="B458" s="5"/>
      <c r="C458" s="4"/>
      <c r="D458" s="4"/>
      <c r="E458" s="4"/>
      <c r="F458" s="4"/>
      <c r="G458" s="4"/>
      <c r="H458" s="4"/>
      <c r="I458" s="4"/>
      <c r="J458" s="4"/>
      <c r="K458" s="4"/>
      <c r="L458" s="4"/>
      <c r="M458" s="4"/>
      <c r="N458" s="4"/>
      <c r="O458" s="4"/>
      <c r="P458" s="4"/>
      <c r="Q458" s="4"/>
      <c r="R458" s="4"/>
      <c r="S458" s="4"/>
      <c r="T458" s="4"/>
      <c r="U458" s="4"/>
      <c r="V458" s="4"/>
      <c r="W458" s="4"/>
      <c r="X458" s="4"/>
      <c r="Y458" s="4"/>
    </row>
    <row r="459" spans="1:25" x14ac:dyDescent="0.2">
      <c r="A459" s="41"/>
      <c r="B459" s="5"/>
      <c r="C459" s="4"/>
      <c r="D459" s="4"/>
      <c r="E459" s="4"/>
      <c r="F459" s="4"/>
      <c r="G459" s="4"/>
      <c r="H459" s="4"/>
      <c r="I459" s="4"/>
      <c r="J459" s="4"/>
      <c r="K459" s="4"/>
      <c r="L459" s="4"/>
      <c r="M459" s="4"/>
      <c r="N459" s="4"/>
      <c r="O459" s="4"/>
      <c r="P459" s="4"/>
      <c r="Q459" s="4"/>
      <c r="R459" s="4"/>
      <c r="S459" s="4"/>
      <c r="T459" s="4"/>
      <c r="U459" s="4"/>
      <c r="V459" s="4"/>
      <c r="W459" s="4"/>
      <c r="X459" s="4"/>
      <c r="Y459" s="4"/>
    </row>
    <row r="460" spans="1:25" x14ac:dyDescent="0.2">
      <c r="A460" s="41"/>
      <c r="B460" s="5"/>
      <c r="C460" s="4"/>
      <c r="D460" s="4"/>
      <c r="E460" s="4"/>
      <c r="F460" s="4"/>
      <c r="G460" s="4"/>
      <c r="H460" s="4"/>
      <c r="I460" s="4"/>
      <c r="J460" s="4"/>
      <c r="K460" s="4"/>
      <c r="L460" s="4"/>
      <c r="M460" s="4"/>
      <c r="N460" s="4"/>
      <c r="O460" s="4"/>
      <c r="P460" s="4"/>
      <c r="Q460" s="4"/>
      <c r="R460" s="4"/>
      <c r="S460" s="4"/>
      <c r="T460" s="4"/>
      <c r="U460" s="4"/>
      <c r="V460" s="4"/>
      <c r="W460" s="4"/>
      <c r="X460" s="4"/>
      <c r="Y460" s="4"/>
    </row>
    <row r="461" spans="1:25" x14ac:dyDescent="0.2">
      <c r="A461" s="41"/>
      <c r="B461" s="5"/>
      <c r="C461" s="4"/>
      <c r="D461" s="4"/>
      <c r="E461" s="4"/>
      <c r="F461" s="4"/>
      <c r="G461" s="4"/>
      <c r="H461" s="4"/>
      <c r="I461" s="4"/>
      <c r="J461" s="4"/>
      <c r="K461" s="4"/>
      <c r="L461" s="4"/>
      <c r="M461" s="4"/>
      <c r="N461" s="4"/>
      <c r="O461" s="4"/>
      <c r="P461" s="4"/>
      <c r="Q461" s="4"/>
      <c r="R461" s="4"/>
      <c r="S461" s="4"/>
      <c r="T461" s="4"/>
      <c r="U461" s="4"/>
      <c r="V461" s="4"/>
      <c r="W461" s="4"/>
      <c r="X461" s="4"/>
      <c r="Y461" s="4"/>
    </row>
    <row r="462" spans="1:25" x14ac:dyDescent="0.2">
      <c r="A462" s="41"/>
      <c r="B462" s="5"/>
      <c r="C462" s="4"/>
      <c r="D462" s="4"/>
      <c r="E462" s="4"/>
      <c r="F462" s="4"/>
      <c r="G462" s="4"/>
      <c r="H462" s="4"/>
      <c r="I462" s="4"/>
      <c r="J462" s="4"/>
      <c r="K462" s="4"/>
      <c r="L462" s="4"/>
      <c r="M462" s="4"/>
      <c r="N462" s="4"/>
      <c r="O462" s="4"/>
      <c r="P462" s="4"/>
      <c r="Q462" s="4"/>
      <c r="R462" s="4"/>
      <c r="S462" s="4"/>
      <c r="T462" s="4"/>
      <c r="U462" s="4"/>
      <c r="V462" s="4"/>
      <c r="W462" s="4"/>
      <c r="X462" s="4"/>
      <c r="Y462" s="4"/>
    </row>
    <row r="463" spans="1:25" x14ac:dyDescent="0.2">
      <c r="A463" s="41"/>
      <c r="B463" s="5"/>
      <c r="C463" s="4"/>
      <c r="D463" s="4"/>
      <c r="E463" s="4"/>
      <c r="F463" s="4"/>
      <c r="G463" s="4"/>
      <c r="H463" s="4"/>
      <c r="I463" s="4"/>
      <c r="J463" s="4"/>
      <c r="K463" s="4"/>
      <c r="L463" s="4"/>
      <c r="M463" s="4"/>
      <c r="N463" s="4"/>
      <c r="O463" s="4"/>
      <c r="P463" s="4"/>
      <c r="Q463" s="4"/>
      <c r="R463" s="4"/>
      <c r="S463" s="4"/>
      <c r="T463" s="4"/>
      <c r="U463" s="4"/>
      <c r="V463" s="4"/>
      <c r="W463" s="4"/>
      <c r="X463" s="4"/>
      <c r="Y463" s="4"/>
    </row>
    <row r="464" spans="1:25" x14ac:dyDescent="0.2">
      <c r="A464" s="41"/>
      <c r="B464" s="5"/>
      <c r="C464" s="4"/>
      <c r="D464" s="4"/>
      <c r="E464" s="4"/>
      <c r="F464" s="4"/>
      <c r="G464" s="4"/>
      <c r="H464" s="4"/>
      <c r="I464" s="4"/>
      <c r="J464" s="4"/>
      <c r="K464" s="4"/>
      <c r="L464" s="4"/>
      <c r="M464" s="4"/>
      <c r="N464" s="4"/>
      <c r="O464" s="4"/>
      <c r="P464" s="4"/>
      <c r="Q464" s="4"/>
      <c r="R464" s="4"/>
      <c r="S464" s="4"/>
      <c r="T464" s="4"/>
      <c r="U464" s="4"/>
      <c r="V464" s="4"/>
      <c r="W464" s="4"/>
      <c r="X464" s="4"/>
      <c r="Y464" s="4"/>
    </row>
    <row r="465" spans="1:25" x14ac:dyDescent="0.2">
      <c r="A465" s="41"/>
      <c r="B465" s="5"/>
      <c r="C465" s="4"/>
      <c r="D465" s="4"/>
      <c r="E465" s="4"/>
      <c r="F465" s="4"/>
      <c r="G465" s="4"/>
      <c r="H465" s="4"/>
      <c r="I465" s="4"/>
      <c r="J465" s="4"/>
      <c r="K465" s="4"/>
      <c r="L465" s="4"/>
      <c r="M465" s="4"/>
      <c r="N465" s="4"/>
      <c r="O465" s="4"/>
      <c r="P465" s="4"/>
      <c r="Q465" s="4"/>
      <c r="R465" s="4"/>
      <c r="S465" s="4"/>
      <c r="T465" s="4"/>
      <c r="U465" s="4"/>
      <c r="V465" s="4"/>
      <c r="W465" s="4"/>
      <c r="X465" s="4"/>
      <c r="Y465" s="4"/>
    </row>
    <row r="466" spans="1:25" x14ac:dyDescent="0.2">
      <c r="A466" s="41"/>
      <c r="B466" s="5"/>
      <c r="C466" s="4"/>
      <c r="D466" s="4"/>
      <c r="E466" s="4"/>
      <c r="F466" s="4"/>
      <c r="G466" s="4"/>
      <c r="H466" s="4"/>
      <c r="I466" s="4"/>
      <c r="J466" s="4"/>
      <c r="K466" s="4"/>
      <c r="L466" s="4"/>
      <c r="M466" s="4"/>
      <c r="N466" s="4"/>
      <c r="O466" s="4"/>
      <c r="P466" s="4"/>
      <c r="Q466" s="4"/>
      <c r="R466" s="4"/>
      <c r="S466" s="4"/>
      <c r="T466" s="4"/>
      <c r="U466" s="4"/>
      <c r="V466" s="4"/>
      <c r="W466" s="4"/>
      <c r="X466" s="4"/>
      <c r="Y466" s="4"/>
    </row>
    <row r="467" spans="1:25" x14ac:dyDescent="0.2">
      <c r="A467" s="41"/>
      <c r="B467" s="5"/>
      <c r="C467" s="4"/>
      <c r="D467" s="4"/>
      <c r="E467" s="4"/>
      <c r="F467" s="4"/>
      <c r="G467" s="4"/>
      <c r="H467" s="4"/>
      <c r="I467" s="4"/>
      <c r="J467" s="4"/>
      <c r="K467" s="4"/>
      <c r="L467" s="4"/>
      <c r="M467" s="4"/>
      <c r="N467" s="4"/>
      <c r="O467" s="4"/>
      <c r="P467" s="4"/>
      <c r="Q467" s="4"/>
      <c r="R467" s="4"/>
      <c r="S467" s="4"/>
      <c r="T467" s="4"/>
      <c r="U467" s="4"/>
      <c r="V467" s="4"/>
      <c r="W467" s="4"/>
      <c r="X467" s="4"/>
      <c r="Y467" s="4"/>
    </row>
    <row r="468" spans="1:25" x14ac:dyDescent="0.2">
      <c r="A468" s="41"/>
      <c r="B468" s="5"/>
      <c r="C468" s="4"/>
      <c r="D468" s="4"/>
      <c r="E468" s="4"/>
      <c r="F468" s="4"/>
      <c r="G468" s="4"/>
      <c r="H468" s="4"/>
      <c r="I468" s="4"/>
      <c r="J468" s="4"/>
      <c r="K468" s="4"/>
      <c r="L468" s="4"/>
      <c r="M468" s="4"/>
      <c r="N468" s="4"/>
      <c r="O468" s="4"/>
      <c r="P468" s="4"/>
      <c r="Q468" s="4"/>
      <c r="R468" s="4"/>
      <c r="S468" s="4"/>
      <c r="T468" s="4"/>
      <c r="U468" s="4"/>
      <c r="V468" s="4"/>
      <c r="W468" s="4"/>
      <c r="X468" s="4"/>
      <c r="Y468" s="4"/>
    </row>
    <row r="469" spans="1:25" x14ac:dyDescent="0.2">
      <c r="A469" s="41"/>
      <c r="B469" s="5"/>
      <c r="C469" s="4"/>
      <c r="D469" s="4"/>
      <c r="E469" s="4"/>
      <c r="F469" s="4"/>
      <c r="G469" s="4"/>
      <c r="H469" s="4"/>
      <c r="I469" s="4"/>
      <c r="J469" s="4"/>
      <c r="K469" s="4"/>
      <c r="L469" s="4"/>
      <c r="M469" s="4"/>
      <c r="N469" s="4"/>
      <c r="O469" s="4"/>
      <c r="P469" s="4"/>
      <c r="Q469" s="4"/>
      <c r="R469" s="4"/>
      <c r="S469" s="4"/>
      <c r="T469" s="4"/>
      <c r="U469" s="4"/>
      <c r="V469" s="4"/>
      <c r="W469" s="4"/>
      <c r="X469" s="4"/>
      <c r="Y469" s="4"/>
    </row>
    <row r="470" spans="1:25" x14ac:dyDescent="0.2">
      <c r="A470" s="41"/>
      <c r="B470" s="5"/>
      <c r="C470" s="4"/>
      <c r="D470" s="4"/>
      <c r="E470" s="4"/>
      <c r="F470" s="4"/>
      <c r="G470" s="4"/>
      <c r="H470" s="4"/>
      <c r="I470" s="4"/>
      <c r="J470" s="4"/>
      <c r="K470" s="4"/>
      <c r="L470" s="4"/>
      <c r="M470" s="4"/>
      <c r="N470" s="4"/>
      <c r="O470" s="4"/>
      <c r="P470" s="4"/>
      <c r="Q470" s="4"/>
      <c r="R470" s="4"/>
      <c r="S470" s="4"/>
      <c r="T470" s="4"/>
      <c r="U470" s="4"/>
      <c r="V470" s="4"/>
      <c r="W470" s="4"/>
      <c r="X470" s="4"/>
      <c r="Y470" s="4"/>
    </row>
    <row r="471" spans="1:25" x14ac:dyDescent="0.2">
      <c r="A471" s="41"/>
      <c r="B471" s="5"/>
      <c r="C471" s="4"/>
      <c r="D471" s="4"/>
      <c r="E471" s="4"/>
      <c r="F471" s="4"/>
      <c r="G471" s="4"/>
      <c r="H471" s="4"/>
      <c r="I471" s="4"/>
      <c r="J471" s="4"/>
      <c r="K471" s="4"/>
      <c r="L471" s="4"/>
      <c r="M471" s="4"/>
      <c r="N471" s="4"/>
      <c r="O471" s="4"/>
      <c r="P471" s="4"/>
      <c r="Q471" s="4"/>
      <c r="R471" s="4"/>
      <c r="S471" s="4"/>
      <c r="T471" s="4"/>
      <c r="U471" s="4"/>
      <c r="V471" s="4"/>
      <c r="W471" s="4"/>
      <c r="X471" s="4"/>
      <c r="Y471" s="4"/>
    </row>
    <row r="472" spans="1:25" x14ac:dyDescent="0.2">
      <c r="A472" s="41"/>
      <c r="B472" s="5"/>
      <c r="C472" s="4"/>
      <c r="D472" s="4"/>
      <c r="E472" s="4"/>
      <c r="F472" s="4"/>
      <c r="G472" s="4"/>
      <c r="H472" s="4"/>
      <c r="I472" s="4"/>
      <c r="J472" s="4"/>
      <c r="K472" s="4"/>
      <c r="L472" s="4"/>
      <c r="M472" s="4"/>
      <c r="N472" s="4"/>
      <c r="O472" s="4"/>
      <c r="P472" s="4"/>
      <c r="Q472" s="4"/>
      <c r="R472" s="4"/>
      <c r="S472" s="4"/>
      <c r="T472" s="4"/>
      <c r="U472" s="4"/>
      <c r="V472" s="4"/>
      <c r="W472" s="4"/>
      <c r="X472" s="4"/>
      <c r="Y472" s="4"/>
    </row>
    <row r="473" spans="1:25" x14ac:dyDescent="0.2">
      <c r="A473" s="41"/>
      <c r="B473" s="5"/>
      <c r="C473" s="4"/>
      <c r="D473" s="4"/>
      <c r="E473" s="4"/>
      <c r="F473" s="4"/>
      <c r="G473" s="4"/>
      <c r="H473" s="4"/>
      <c r="I473" s="4"/>
      <c r="J473" s="4"/>
      <c r="K473" s="4"/>
      <c r="L473" s="4"/>
      <c r="M473" s="4"/>
      <c r="N473" s="4"/>
      <c r="O473" s="4"/>
      <c r="P473" s="4"/>
      <c r="Q473" s="4"/>
      <c r="R473" s="4"/>
      <c r="S473" s="4"/>
      <c r="T473" s="4"/>
      <c r="U473" s="4"/>
      <c r="V473" s="4"/>
      <c r="W473" s="4"/>
      <c r="X473" s="4"/>
      <c r="Y473" s="4"/>
    </row>
    <row r="474" spans="1:25" x14ac:dyDescent="0.2">
      <c r="A474" s="41"/>
      <c r="B474" s="5"/>
      <c r="C474" s="4"/>
      <c r="D474" s="4"/>
      <c r="E474" s="4"/>
      <c r="F474" s="4"/>
      <c r="G474" s="4"/>
      <c r="H474" s="4"/>
      <c r="I474" s="4"/>
      <c r="J474" s="4"/>
      <c r="K474" s="4"/>
      <c r="L474" s="4"/>
      <c r="M474" s="4"/>
      <c r="N474" s="4"/>
      <c r="O474" s="4"/>
      <c r="P474" s="4"/>
      <c r="Q474" s="4"/>
      <c r="R474" s="4"/>
      <c r="S474" s="4"/>
      <c r="T474" s="4"/>
      <c r="U474" s="4"/>
      <c r="V474" s="4"/>
      <c r="W474" s="4"/>
      <c r="X474" s="4"/>
      <c r="Y474" s="4"/>
    </row>
    <row r="475" spans="1:25" x14ac:dyDescent="0.2">
      <c r="A475" s="41"/>
      <c r="B475" s="5"/>
      <c r="C475" s="4"/>
      <c r="D475" s="4"/>
      <c r="E475" s="4"/>
      <c r="F475" s="4"/>
      <c r="G475" s="4"/>
      <c r="H475" s="4"/>
      <c r="I475" s="4"/>
      <c r="J475" s="4"/>
      <c r="K475" s="4"/>
      <c r="L475" s="4"/>
      <c r="M475" s="4"/>
      <c r="N475" s="4"/>
      <c r="O475" s="4"/>
      <c r="P475" s="4"/>
      <c r="Q475" s="4"/>
      <c r="R475" s="4"/>
      <c r="S475" s="4"/>
      <c r="T475" s="4"/>
      <c r="U475" s="4"/>
      <c r="V475" s="4"/>
      <c r="W475" s="4"/>
      <c r="X475" s="4"/>
      <c r="Y475" s="4"/>
    </row>
    <row r="476" spans="1:25" x14ac:dyDescent="0.2">
      <c r="A476" s="41"/>
      <c r="B476" s="5"/>
      <c r="C476" s="4"/>
      <c r="D476" s="4"/>
      <c r="E476" s="4"/>
      <c r="F476" s="4"/>
      <c r="G476" s="4"/>
      <c r="H476" s="4"/>
      <c r="I476" s="4"/>
      <c r="J476" s="4"/>
      <c r="K476" s="4"/>
      <c r="L476" s="4"/>
      <c r="M476" s="4"/>
      <c r="N476" s="4"/>
      <c r="O476" s="4"/>
      <c r="P476" s="4"/>
      <c r="Q476" s="4"/>
      <c r="R476" s="4"/>
      <c r="S476" s="4"/>
      <c r="T476" s="4"/>
      <c r="U476" s="4"/>
      <c r="V476" s="4"/>
      <c r="W476" s="4"/>
      <c r="X476" s="4"/>
      <c r="Y476" s="4"/>
    </row>
    <row r="477" spans="1:25" x14ac:dyDescent="0.2">
      <c r="A477" s="41"/>
      <c r="B477" s="5"/>
      <c r="C477" s="4"/>
      <c r="D477" s="4"/>
      <c r="E477" s="4"/>
      <c r="F477" s="4"/>
      <c r="G477" s="4"/>
      <c r="H477" s="4"/>
      <c r="I477" s="4"/>
      <c r="J477" s="4"/>
      <c r="K477" s="4"/>
      <c r="L477" s="4"/>
      <c r="M477" s="4"/>
      <c r="N477" s="4"/>
      <c r="O477" s="4"/>
      <c r="P477" s="4"/>
      <c r="Q477" s="4"/>
      <c r="R477" s="4"/>
      <c r="S477" s="4"/>
      <c r="T477" s="4"/>
      <c r="U477" s="4"/>
      <c r="V477" s="4"/>
      <c r="W477" s="4"/>
      <c r="X477" s="4"/>
      <c r="Y477" s="4"/>
    </row>
    <row r="478" spans="1:25" x14ac:dyDescent="0.2">
      <c r="A478" s="41"/>
      <c r="B478" s="5"/>
      <c r="C478" s="4"/>
      <c r="D478" s="4"/>
      <c r="E478" s="4"/>
      <c r="F478" s="4"/>
      <c r="G478" s="4"/>
      <c r="H478" s="4"/>
      <c r="I478" s="4"/>
      <c r="J478" s="4"/>
      <c r="K478" s="4"/>
      <c r="L478" s="4"/>
      <c r="M478" s="4"/>
      <c r="N478" s="4"/>
      <c r="O478" s="4"/>
      <c r="P478" s="4"/>
      <c r="Q478" s="4"/>
      <c r="R478" s="4"/>
      <c r="S478" s="4"/>
      <c r="T478" s="4"/>
      <c r="U478" s="4"/>
      <c r="V478" s="4"/>
      <c r="W478" s="4"/>
      <c r="X478" s="4"/>
      <c r="Y478" s="4"/>
    </row>
    <row r="479" spans="1:25" x14ac:dyDescent="0.2">
      <c r="A479" s="41"/>
      <c r="B479" s="5"/>
      <c r="C479" s="4"/>
      <c r="D479" s="4"/>
      <c r="E479" s="4"/>
      <c r="F479" s="4"/>
      <c r="G479" s="4"/>
      <c r="H479" s="4"/>
      <c r="I479" s="4"/>
      <c r="J479" s="4"/>
      <c r="K479" s="4"/>
      <c r="L479" s="4"/>
      <c r="M479" s="4"/>
      <c r="N479" s="4"/>
      <c r="O479" s="4"/>
      <c r="P479" s="4"/>
      <c r="Q479" s="4"/>
      <c r="R479" s="4"/>
      <c r="S479" s="4"/>
      <c r="T479" s="4"/>
      <c r="U479" s="4"/>
      <c r="V479" s="4"/>
      <c r="W479" s="4"/>
      <c r="X479" s="4"/>
      <c r="Y479" s="4"/>
    </row>
    <row r="480" spans="1:25" x14ac:dyDescent="0.2">
      <c r="A480" s="41"/>
      <c r="B480" s="5"/>
      <c r="C480" s="4"/>
      <c r="D480" s="4"/>
      <c r="E480" s="4"/>
      <c r="F480" s="4"/>
      <c r="G480" s="4"/>
      <c r="H480" s="4"/>
      <c r="I480" s="4"/>
      <c r="J480" s="4"/>
      <c r="K480" s="4"/>
      <c r="L480" s="4"/>
      <c r="M480" s="4"/>
      <c r="N480" s="4"/>
      <c r="O480" s="4"/>
      <c r="P480" s="4"/>
      <c r="Q480" s="4"/>
      <c r="R480" s="4"/>
      <c r="S480" s="4"/>
      <c r="T480" s="4"/>
      <c r="U480" s="4"/>
      <c r="V480" s="4"/>
      <c r="W480" s="4"/>
      <c r="X480" s="4"/>
      <c r="Y480" s="4"/>
    </row>
    <row r="481" spans="1:25" x14ac:dyDescent="0.2">
      <c r="A481" s="41"/>
      <c r="B481" s="5"/>
      <c r="C481" s="4"/>
      <c r="D481" s="4"/>
      <c r="E481" s="4"/>
      <c r="F481" s="4"/>
      <c r="G481" s="4"/>
      <c r="H481" s="4"/>
      <c r="I481" s="4"/>
      <c r="J481" s="4"/>
      <c r="K481" s="4"/>
      <c r="L481" s="4"/>
      <c r="M481" s="4"/>
      <c r="N481" s="4"/>
      <c r="O481" s="4"/>
      <c r="P481" s="4"/>
      <c r="Q481" s="4"/>
      <c r="R481" s="4"/>
      <c r="S481" s="4"/>
      <c r="T481" s="4"/>
      <c r="U481" s="4"/>
      <c r="V481" s="4"/>
      <c r="W481" s="4"/>
      <c r="X481" s="4"/>
      <c r="Y481" s="4"/>
    </row>
    <row r="482" spans="1:25" x14ac:dyDescent="0.2">
      <c r="A482" s="41"/>
      <c r="B482" s="5"/>
      <c r="C482" s="4"/>
      <c r="D482" s="4"/>
      <c r="E482" s="4"/>
      <c r="F482" s="4"/>
      <c r="G482" s="4"/>
      <c r="H482" s="4"/>
      <c r="I482" s="4"/>
      <c r="J482" s="4"/>
      <c r="K482" s="4"/>
      <c r="L482" s="4"/>
      <c r="M482" s="4"/>
      <c r="N482" s="4"/>
      <c r="O482" s="4"/>
      <c r="P482" s="4"/>
      <c r="Q482" s="4"/>
      <c r="R482" s="4"/>
      <c r="S482" s="4"/>
      <c r="T482" s="4"/>
      <c r="U482" s="4"/>
      <c r="V482" s="4"/>
      <c r="W482" s="4"/>
      <c r="X482" s="4"/>
      <c r="Y482" s="4"/>
    </row>
    <row r="483" spans="1:25" x14ac:dyDescent="0.2">
      <c r="A483" s="41"/>
      <c r="B483" s="5"/>
      <c r="C483" s="4"/>
      <c r="D483" s="4"/>
      <c r="E483" s="4"/>
      <c r="F483" s="4"/>
      <c r="G483" s="4"/>
      <c r="H483" s="4"/>
      <c r="I483" s="4"/>
      <c r="J483" s="4"/>
      <c r="K483" s="4"/>
      <c r="L483" s="4"/>
      <c r="M483" s="4"/>
      <c r="N483" s="4"/>
      <c r="O483" s="4"/>
      <c r="P483" s="4"/>
      <c r="Q483" s="4"/>
      <c r="R483" s="4"/>
      <c r="S483" s="4"/>
      <c r="T483" s="4"/>
      <c r="U483" s="4"/>
      <c r="V483" s="4"/>
      <c r="W483" s="4"/>
      <c r="X483" s="4"/>
      <c r="Y483" s="4"/>
    </row>
    <row r="484" spans="1:25" x14ac:dyDescent="0.2">
      <c r="A484" s="41"/>
      <c r="B484" s="5"/>
      <c r="C484" s="4"/>
      <c r="D484" s="4"/>
      <c r="E484" s="4"/>
      <c r="F484" s="4"/>
      <c r="G484" s="4"/>
      <c r="H484" s="4"/>
      <c r="I484" s="4"/>
      <c r="J484" s="4"/>
      <c r="K484" s="4"/>
      <c r="L484" s="4"/>
      <c r="M484" s="4"/>
      <c r="N484" s="4"/>
      <c r="O484" s="4"/>
      <c r="P484" s="4"/>
      <c r="Q484" s="4"/>
      <c r="R484" s="4"/>
      <c r="S484" s="4"/>
      <c r="T484" s="4"/>
      <c r="U484" s="4"/>
      <c r="V484" s="4"/>
      <c r="W484" s="4"/>
      <c r="X484" s="4"/>
      <c r="Y484" s="4"/>
    </row>
    <row r="485" spans="1:25" x14ac:dyDescent="0.2">
      <c r="A485" s="41"/>
      <c r="B485" s="5"/>
      <c r="C485" s="4"/>
      <c r="D485" s="4"/>
      <c r="E485" s="4"/>
      <c r="F485" s="4"/>
      <c r="G485" s="4"/>
      <c r="H485" s="4"/>
      <c r="I485" s="4"/>
      <c r="J485" s="4"/>
      <c r="K485" s="4"/>
      <c r="L485" s="4"/>
      <c r="M485" s="4"/>
      <c r="N485" s="4"/>
      <c r="O485" s="4"/>
      <c r="P485" s="4"/>
      <c r="Q485" s="4"/>
      <c r="R485" s="4"/>
      <c r="S485" s="4"/>
      <c r="T485" s="4"/>
      <c r="U485" s="4"/>
      <c r="V485" s="4"/>
      <c r="W485" s="4"/>
      <c r="X485" s="4"/>
      <c r="Y485" s="4"/>
    </row>
    <row r="486" spans="1:25" x14ac:dyDescent="0.2">
      <c r="A486" s="41"/>
      <c r="B486" s="5"/>
      <c r="C486" s="4"/>
      <c r="D486" s="4"/>
      <c r="E486" s="4"/>
      <c r="F486" s="4"/>
      <c r="G486" s="4"/>
      <c r="H486" s="4"/>
      <c r="I486" s="4"/>
      <c r="J486" s="4"/>
      <c r="K486" s="4"/>
      <c r="L486" s="4"/>
      <c r="M486" s="4"/>
      <c r="N486" s="4"/>
      <c r="O486" s="4"/>
      <c r="P486" s="4"/>
      <c r="Q486" s="4"/>
      <c r="R486" s="4"/>
      <c r="S486" s="4"/>
      <c r="T486" s="4"/>
      <c r="U486" s="4"/>
      <c r="V486" s="4"/>
      <c r="W486" s="4"/>
      <c r="X486" s="4"/>
      <c r="Y486" s="4"/>
    </row>
    <row r="487" spans="1:25" x14ac:dyDescent="0.2">
      <c r="A487" s="41"/>
      <c r="B487" s="5"/>
      <c r="C487" s="4"/>
      <c r="D487" s="4"/>
      <c r="E487" s="4"/>
      <c r="F487" s="4"/>
      <c r="G487" s="4"/>
      <c r="H487" s="4"/>
      <c r="I487" s="4"/>
      <c r="J487" s="4"/>
      <c r="K487" s="4"/>
      <c r="L487" s="4"/>
      <c r="M487" s="4"/>
      <c r="N487" s="4"/>
      <c r="O487" s="4"/>
      <c r="P487" s="4"/>
      <c r="Q487" s="4"/>
      <c r="R487" s="4"/>
      <c r="S487" s="4"/>
      <c r="T487" s="4"/>
      <c r="U487" s="4"/>
      <c r="V487" s="4"/>
      <c r="W487" s="4"/>
      <c r="X487" s="4"/>
      <c r="Y487" s="4"/>
    </row>
    <row r="488" spans="1:25" x14ac:dyDescent="0.2">
      <c r="A488" s="41"/>
      <c r="B488" s="5"/>
      <c r="C488" s="4"/>
      <c r="D488" s="4"/>
      <c r="E488" s="4"/>
      <c r="F488" s="4"/>
      <c r="G488" s="4"/>
      <c r="H488" s="4"/>
      <c r="I488" s="4"/>
      <c r="J488" s="4"/>
      <c r="K488" s="4"/>
      <c r="L488" s="4"/>
      <c r="M488" s="4"/>
      <c r="N488" s="4"/>
      <c r="O488" s="4"/>
      <c r="P488" s="4"/>
      <c r="Q488" s="4"/>
      <c r="R488" s="4"/>
      <c r="S488" s="4"/>
      <c r="T488" s="4"/>
      <c r="U488" s="4"/>
      <c r="V488" s="4"/>
      <c r="W488" s="4"/>
      <c r="X488" s="4"/>
      <c r="Y488" s="4"/>
    </row>
    <row r="489" spans="1:25" x14ac:dyDescent="0.2">
      <c r="A489" s="41"/>
      <c r="B489" s="5"/>
      <c r="C489" s="4"/>
      <c r="D489" s="4"/>
      <c r="E489" s="4"/>
      <c r="F489" s="4"/>
      <c r="G489" s="4"/>
      <c r="H489" s="4"/>
      <c r="I489" s="4"/>
      <c r="J489" s="4"/>
      <c r="K489" s="4"/>
      <c r="L489" s="4"/>
      <c r="M489" s="4"/>
      <c r="N489" s="4"/>
      <c r="O489" s="4"/>
      <c r="P489" s="4"/>
      <c r="Q489" s="4"/>
      <c r="R489" s="4"/>
      <c r="S489" s="4"/>
      <c r="T489" s="4"/>
      <c r="U489" s="4"/>
      <c r="V489" s="4"/>
      <c r="W489" s="4"/>
      <c r="X489" s="4"/>
      <c r="Y489" s="4"/>
    </row>
    <row r="490" spans="1:25" x14ac:dyDescent="0.2">
      <c r="A490" s="41"/>
      <c r="B490" s="5"/>
      <c r="C490" s="4"/>
      <c r="D490" s="4"/>
      <c r="E490" s="4"/>
      <c r="F490" s="4"/>
      <c r="G490" s="4"/>
      <c r="H490" s="4"/>
      <c r="I490" s="4"/>
      <c r="J490" s="4"/>
      <c r="K490" s="4"/>
      <c r="L490" s="4"/>
      <c r="M490" s="4"/>
      <c r="N490" s="4"/>
      <c r="O490" s="4"/>
      <c r="P490" s="4"/>
      <c r="Q490" s="4"/>
      <c r="R490" s="4"/>
      <c r="S490" s="4"/>
      <c r="T490" s="4"/>
      <c r="U490" s="4"/>
      <c r="V490" s="4"/>
      <c r="W490" s="4"/>
      <c r="X490" s="4"/>
      <c r="Y490" s="4"/>
    </row>
    <row r="491" spans="1:25" x14ac:dyDescent="0.2">
      <c r="A491" s="41"/>
      <c r="B491" s="5"/>
      <c r="C491" s="4"/>
      <c r="D491" s="4"/>
      <c r="E491" s="4"/>
      <c r="F491" s="4"/>
      <c r="G491" s="4"/>
      <c r="H491" s="4"/>
      <c r="I491" s="4"/>
      <c r="J491" s="4"/>
      <c r="K491" s="4"/>
      <c r="L491" s="4"/>
      <c r="M491" s="4"/>
      <c r="N491" s="4"/>
      <c r="O491" s="4"/>
      <c r="P491" s="4"/>
      <c r="Q491" s="4"/>
      <c r="R491" s="4"/>
      <c r="S491" s="4"/>
      <c r="T491" s="4"/>
      <c r="U491" s="4"/>
      <c r="V491" s="4"/>
      <c r="W491" s="4"/>
      <c r="X491" s="4"/>
      <c r="Y491" s="4"/>
    </row>
    <row r="492" spans="1:25" x14ac:dyDescent="0.2">
      <c r="A492" s="41"/>
      <c r="B492" s="5"/>
      <c r="C492" s="4"/>
      <c r="D492" s="4"/>
      <c r="E492" s="4"/>
      <c r="F492" s="4"/>
      <c r="G492" s="4"/>
      <c r="H492" s="4"/>
      <c r="I492" s="4"/>
      <c r="J492" s="4"/>
      <c r="K492" s="4"/>
      <c r="L492" s="4"/>
      <c r="M492" s="4"/>
      <c r="N492" s="4"/>
      <c r="O492" s="4"/>
      <c r="P492" s="4"/>
      <c r="Q492" s="4"/>
      <c r="R492" s="4"/>
      <c r="S492" s="4"/>
      <c r="T492" s="4"/>
      <c r="U492" s="4"/>
      <c r="V492" s="4"/>
      <c r="W492" s="4"/>
      <c r="X492" s="4"/>
      <c r="Y492" s="4"/>
    </row>
    <row r="493" spans="1:25" x14ac:dyDescent="0.2">
      <c r="A493" s="41"/>
      <c r="B493" s="5"/>
      <c r="C493" s="4"/>
      <c r="D493" s="4"/>
      <c r="E493" s="4"/>
      <c r="F493" s="4"/>
      <c r="G493" s="4"/>
      <c r="H493" s="4"/>
      <c r="I493" s="4"/>
      <c r="J493" s="4"/>
      <c r="K493" s="4"/>
      <c r="L493" s="4"/>
      <c r="M493" s="4"/>
      <c r="N493" s="4"/>
      <c r="O493" s="4"/>
      <c r="P493" s="4"/>
      <c r="Q493" s="4"/>
      <c r="R493" s="4"/>
      <c r="S493" s="4"/>
      <c r="T493" s="4"/>
      <c r="U493" s="4"/>
      <c r="V493" s="4"/>
      <c r="W493" s="4"/>
      <c r="X493" s="4"/>
      <c r="Y493" s="4"/>
    </row>
    <row r="494" spans="1:25" x14ac:dyDescent="0.2">
      <c r="A494" s="41"/>
      <c r="B494" s="5"/>
      <c r="C494" s="4"/>
      <c r="D494" s="4"/>
      <c r="E494" s="4"/>
      <c r="F494" s="4"/>
      <c r="G494" s="4"/>
      <c r="H494" s="4"/>
      <c r="I494" s="4"/>
      <c r="J494" s="4"/>
      <c r="K494" s="4"/>
      <c r="L494" s="4"/>
      <c r="M494" s="4"/>
      <c r="N494" s="4"/>
      <c r="O494" s="4"/>
      <c r="P494" s="4"/>
      <c r="Q494" s="4"/>
      <c r="R494" s="4"/>
      <c r="S494" s="4"/>
      <c r="T494" s="4"/>
      <c r="U494" s="4"/>
      <c r="V494" s="4"/>
      <c r="W494" s="4"/>
      <c r="X494" s="4"/>
      <c r="Y494" s="4"/>
    </row>
    <row r="495" spans="1:25" x14ac:dyDescent="0.2">
      <c r="A495" s="41"/>
      <c r="B495" s="5"/>
      <c r="C495" s="4"/>
      <c r="D495" s="4"/>
      <c r="E495" s="4"/>
      <c r="F495" s="4"/>
      <c r="G495" s="4"/>
      <c r="H495" s="4"/>
      <c r="I495" s="4"/>
      <c r="J495" s="4"/>
      <c r="K495" s="4"/>
      <c r="L495" s="4"/>
      <c r="M495" s="4"/>
      <c r="N495" s="4"/>
      <c r="O495" s="4"/>
      <c r="P495" s="4"/>
      <c r="Q495" s="4"/>
      <c r="R495" s="4"/>
      <c r="S495" s="4"/>
      <c r="T495" s="4"/>
      <c r="U495" s="4"/>
      <c r="V495" s="4"/>
      <c r="W495" s="4"/>
      <c r="X495" s="4"/>
      <c r="Y495" s="4"/>
    </row>
    <row r="496" spans="1:25" x14ac:dyDescent="0.2">
      <c r="A496" s="41"/>
      <c r="B496" s="5"/>
      <c r="C496" s="4"/>
      <c r="D496" s="4"/>
      <c r="E496" s="4"/>
      <c r="F496" s="4"/>
      <c r="G496" s="4"/>
      <c r="H496" s="4"/>
      <c r="I496" s="4"/>
      <c r="J496" s="4"/>
      <c r="K496" s="4"/>
      <c r="L496" s="4"/>
      <c r="M496" s="4"/>
      <c r="N496" s="4"/>
      <c r="O496" s="4"/>
      <c r="P496" s="4"/>
      <c r="Q496" s="4"/>
      <c r="R496" s="4"/>
      <c r="S496" s="4"/>
      <c r="T496" s="4"/>
      <c r="U496" s="4"/>
      <c r="V496" s="4"/>
      <c r="W496" s="4"/>
      <c r="X496" s="4"/>
      <c r="Y496" s="4"/>
    </row>
    <row r="497" spans="1:25" x14ac:dyDescent="0.2">
      <c r="A497" s="41"/>
      <c r="B497" s="5"/>
      <c r="C497" s="4"/>
      <c r="D497" s="4"/>
      <c r="E497" s="4"/>
      <c r="F497" s="4"/>
      <c r="G497" s="4"/>
      <c r="H497" s="4"/>
      <c r="I497" s="4"/>
      <c r="J497" s="4"/>
      <c r="K497" s="4"/>
      <c r="L497" s="4"/>
      <c r="M497" s="4"/>
      <c r="N497" s="4"/>
      <c r="O497" s="4"/>
      <c r="P497" s="4"/>
      <c r="Q497" s="4"/>
      <c r="R497" s="4"/>
      <c r="S497" s="4"/>
      <c r="T497" s="4"/>
      <c r="U497" s="4"/>
      <c r="V497" s="4"/>
      <c r="W497" s="4"/>
      <c r="X497" s="4"/>
      <c r="Y497" s="4"/>
    </row>
    <row r="498" spans="1:25" x14ac:dyDescent="0.2">
      <c r="A498" s="41"/>
      <c r="B498" s="5"/>
      <c r="C498" s="4"/>
      <c r="D498" s="4"/>
      <c r="E498" s="4"/>
      <c r="F498" s="4"/>
      <c r="G498" s="4"/>
      <c r="H498" s="4"/>
      <c r="I498" s="4"/>
      <c r="J498" s="4"/>
      <c r="K498" s="4"/>
      <c r="L498" s="4"/>
      <c r="M498" s="4"/>
      <c r="N498" s="4"/>
      <c r="O498" s="4"/>
      <c r="P498" s="4"/>
      <c r="Q498" s="4"/>
      <c r="R498" s="4"/>
      <c r="S498" s="4"/>
      <c r="T498" s="4"/>
      <c r="U498" s="4"/>
      <c r="V498" s="4"/>
      <c r="W498" s="4"/>
      <c r="X498" s="4"/>
      <c r="Y498" s="4"/>
    </row>
    <row r="499" spans="1:25" x14ac:dyDescent="0.2">
      <c r="A499" s="41"/>
      <c r="B499" s="5"/>
      <c r="C499" s="4"/>
      <c r="D499" s="4"/>
      <c r="E499" s="4"/>
      <c r="F499" s="4"/>
      <c r="G499" s="4"/>
      <c r="H499" s="4"/>
      <c r="I499" s="4"/>
      <c r="J499" s="4"/>
      <c r="K499" s="4"/>
      <c r="L499" s="4"/>
      <c r="M499" s="4"/>
      <c r="N499" s="4"/>
      <c r="O499" s="4"/>
      <c r="P499" s="4"/>
      <c r="Q499" s="4"/>
      <c r="R499" s="4"/>
      <c r="S499" s="4"/>
      <c r="T499" s="4"/>
      <c r="U499" s="4"/>
      <c r="V499" s="4"/>
      <c r="W499" s="4"/>
      <c r="X499" s="4"/>
      <c r="Y499" s="4"/>
    </row>
    <row r="500" spans="1:25" x14ac:dyDescent="0.2">
      <c r="A500" s="41"/>
      <c r="B500" s="5"/>
      <c r="C500" s="4"/>
      <c r="D500" s="4"/>
      <c r="E500" s="4"/>
      <c r="F500" s="4"/>
      <c r="G500" s="4"/>
      <c r="H500" s="4"/>
      <c r="I500" s="4"/>
      <c r="J500" s="4"/>
      <c r="K500" s="4"/>
      <c r="L500" s="4"/>
      <c r="M500" s="4"/>
      <c r="N500" s="4"/>
      <c r="O500" s="4"/>
      <c r="P500" s="4"/>
      <c r="Q500" s="4"/>
      <c r="R500" s="4"/>
      <c r="S500" s="4"/>
      <c r="T500" s="4"/>
      <c r="U500" s="4"/>
      <c r="V500" s="4"/>
      <c r="W500" s="4"/>
      <c r="X500" s="4"/>
      <c r="Y500" s="4"/>
    </row>
    <row r="501" spans="1:25" x14ac:dyDescent="0.2">
      <c r="A501" s="41"/>
      <c r="B501" s="5"/>
      <c r="C501" s="4"/>
      <c r="D501" s="4"/>
      <c r="E501" s="4"/>
      <c r="F501" s="4"/>
      <c r="G501" s="4"/>
      <c r="H501" s="4"/>
      <c r="I501" s="4"/>
      <c r="J501" s="4"/>
      <c r="K501" s="4"/>
      <c r="L501" s="4"/>
      <c r="M501" s="4"/>
      <c r="N501" s="4"/>
      <c r="O501" s="4"/>
      <c r="P501" s="4"/>
      <c r="Q501" s="4"/>
      <c r="R501" s="4"/>
      <c r="S501" s="4"/>
      <c r="T501" s="4"/>
      <c r="U501" s="4"/>
      <c r="V501" s="4"/>
      <c r="W501" s="4"/>
      <c r="X501" s="4"/>
      <c r="Y501" s="4"/>
    </row>
    <row r="502" spans="1:25" x14ac:dyDescent="0.2">
      <c r="A502" s="41"/>
      <c r="B502" s="5"/>
      <c r="C502" s="4"/>
      <c r="D502" s="4"/>
      <c r="E502" s="4"/>
      <c r="F502" s="4"/>
      <c r="G502" s="4"/>
      <c r="H502" s="4"/>
      <c r="I502" s="4"/>
      <c r="J502" s="4"/>
      <c r="K502" s="4"/>
      <c r="L502" s="4"/>
      <c r="M502" s="4"/>
      <c r="N502" s="4"/>
      <c r="O502" s="4"/>
      <c r="P502" s="4"/>
      <c r="Q502" s="4"/>
      <c r="R502" s="4"/>
      <c r="S502" s="4"/>
      <c r="T502" s="4"/>
      <c r="U502" s="4"/>
      <c r="V502" s="4"/>
      <c r="W502" s="4"/>
      <c r="X502" s="4"/>
      <c r="Y502" s="4"/>
    </row>
    <row r="503" spans="1:25" x14ac:dyDescent="0.2">
      <c r="A503" s="41"/>
      <c r="B503" s="5"/>
      <c r="C503" s="4"/>
      <c r="D503" s="4"/>
      <c r="E503" s="4"/>
      <c r="F503" s="4"/>
      <c r="G503" s="4"/>
      <c r="H503" s="4"/>
      <c r="I503" s="4"/>
      <c r="J503" s="4"/>
      <c r="K503" s="4"/>
      <c r="L503" s="4"/>
      <c r="M503" s="4"/>
      <c r="N503" s="4"/>
      <c r="O503" s="4"/>
      <c r="P503" s="4"/>
      <c r="Q503" s="4"/>
      <c r="R503" s="4"/>
      <c r="S503" s="4"/>
      <c r="T503" s="4"/>
      <c r="U503" s="4"/>
      <c r="V503" s="4"/>
      <c r="W503" s="4"/>
      <c r="X503" s="4"/>
      <c r="Y503" s="4"/>
    </row>
    <row r="504" spans="1:25" x14ac:dyDescent="0.2">
      <c r="A504" s="41"/>
      <c r="B504" s="5"/>
      <c r="C504" s="4"/>
      <c r="D504" s="4"/>
      <c r="E504" s="4"/>
      <c r="F504" s="4"/>
      <c r="G504" s="4"/>
      <c r="H504" s="4"/>
      <c r="I504" s="4"/>
      <c r="J504" s="4"/>
      <c r="K504" s="4"/>
      <c r="L504" s="4"/>
      <c r="M504" s="4"/>
      <c r="N504" s="4"/>
      <c r="O504" s="4"/>
      <c r="P504" s="4"/>
      <c r="Q504" s="4"/>
      <c r="R504" s="4"/>
      <c r="S504" s="4"/>
      <c r="T504" s="4"/>
      <c r="U504" s="4"/>
      <c r="V504" s="4"/>
      <c r="W504" s="4"/>
      <c r="X504" s="4"/>
      <c r="Y504" s="4"/>
    </row>
    <row r="505" spans="1:25" x14ac:dyDescent="0.2">
      <c r="A505" s="41"/>
      <c r="B505" s="5"/>
      <c r="C505" s="4"/>
      <c r="D505" s="4"/>
      <c r="E505" s="4"/>
      <c r="F505" s="4"/>
      <c r="G505" s="4"/>
      <c r="H505" s="4"/>
      <c r="I505" s="4"/>
      <c r="J505" s="4"/>
      <c r="K505" s="4"/>
      <c r="L505" s="4"/>
      <c r="M505" s="4"/>
      <c r="N505" s="4"/>
      <c r="O505" s="4"/>
      <c r="P505" s="4"/>
      <c r="Q505" s="4"/>
      <c r="R505" s="4"/>
      <c r="S505" s="4"/>
      <c r="T505" s="4"/>
      <c r="U505" s="4"/>
      <c r="V505" s="4"/>
      <c r="W505" s="4"/>
      <c r="X505" s="4"/>
      <c r="Y505" s="4"/>
    </row>
    <row r="506" spans="1:25" x14ac:dyDescent="0.2">
      <c r="A506" s="41"/>
      <c r="B506" s="5"/>
      <c r="C506" s="4"/>
      <c r="D506" s="4"/>
      <c r="E506" s="4"/>
      <c r="F506" s="4"/>
      <c r="G506" s="4"/>
      <c r="H506" s="4"/>
      <c r="I506" s="4"/>
      <c r="J506" s="4"/>
      <c r="K506" s="4"/>
      <c r="L506" s="4"/>
      <c r="M506" s="4"/>
      <c r="N506" s="4"/>
      <c r="O506" s="4"/>
      <c r="P506" s="4"/>
      <c r="Q506" s="4"/>
      <c r="R506" s="4"/>
      <c r="S506" s="4"/>
      <c r="T506" s="4"/>
      <c r="U506" s="4"/>
      <c r="V506" s="4"/>
      <c r="W506" s="4"/>
      <c r="X506" s="4"/>
      <c r="Y506" s="4"/>
    </row>
    <row r="507" spans="1:25" x14ac:dyDescent="0.2">
      <c r="A507" s="41"/>
      <c r="B507" s="5"/>
      <c r="C507" s="4"/>
      <c r="D507" s="4"/>
      <c r="E507" s="4"/>
      <c r="F507" s="4"/>
      <c r="G507" s="4"/>
      <c r="H507" s="4"/>
      <c r="I507" s="4"/>
      <c r="J507" s="4"/>
      <c r="K507" s="4"/>
      <c r="L507" s="4"/>
      <c r="M507" s="4"/>
      <c r="N507" s="4"/>
      <c r="O507" s="4"/>
      <c r="P507" s="4"/>
      <c r="Q507" s="4"/>
      <c r="R507" s="4"/>
      <c r="S507" s="4"/>
      <c r="T507" s="4"/>
      <c r="U507" s="4"/>
      <c r="V507" s="4"/>
      <c r="W507" s="4"/>
      <c r="X507" s="4"/>
      <c r="Y507" s="4"/>
    </row>
    <row r="508" spans="1:25" x14ac:dyDescent="0.2">
      <c r="A508" s="41"/>
      <c r="B508" s="5"/>
      <c r="C508" s="4"/>
      <c r="D508" s="4"/>
      <c r="E508" s="4"/>
      <c r="F508" s="4"/>
      <c r="G508" s="4"/>
      <c r="H508" s="4"/>
      <c r="I508" s="4"/>
      <c r="J508" s="4"/>
      <c r="K508" s="4"/>
      <c r="L508" s="4"/>
      <c r="M508" s="4"/>
      <c r="N508" s="4"/>
      <c r="O508" s="4"/>
      <c r="P508" s="4"/>
      <c r="Q508" s="4"/>
      <c r="R508" s="4"/>
      <c r="S508" s="4"/>
      <c r="T508" s="4"/>
      <c r="U508" s="4"/>
      <c r="V508" s="4"/>
      <c r="W508" s="4"/>
      <c r="X508" s="4"/>
      <c r="Y508" s="4"/>
    </row>
    <row r="509" spans="1:25" x14ac:dyDescent="0.2">
      <c r="A509" s="41"/>
      <c r="B509" s="5"/>
      <c r="C509" s="4"/>
      <c r="D509" s="4"/>
      <c r="E509" s="4"/>
      <c r="F509" s="4"/>
      <c r="G509" s="4"/>
      <c r="H509" s="4"/>
      <c r="I509" s="4"/>
      <c r="J509" s="4"/>
      <c r="K509" s="4"/>
      <c r="L509" s="4"/>
      <c r="M509" s="4"/>
      <c r="N509" s="4"/>
      <c r="O509" s="4"/>
      <c r="P509" s="4"/>
      <c r="Q509" s="4"/>
      <c r="R509" s="4"/>
      <c r="S509" s="4"/>
      <c r="T509" s="4"/>
      <c r="U509" s="4"/>
      <c r="V509" s="4"/>
      <c r="W509" s="4"/>
      <c r="X509" s="4"/>
      <c r="Y509" s="4"/>
    </row>
    <row r="510" spans="1:25" x14ac:dyDescent="0.2">
      <c r="A510" s="41"/>
      <c r="B510" s="5"/>
      <c r="C510" s="4"/>
      <c r="D510" s="4"/>
      <c r="E510" s="4"/>
      <c r="F510" s="4"/>
      <c r="G510" s="4"/>
      <c r="H510" s="4"/>
      <c r="I510" s="4"/>
      <c r="J510" s="4"/>
      <c r="K510" s="4"/>
      <c r="L510" s="4"/>
      <c r="M510" s="4"/>
      <c r="N510" s="4"/>
      <c r="O510" s="4"/>
      <c r="P510" s="4"/>
      <c r="Q510" s="4"/>
      <c r="R510" s="4"/>
      <c r="S510" s="4"/>
      <c r="T510" s="4"/>
      <c r="U510" s="4"/>
      <c r="V510" s="4"/>
      <c r="W510" s="4"/>
      <c r="X510" s="4"/>
      <c r="Y510" s="4"/>
    </row>
    <row r="511" spans="1:25" x14ac:dyDescent="0.2">
      <c r="A511" s="41"/>
      <c r="B511" s="5"/>
      <c r="C511" s="4"/>
      <c r="D511" s="4"/>
      <c r="E511" s="4"/>
      <c r="F511" s="4"/>
      <c r="G511" s="4"/>
      <c r="H511" s="4"/>
      <c r="I511" s="4"/>
      <c r="J511" s="4"/>
      <c r="K511" s="4"/>
      <c r="L511" s="4"/>
      <c r="M511" s="4"/>
      <c r="N511" s="4"/>
      <c r="O511" s="4"/>
      <c r="P511" s="4"/>
      <c r="Q511" s="4"/>
      <c r="R511" s="4"/>
      <c r="S511" s="4"/>
      <c r="T511" s="4"/>
      <c r="U511" s="4"/>
      <c r="V511" s="4"/>
      <c r="W511" s="4"/>
      <c r="X511" s="4"/>
      <c r="Y511" s="4"/>
    </row>
    <row r="512" spans="1:25" x14ac:dyDescent="0.2">
      <c r="A512" s="41"/>
      <c r="B512" s="5"/>
      <c r="C512" s="4"/>
      <c r="D512" s="4"/>
      <c r="E512" s="4"/>
      <c r="F512" s="4"/>
      <c r="G512" s="4"/>
      <c r="H512" s="4"/>
      <c r="I512" s="4"/>
      <c r="J512" s="4"/>
      <c r="K512" s="4"/>
      <c r="L512" s="4"/>
      <c r="M512" s="4"/>
      <c r="N512" s="4"/>
      <c r="O512" s="4"/>
      <c r="P512" s="4"/>
      <c r="Q512" s="4"/>
      <c r="R512" s="4"/>
      <c r="S512" s="4"/>
      <c r="T512" s="4"/>
      <c r="U512" s="4"/>
      <c r="V512" s="4"/>
      <c r="W512" s="4"/>
      <c r="X512" s="4"/>
      <c r="Y512" s="4"/>
    </row>
    <row r="513" spans="1:25" x14ac:dyDescent="0.2">
      <c r="A513" s="41"/>
      <c r="B513" s="5"/>
      <c r="C513" s="4"/>
      <c r="D513" s="4"/>
      <c r="E513" s="4"/>
      <c r="F513" s="4"/>
      <c r="G513" s="4"/>
      <c r="H513" s="4"/>
      <c r="I513" s="4"/>
      <c r="J513" s="4"/>
      <c r="K513" s="4"/>
      <c r="L513" s="4"/>
      <c r="M513" s="4"/>
      <c r="N513" s="4"/>
      <c r="O513" s="4"/>
      <c r="P513" s="4"/>
      <c r="Q513" s="4"/>
      <c r="R513" s="4"/>
      <c r="S513" s="4"/>
      <c r="T513" s="4"/>
      <c r="U513" s="4"/>
      <c r="V513" s="4"/>
      <c r="W513" s="4"/>
      <c r="X513" s="4"/>
      <c r="Y513" s="4"/>
    </row>
    <row r="514" spans="1:25" x14ac:dyDescent="0.2">
      <c r="A514" s="41"/>
      <c r="B514" s="5"/>
      <c r="C514" s="4"/>
      <c r="D514" s="4"/>
      <c r="E514" s="4"/>
      <c r="F514" s="4"/>
      <c r="G514" s="4"/>
      <c r="H514" s="4"/>
      <c r="I514" s="4"/>
      <c r="J514" s="4"/>
      <c r="K514" s="4"/>
      <c r="L514" s="4"/>
      <c r="M514" s="4"/>
      <c r="N514" s="4"/>
      <c r="O514" s="4"/>
      <c r="P514" s="4"/>
      <c r="Q514" s="4"/>
      <c r="R514" s="4"/>
      <c r="S514" s="4"/>
      <c r="T514" s="4"/>
      <c r="U514" s="4"/>
      <c r="V514" s="4"/>
      <c r="W514" s="4"/>
      <c r="X514" s="4"/>
      <c r="Y514" s="4"/>
    </row>
    <row r="515" spans="1:25" x14ac:dyDescent="0.2">
      <c r="A515" s="41"/>
      <c r="B515" s="5"/>
      <c r="C515" s="4"/>
      <c r="D515" s="4"/>
      <c r="E515" s="4"/>
      <c r="F515" s="4"/>
      <c r="G515" s="4"/>
      <c r="H515" s="4"/>
      <c r="I515" s="4"/>
      <c r="J515" s="4"/>
      <c r="K515" s="4"/>
      <c r="L515" s="4"/>
      <c r="M515" s="4"/>
      <c r="N515" s="4"/>
      <c r="O515" s="4"/>
      <c r="P515" s="4"/>
      <c r="Q515" s="4"/>
      <c r="R515" s="4"/>
      <c r="S515" s="4"/>
      <c r="T515" s="4"/>
      <c r="U515" s="4"/>
      <c r="V515" s="4"/>
      <c r="W515" s="4"/>
      <c r="X515" s="4"/>
      <c r="Y515" s="4"/>
    </row>
    <row r="516" spans="1:25" x14ac:dyDescent="0.2">
      <c r="A516" s="41"/>
      <c r="B516" s="5"/>
      <c r="C516" s="4"/>
      <c r="D516" s="4"/>
      <c r="E516" s="4"/>
      <c r="F516" s="4"/>
      <c r="G516" s="4"/>
      <c r="H516" s="4"/>
      <c r="I516" s="4"/>
      <c r="J516" s="4"/>
      <c r="K516" s="4"/>
      <c r="L516" s="4"/>
      <c r="M516" s="4"/>
      <c r="N516" s="4"/>
      <c r="O516" s="4"/>
      <c r="P516" s="4"/>
      <c r="Q516" s="4"/>
      <c r="R516" s="4"/>
      <c r="S516" s="4"/>
      <c r="T516" s="4"/>
      <c r="U516" s="4"/>
      <c r="V516" s="4"/>
      <c r="W516" s="4"/>
      <c r="X516" s="4"/>
      <c r="Y516" s="4"/>
    </row>
    <row r="517" spans="1:25" x14ac:dyDescent="0.2">
      <c r="A517" s="41"/>
      <c r="B517" s="5"/>
      <c r="C517" s="4"/>
      <c r="D517" s="4"/>
      <c r="E517" s="4"/>
      <c r="F517" s="4"/>
      <c r="G517" s="4"/>
      <c r="H517" s="4"/>
      <c r="I517" s="4"/>
      <c r="J517" s="4"/>
      <c r="K517" s="4"/>
      <c r="L517" s="4"/>
      <c r="M517" s="4"/>
      <c r="N517" s="4"/>
      <c r="O517" s="4"/>
      <c r="P517" s="4"/>
      <c r="Q517" s="4"/>
      <c r="R517" s="4"/>
      <c r="S517" s="4"/>
      <c r="T517" s="4"/>
      <c r="U517" s="4"/>
      <c r="V517" s="4"/>
      <c r="W517" s="4"/>
      <c r="X517" s="4"/>
      <c r="Y517" s="4"/>
    </row>
    <row r="518" spans="1:25" x14ac:dyDescent="0.2">
      <c r="A518" s="41"/>
      <c r="B518" s="5"/>
      <c r="C518" s="4"/>
      <c r="D518" s="4"/>
      <c r="E518" s="4"/>
      <c r="F518" s="4"/>
      <c r="G518" s="4"/>
      <c r="H518" s="4"/>
      <c r="I518" s="4"/>
      <c r="J518" s="4"/>
      <c r="K518" s="4"/>
      <c r="L518" s="4"/>
      <c r="M518" s="4"/>
      <c r="N518" s="4"/>
      <c r="O518" s="4"/>
      <c r="P518" s="4"/>
      <c r="Q518" s="4"/>
      <c r="R518" s="4"/>
      <c r="S518" s="4"/>
      <c r="T518" s="4"/>
      <c r="U518" s="4"/>
      <c r="V518" s="4"/>
      <c r="W518" s="4"/>
      <c r="X518" s="4"/>
      <c r="Y518" s="4"/>
    </row>
    <row r="519" spans="1:25" x14ac:dyDescent="0.2">
      <c r="A519" s="41"/>
      <c r="B519" s="5"/>
      <c r="C519" s="4"/>
      <c r="D519" s="4"/>
      <c r="E519" s="4"/>
      <c r="F519" s="4"/>
      <c r="G519" s="4"/>
      <c r="H519" s="4"/>
      <c r="I519" s="4"/>
      <c r="J519" s="4"/>
      <c r="K519" s="4"/>
      <c r="L519" s="4"/>
      <c r="M519" s="4"/>
      <c r="N519" s="4"/>
      <c r="O519" s="4"/>
      <c r="P519" s="4"/>
      <c r="Q519" s="4"/>
      <c r="R519" s="4"/>
      <c r="S519" s="4"/>
      <c r="T519" s="4"/>
      <c r="U519" s="4"/>
      <c r="V519" s="4"/>
      <c r="W519" s="4"/>
      <c r="X519" s="4"/>
      <c r="Y519" s="4"/>
    </row>
    <row r="520" spans="1:25" x14ac:dyDescent="0.2">
      <c r="A520" s="41"/>
      <c r="B520" s="5"/>
      <c r="C520" s="4"/>
      <c r="D520" s="4"/>
      <c r="E520" s="4"/>
      <c r="F520" s="4"/>
      <c r="G520" s="4"/>
      <c r="H520" s="4"/>
      <c r="I520" s="4"/>
      <c r="J520" s="4"/>
      <c r="K520" s="4"/>
      <c r="L520" s="4"/>
      <c r="M520" s="4"/>
      <c r="N520" s="4"/>
      <c r="O520" s="4"/>
      <c r="P520" s="4"/>
      <c r="Q520" s="4"/>
      <c r="R520" s="4"/>
      <c r="S520" s="4"/>
      <c r="T520" s="4"/>
      <c r="U520" s="4"/>
      <c r="V520" s="4"/>
      <c r="W520" s="4"/>
      <c r="X520" s="4"/>
      <c r="Y520" s="4"/>
    </row>
    <row r="521" spans="1:25" x14ac:dyDescent="0.2">
      <c r="A521" s="41"/>
      <c r="B521" s="5"/>
      <c r="C521" s="4"/>
      <c r="D521" s="4"/>
      <c r="E521" s="4"/>
      <c r="F521" s="4"/>
      <c r="G521" s="4"/>
      <c r="H521" s="4"/>
      <c r="I521" s="4"/>
      <c r="J521" s="4"/>
      <c r="K521" s="4"/>
      <c r="L521" s="4"/>
      <c r="M521" s="4"/>
      <c r="N521" s="4"/>
      <c r="O521" s="4"/>
      <c r="P521" s="4"/>
      <c r="Q521" s="4"/>
      <c r="R521" s="4"/>
      <c r="S521" s="4"/>
      <c r="T521" s="4"/>
      <c r="U521" s="4"/>
      <c r="V521" s="4"/>
      <c r="W521" s="4"/>
      <c r="X521" s="4"/>
      <c r="Y521" s="4"/>
    </row>
    <row r="522" spans="1:25" x14ac:dyDescent="0.2">
      <c r="A522" s="41"/>
      <c r="B522" s="5"/>
      <c r="C522" s="4"/>
      <c r="D522" s="4"/>
      <c r="E522" s="4"/>
      <c r="F522" s="4"/>
      <c r="G522" s="4"/>
      <c r="H522" s="4"/>
      <c r="I522" s="4"/>
      <c r="J522" s="4"/>
      <c r="K522" s="4"/>
      <c r="L522" s="4"/>
      <c r="M522" s="4"/>
      <c r="N522" s="4"/>
      <c r="O522" s="4"/>
      <c r="P522" s="4"/>
      <c r="Q522" s="4"/>
      <c r="R522" s="4"/>
      <c r="S522" s="4"/>
      <c r="T522" s="4"/>
      <c r="U522" s="4"/>
      <c r="V522" s="4"/>
      <c r="W522" s="4"/>
      <c r="X522" s="4"/>
      <c r="Y522" s="4"/>
    </row>
    <row r="523" spans="1:25" x14ac:dyDescent="0.2">
      <c r="A523" s="41"/>
      <c r="B523" s="5"/>
      <c r="C523" s="4"/>
      <c r="D523" s="4"/>
      <c r="E523" s="4"/>
      <c r="F523" s="4"/>
      <c r="G523" s="4"/>
      <c r="H523" s="4"/>
      <c r="I523" s="4"/>
      <c r="J523" s="4"/>
      <c r="K523" s="4"/>
      <c r="L523" s="4"/>
      <c r="M523" s="4"/>
      <c r="N523" s="4"/>
      <c r="O523" s="4"/>
      <c r="P523" s="4"/>
      <c r="Q523" s="4"/>
      <c r="R523" s="4"/>
      <c r="S523" s="4"/>
      <c r="T523" s="4"/>
      <c r="U523" s="4"/>
      <c r="V523" s="4"/>
      <c r="W523" s="4"/>
      <c r="X523" s="4"/>
      <c r="Y523" s="4"/>
    </row>
    <row r="524" spans="1:25" x14ac:dyDescent="0.2">
      <c r="A524" s="41"/>
      <c r="B524" s="5"/>
      <c r="C524" s="4"/>
      <c r="D524" s="4"/>
      <c r="E524" s="4"/>
      <c r="F524" s="4"/>
      <c r="G524" s="4"/>
      <c r="H524" s="4"/>
      <c r="I524" s="4"/>
      <c r="J524" s="4"/>
      <c r="K524" s="4"/>
      <c r="L524" s="4"/>
      <c r="M524" s="4"/>
      <c r="N524" s="4"/>
      <c r="O524" s="4"/>
      <c r="P524" s="4"/>
      <c r="Q524" s="4"/>
      <c r="R524" s="4"/>
      <c r="S524" s="4"/>
      <c r="T524" s="4"/>
      <c r="U524" s="4"/>
      <c r="V524" s="4"/>
      <c r="W524" s="4"/>
      <c r="X524" s="4"/>
      <c r="Y524" s="4"/>
    </row>
    <row r="525" spans="1:25" x14ac:dyDescent="0.2">
      <c r="A525" s="41"/>
      <c r="B525" s="5"/>
      <c r="C525" s="4"/>
      <c r="D525" s="4"/>
      <c r="E525" s="4"/>
      <c r="F525" s="4"/>
      <c r="G525" s="4"/>
      <c r="H525" s="4"/>
      <c r="I525" s="4"/>
      <c r="J525" s="4"/>
      <c r="K525" s="4"/>
      <c r="L525" s="4"/>
      <c r="M525" s="4"/>
      <c r="N525" s="4"/>
      <c r="O525" s="4"/>
      <c r="P525" s="4"/>
      <c r="Q525" s="4"/>
      <c r="R525" s="4"/>
      <c r="S525" s="4"/>
      <c r="T525" s="4"/>
      <c r="U525" s="4"/>
      <c r="V525" s="4"/>
      <c r="W525" s="4"/>
      <c r="X525" s="4"/>
      <c r="Y525" s="4"/>
    </row>
    <row r="526" spans="1:25" x14ac:dyDescent="0.2">
      <c r="A526" s="41"/>
      <c r="B526" s="5"/>
      <c r="C526" s="4"/>
      <c r="D526" s="4"/>
      <c r="E526" s="4"/>
      <c r="F526" s="4"/>
      <c r="G526" s="4"/>
      <c r="H526" s="4"/>
      <c r="I526" s="4"/>
      <c r="J526" s="4"/>
      <c r="K526" s="4"/>
      <c r="L526" s="4"/>
      <c r="M526" s="4"/>
      <c r="N526" s="4"/>
      <c r="O526" s="4"/>
      <c r="P526" s="4"/>
      <c r="Q526" s="4"/>
      <c r="R526" s="4"/>
      <c r="S526" s="4"/>
      <c r="T526" s="4"/>
      <c r="U526" s="4"/>
      <c r="V526" s="4"/>
      <c r="W526" s="4"/>
      <c r="X526" s="4"/>
      <c r="Y526" s="4"/>
    </row>
    <row r="527" spans="1:25" x14ac:dyDescent="0.2">
      <c r="A527" s="41"/>
      <c r="B527" s="5"/>
      <c r="C527" s="4"/>
      <c r="D527" s="4"/>
      <c r="E527" s="4"/>
      <c r="F527" s="4"/>
      <c r="G527" s="4"/>
      <c r="H527" s="4"/>
      <c r="I527" s="4"/>
      <c r="J527" s="4"/>
      <c r="K527" s="4"/>
      <c r="L527" s="4"/>
      <c r="M527" s="4"/>
      <c r="N527" s="4"/>
      <c r="O527" s="4"/>
      <c r="P527" s="4"/>
      <c r="Q527" s="4"/>
      <c r="R527" s="4"/>
      <c r="S527" s="4"/>
      <c r="T527" s="4"/>
      <c r="U527" s="4"/>
      <c r="V527" s="4"/>
      <c r="W527" s="4"/>
      <c r="X527" s="4"/>
      <c r="Y527" s="4"/>
    </row>
    <row r="528" spans="1:25" x14ac:dyDescent="0.2">
      <c r="A528" s="41"/>
      <c r="B528" s="5"/>
      <c r="C528" s="4"/>
      <c r="D528" s="4"/>
      <c r="E528" s="4"/>
      <c r="F528" s="4"/>
      <c r="G528" s="4"/>
      <c r="H528" s="4"/>
      <c r="I528" s="4"/>
      <c r="J528" s="4"/>
      <c r="K528" s="4"/>
      <c r="L528" s="4"/>
      <c r="M528" s="4"/>
      <c r="N528" s="4"/>
      <c r="O528" s="4"/>
      <c r="P528" s="4"/>
      <c r="Q528" s="4"/>
      <c r="R528" s="4"/>
      <c r="S528" s="4"/>
      <c r="T528" s="4"/>
      <c r="U528" s="4"/>
      <c r="V528" s="4"/>
      <c r="W528" s="4"/>
      <c r="X528" s="4"/>
      <c r="Y528" s="4"/>
    </row>
    <row r="529" spans="1:25" x14ac:dyDescent="0.2">
      <c r="A529" s="41"/>
      <c r="B529" s="5"/>
      <c r="C529" s="4"/>
      <c r="D529" s="4"/>
      <c r="E529" s="4"/>
      <c r="F529" s="4"/>
      <c r="G529" s="4"/>
      <c r="H529" s="4"/>
      <c r="I529" s="4"/>
      <c r="J529" s="4"/>
      <c r="K529" s="4"/>
      <c r="L529" s="4"/>
      <c r="M529" s="4"/>
      <c r="N529" s="4"/>
      <c r="O529" s="4"/>
      <c r="P529" s="4"/>
      <c r="Q529" s="4"/>
      <c r="R529" s="4"/>
      <c r="S529" s="4"/>
      <c r="T529" s="4"/>
      <c r="U529" s="4"/>
      <c r="V529" s="4"/>
      <c r="W529" s="4"/>
      <c r="X529" s="4"/>
      <c r="Y529" s="4"/>
    </row>
    <row r="530" spans="1:25" x14ac:dyDescent="0.2">
      <c r="A530" s="41"/>
      <c r="B530" s="5"/>
      <c r="C530" s="4"/>
      <c r="D530" s="4"/>
      <c r="E530" s="4"/>
      <c r="F530" s="4"/>
      <c r="G530" s="4"/>
      <c r="H530" s="4"/>
      <c r="I530" s="4"/>
      <c r="J530" s="4"/>
      <c r="K530" s="4"/>
      <c r="L530" s="4"/>
      <c r="M530" s="4"/>
      <c r="N530" s="4"/>
      <c r="O530" s="4"/>
      <c r="P530" s="4"/>
      <c r="Q530" s="4"/>
      <c r="R530" s="4"/>
      <c r="S530" s="4"/>
      <c r="T530" s="4"/>
      <c r="U530" s="4"/>
      <c r="V530" s="4"/>
      <c r="W530" s="4"/>
      <c r="X530" s="4"/>
      <c r="Y530" s="4"/>
    </row>
    <row r="531" spans="1:25" x14ac:dyDescent="0.2">
      <c r="A531" s="41"/>
      <c r="B531" s="5"/>
      <c r="C531" s="4"/>
      <c r="D531" s="4"/>
      <c r="E531" s="4"/>
      <c r="F531" s="4"/>
      <c r="G531" s="4"/>
      <c r="H531" s="4"/>
      <c r="I531" s="4"/>
      <c r="J531" s="4"/>
      <c r="K531" s="4"/>
      <c r="L531" s="4"/>
      <c r="M531" s="4"/>
      <c r="N531" s="4"/>
      <c r="O531" s="4"/>
      <c r="P531" s="4"/>
      <c r="Q531" s="4"/>
      <c r="R531" s="4"/>
      <c r="S531" s="4"/>
      <c r="T531" s="4"/>
      <c r="U531" s="4"/>
      <c r="V531" s="4"/>
      <c r="W531" s="4"/>
      <c r="X531" s="4"/>
      <c r="Y531" s="4"/>
    </row>
    <row r="532" spans="1:25" x14ac:dyDescent="0.2">
      <c r="A532" s="41"/>
      <c r="B532" s="5"/>
      <c r="C532" s="4"/>
      <c r="D532" s="4"/>
      <c r="E532" s="4"/>
      <c r="F532" s="4"/>
      <c r="G532" s="4"/>
      <c r="H532" s="4"/>
      <c r="I532" s="4"/>
      <c r="J532" s="4"/>
      <c r="K532" s="4"/>
      <c r="L532" s="4"/>
      <c r="M532" s="4"/>
      <c r="N532" s="4"/>
      <c r="O532" s="4"/>
      <c r="P532" s="4"/>
      <c r="Q532" s="4"/>
      <c r="R532" s="4"/>
      <c r="S532" s="4"/>
      <c r="T532" s="4"/>
      <c r="U532" s="4"/>
      <c r="V532" s="4"/>
      <c r="W532" s="4"/>
      <c r="X532" s="4"/>
      <c r="Y532" s="4"/>
    </row>
    <row r="533" spans="1:25" x14ac:dyDescent="0.2">
      <c r="A533" s="41"/>
      <c r="B533" s="5"/>
      <c r="C533" s="4"/>
      <c r="D533" s="4"/>
      <c r="E533" s="4"/>
      <c r="F533" s="4"/>
      <c r="G533" s="4"/>
      <c r="H533" s="4"/>
      <c r="I533" s="4"/>
      <c r="J533" s="4"/>
      <c r="K533" s="4"/>
      <c r="L533" s="4"/>
      <c r="M533" s="4"/>
      <c r="N533" s="4"/>
      <c r="O533" s="4"/>
      <c r="P533" s="4"/>
      <c r="Q533" s="4"/>
      <c r="R533" s="4"/>
      <c r="S533" s="4"/>
      <c r="T533" s="4"/>
      <c r="U533" s="4"/>
      <c r="V533" s="4"/>
      <c r="W533" s="4"/>
      <c r="X533" s="4"/>
      <c r="Y533" s="4"/>
    </row>
    <row r="534" spans="1:25" x14ac:dyDescent="0.2">
      <c r="A534" s="41"/>
      <c r="B534" s="5"/>
      <c r="C534" s="4"/>
      <c r="D534" s="4"/>
      <c r="E534" s="4"/>
      <c r="F534" s="4"/>
      <c r="G534" s="4"/>
      <c r="H534" s="4"/>
      <c r="I534" s="4"/>
      <c r="J534" s="4"/>
      <c r="K534" s="4"/>
      <c r="L534" s="4"/>
      <c r="M534" s="4"/>
      <c r="N534" s="4"/>
      <c r="O534" s="4"/>
      <c r="P534" s="4"/>
      <c r="Q534" s="4"/>
      <c r="R534" s="4"/>
      <c r="S534" s="4"/>
      <c r="T534" s="4"/>
      <c r="U534" s="4"/>
      <c r="V534" s="4"/>
      <c r="W534" s="4"/>
      <c r="X534" s="4"/>
      <c r="Y534" s="4"/>
    </row>
    <row r="535" spans="1:25" x14ac:dyDescent="0.2">
      <c r="A535" s="41"/>
      <c r="B535" s="5"/>
      <c r="C535" s="4"/>
      <c r="D535" s="4"/>
      <c r="E535" s="4"/>
      <c r="F535" s="4"/>
      <c r="G535" s="4"/>
      <c r="H535" s="4"/>
      <c r="I535" s="4"/>
      <c r="J535" s="4"/>
      <c r="K535" s="4"/>
      <c r="L535" s="4"/>
      <c r="M535" s="4"/>
      <c r="N535" s="4"/>
      <c r="O535" s="4"/>
      <c r="P535" s="4"/>
      <c r="Q535" s="4"/>
      <c r="R535" s="4"/>
      <c r="S535" s="4"/>
      <c r="T535" s="4"/>
      <c r="U535" s="4"/>
      <c r="V535" s="4"/>
      <c r="W535" s="4"/>
      <c r="X535" s="4"/>
      <c r="Y535" s="4"/>
    </row>
    <row r="536" spans="1:25" x14ac:dyDescent="0.2">
      <c r="A536" s="41"/>
      <c r="B536" s="5"/>
      <c r="C536" s="4"/>
      <c r="D536" s="4"/>
      <c r="E536" s="4"/>
      <c r="F536" s="4"/>
      <c r="G536" s="4"/>
      <c r="H536" s="4"/>
      <c r="I536" s="4"/>
      <c r="J536" s="4"/>
      <c r="K536" s="4"/>
      <c r="L536" s="4"/>
      <c r="M536" s="4"/>
      <c r="N536" s="4"/>
      <c r="O536" s="4"/>
      <c r="P536" s="4"/>
      <c r="Q536" s="4"/>
      <c r="R536" s="4"/>
      <c r="S536" s="4"/>
      <c r="T536" s="4"/>
      <c r="U536" s="4"/>
      <c r="V536" s="4"/>
      <c r="W536" s="4"/>
      <c r="X536" s="4"/>
      <c r="Y536" s="4"/>
    </row>
    <row r="537" spans="1:25" x14ac:dyDescent="0.2">
      <c r="A537" s="41"/>
      <c r="B537" s="5"/>
      <c r="C537" s="4"/>
      <c r="D537" s="4"/>
      <c r="E537" s="4"/>
      <c r="F537" s="4"/>
      <c r="G537" s="4"/>
      <c r="H537" s="4"/>
      <c r="I537" s="4"/>
      <c r="J537" s="4"/>
      <c r="K537" s="4"/>
      <c r="L537" s="4"/>
      <c r="M537" s="4"/>
      <c r="N537" s="4"/>
      <c r="O537" s="4"/>
      <c r="P537" s="4"/>
      <c r="Q537" s="4"/>
      <c r="R537" s="4"/>
      <c r="S537" s="4"/>
      <c r="T537" s="4"/>
      <c r="U537" s="4"/>
      <c r="V537" s="4"/>
      <c r="W537" s="4"/>
      <c r="X537" s="4"/>
      <c r="Y537" s="4"/>
    </row>
    <row r="538" spans="1:25" x14ac:dyDescent="0.2">
      <c r="A538" s="41"/>
      <c r="B538" s="5"/>
      <c r="C538" s="4"/>
      <c r="D538" s="4"/>
      <c r="E538" s="4"/>
      <c r="F538" s="4"/>
      <c r="G538" s="4"/>
      <c r="H538" s="4"/>
      <c r="I538" s="4"/>
      <c r="J538" s="4"/>
      <c r="K538" s="4"/>
      <c r="L538" s="4"/>
      <c r="M538" s="4"/>
      <c r="N538" s="4"/>
      <c r="O538" s="4"/>
      <c r="P538" s="4"/>
      <c r="Q538" s="4"/>
      <c r="R538" s="4"/>
      <c r="S538" s="4"/>
      <c r="T538" s="4"/>
      <c r="U538" s="4"/>
      <c r="V538" s="4"/>
      <c r="W538" s="4"/>
      <c r="X538" s="4"/>
      <c r="Y538" s="4"/>
    </row>
    <row r="539" spans="1:25" x14ac:dyDescent="0.2">
      <c r="A539" s="41"/>
      <c r="B539" s="5"/>
      <c r="C539" s="4"/>
      <c r="D539" s="4"/>
      <c r="E539" s="4"/>
      <c r="F539" s="4"/>
      <c r="G539" s="4"/>
      <c r="H539" s="4"/>
      <c r="I539" s="4"/>
      <c r="J539" s="4"/>
      <c r="K539" s="4"/>
      <c r="L539" s="4"/>
      <c r="M539" s="4"/>
      <c r="N539" s="4"/>
      <c r="O539" s="4"/>
      <c r="P539" s="4"/>
      <c r="Q539" s="4"/>
      <c r="R539" s="4"/>
      <c r="S539" s="4"/>
      <c r="T539" s="4"/>
      <c r="U539" s="4"/>
      <c r="V539" s="4"/>
      <c r="W539" s="4"/>
      <c r="X539" s="4"/>
      <c r="Y539" s="4"/>
    </row>
    <row r="540" spans="1:25" x14ac:dyDescent="0.2">
      <c r="A540" s="41"/>
      <c r="B540" s="5"/>
      <c r="C540" s="4"/>
      <c r="D540" s="4"/>
      <c r="E540" s="4"/>
      <c r="F540" s="4"/>
      <c r="G540" s="4"/>
      <c r="H540" s="4"/>
      <c r="I540" s="4"/>
      <c r="J540" s="4"/>
      <c r="K540" s="4"/>
      <c r="L540" s="4"/>
      <c r="M540" s="4"/>
      <c r="N540" s="4"/>
      <c r="O540" s="4"/>
      <c r="P540" s="4"/>
      <c r="Q540" s="4"/>
      <c r="R540" s="4"/>
      <c r="S540" s="4"/>
      <c r="T540" s="4"/>
      <c r="U540" s="4"/>
      <c r="V540" s="4"/>
      <c r="W540" s="4"/>
      <c r="X540" s="4"/>
      <c r="Y540" s="4"/>
    </row>
    <row r="541" spans="1:25" x14ac:dyDescent="0.2">
      <c r="A541" s="41"/>
      <c r="B541" s="5"/>
      <c r="C541" s="4"/>
      <c r="D541" s="4"/>
      <c r="E541" s="4"/>
      <c r="F541" s="4"/>
      <c r="G541" s="4"/>
      <c r="H541" s="4"/>
      <c r="I541" s="4"/>
      <c r="J541" s="4"/>
      <c r="K541" s="4"/>
      <c r="L541" s="4"/>
      <c r="M541" s="4"/>
      <c r="N541" s="4"/>
      <c r="O541" s="4"/>
      <c r="P541" s="4"/>
      <c r="Q541" s="4"/>
      <c r="R541" s="4"/>
      <c r="S541" s="4"/>
      <c r="T541" s="4"/>
      <c r="U541" s="4"/>
      <c r="V541" s="4"/>
      <c r="W541" s="4"/>
      <c r="X541" s="4"/>
      <c r="Y541" s="4"/>
    </row>
    <row r="542" spans="1:25" x14ac:dyDescent="0.2">
      <c r="A542" s="41"/>
      <c r="B542" s="5"/>
      <c r="C542" s="4"/>
      <c r="D542" s="4"/>
      <c r="E542" s="4"/>
      <c r="F542" s="4"/>
      <c r="G542" s="4"/>
      <c r="H542" s="4"/>
      <c r="I542" s="4"/>
      <c r="J542" s="4"/>
      <c r="K542" s="4"/>
      <c r="L542" s="4"/>
      <c r="M542" s="4"/>
      <c r="N542" s="4"/>
      <c r="O542" s="4"/>
      <c r="P542" s="4"/>
      <c r="Q542" s="4"/>
      <c r="R542" s="4"/>
      <c r="S542" s="4"/>
      <c r="T542" s="4"/>
      <c r="U542" s="4"/>
      <c r="V542" s="4"/>
      <c r="W542" s="4"/>
      <c r="X542" s="4"/>
      <c r="Y542" s="4"/>
    </row>
    <row r="543" spans="1:25" x14ac:dyDescent="0.2">
      <c r="A543" s="41"/>
      <c r="B543" s="5"/>
      <c r="C543" s="4"/>
      <c r="D543" s="4"/>
      <c r="E543" s="4"/>
      <c r="F543" s="4"/>
      <c r="G543" s="4"/>
      <c r="H543" s="4"/>
      <c r="I543" s="4"/>
      <c r="J543" s="4"/>
      <c r="K543" s="4"/>
      <c r="L543" s="4"/>
      <c r="M543" s="4"/>
      <c r="N543" s="4"/>
      <c r="O543" s="4"/>
      <c r="P543" s="4"/>
      <c r="Q543" s="4"/>
      <c r="R543" s="4"/>
      <c r="S543" s="4"/>
      <c r="T543" s="4"/>
      <c r="U543" s="4"/>
      <c r="V543" s="4"/>
      <c r="W543" s="4"/>
      <c r="X543" s="4"/>
      <c r="Y543" s="4"/>
    </row>
    <row r="544" spans="1:25" x14ac:dyDescent="0.2">
      <c r="A544" s="41"/>
      <c r="B544" s="5"/>
      <c r="C544" s="4"/>
      <c r="D544" s="4"/>
      <c r="E544" s="4"/>
      <c r="F544" s="4"/>
      <c r="G544" s="4"/>
      <c r="H544" s="4"/>
      <c r="I544" s="4"/>
      <c r="J544" s="4"/>
      <c r="K544" s="4"/>
      <c r="L544" s="4"/>
      <c r="M544" s="4"/>
      <c r="N544" s="4"/>
      <c r="O544" s="4"/>
      <c r="P544" s="4"/>
      <c r="Q544" s="4"/>
      <c r="R544" s="4"/>
      <c r="S544" s="4"/>
      <c r="T544" s="4"/>
      <c r="U544" s="4"/>
      <c r="V544" s="4"/>
      <c r="W544" s="4"/>
      <c r="X544" s="4"/>
      <c r="Y544" s="4"/>
    </row>
    <row r="545" spans="1:25" x14ac:dyDescent="0.2">
      <c r="A545" s="41"/>
      <c r="B545" s="5"/>
      <c r="C545" s="4"/>
      <c r="D545" s="4"/>
      <c r="E545" s="4"/>
      <c r="F545" s="4"/>
      <c r="G545" s="4"/>
      <c r="H545" s="4"/>
      <c r="I545" s="4"/>
      <c r="J545" s="4"/>
      <c r="K545" s="4"/>
      <c r="L545" s="4"/>
      <c r="M545" s="4"/>
      <c r="N545" s="4"/>
      <c r="O545" s="4"/>
      <c r="P545" s="4"/>
      <c r="Q545" s="4"/>
      <c r="R545" s="4"/>
      <c r="S545" s="4"/>
      <c r="T545" s="4"/>
      <c r="U545" s="4"/>
      <c r="V545" s="4"/>
      <c r="W545" s="4"/>
      <c r="X545" s="4"/>
      <c r="Y545" s="4"/>
    </row>
    <row r="546" spans="1:25" x14ac:dyDescent="0.2">
      <c r="A546" s="41"/>
      <c r="B546" s="5"/>
      <c r="C546" s="4"/>
      <c r="D546" s="4"/>
      <c r="E546" s="4"/>
      <c r="F546" s="4"/>
      <c r="G546" s="4"/>
      <c r="H546" s="4"/>
      <c r="I546" s="4"/>
      <c r="J546" s="4"/>
      <c r="K546" s="4"/>
      <c r="L546" s="4"/>
      <c r="M546" s="4"/>
      <c r="N546" s="4"/>
      <c r="O546" s="4"/>
      <c r="P546" s="4"/>
      <c r="Q546" s="4"/>
      <c r="R546" s="4"/>
      <c r="S546" s="4"/>
      <c r="T546" s="4"/>
      <c r="U546" s="4"/>
      <c r="V546" s="4"/>
      <c r="W546" s="4"/>
      <c r="X546" s="4"/>
      <c r="Y546" s="4"/>
    </row>
    <row r="547" spans="1:25" x14ac:dyDescent="0.2">
      <c r="A547" s="41"/>
      <c r="B547" s="5"/>
      <c r="C547" s="4"/>
      <c r="D547" s="4"/>
      <c r="E547" s="4"/>
      <c r="F547" s="4"/>
      <c r="G547" s="4"/>
      <c r="H547" s="4"/>
      <c r="I547" s="4"/>
      <c r="J547" s="4"/>
      <c r="K547" s="4"/>
      <c r="L547" s="4"/>
      <c r="M547" s="4"/>
      <c r="N547" s="4"/>
      <c r="O547" s="4"/>
      <c r="P547" s="4"/>
      <c r="Q547" s="4"/>
      <c r="R547" s="4"/>
      <c r="S547" s="4"/>
      <c r="T547" s="4"/>
      <c r="U547" s="4"/>
      <c r="V547" s="4"/>
      <c r="W547" s="4"/>
      <c r="X547" s="4"/>
      <c r="Y547" s="4"/>
    </row>
    <row r="548" spans="1:25" x14ac:dyDescent="0.2">
      <c r="A548" s="41"/>
      <c r="B548" s="5"/>
      <c r="C548" s="4"/>
      <c r="D548" s="4"/>
      <c r="E548" s="4"/>
      <c r="F548" s="4"/>
      <c r="G548" s="4"/>
      <c r="H548" s="4"/>
      <c r="I548" s="4"/>
      <c r="J548" s="4"/>
      <c r="K548" s="4"/>
      <c r="L548" s="4"/>
      <c r="M548" s="4"/>
      <c r="N548" s="4"/>
      <c r="O548" s="4"/>
      <c r="P548" s="4"/>
      <c r="Q548" s="4"/>
      <c r="R548" s="4"/>
      <c r="S548" s="4"/>
      <c r="T548" s="4"/>
      <c r="U548" s="4"/>
      <c r="V548" s="4"/>
      <c r="W548" s="4"/>
      <c r="X548" s="4"/>
      <c r="Y548" s="4"/>
    </row>
    <row r="549" spans="1:25" x14ac:dyDescent="0.2">
      <c r="A549" s="41"/>
      <c r="B549" s="5"/>
      <c r="C549" s="4"/>
      <c r="D549" s="4"/>
      <c r="E549" s="4"/>
      <c r="F549" s="4"/>
      <c r="G549" s="4"/>
      <c r="H549" s="4"/>
      <c r="I549" s="4"/>
      <c r="J549" s="4"/>
      <c r="K549" s="4"/>
      <c r="L549" s="4"/>
      <c r="M549" s="4"/>
      <c r="N549" s="4"/>
      <c r="O549" s="4"/>
      <c r="P549" s="4"/>
      <c r="Q549" s="4"/>
      <c r="R549" s="4"/>
      <c r="S549" s="4"/>
      <c r="T549" s="4"/>
      <c r="U549" s="4"/>
      <c r="V549" s="4"/>
      <c r="W549" s="4"/>
      <c r="X549" s="4"/>
      <c r="Y549" s="4"/>
    </row>
    <row r="550" spans="1:25" x14ac:dyDescent="0.2">
      <c r="A550" s="41"/>
      <c r="B550" s="5"/>
      <c r="C550" s="4"/>
      <c r="D550" s="4"/>
      <c r="E550" s="4"/>
      <c r="F550" s="4"/>
      <c r="G550" s="4"/>
      <c r="H550" s="4"/>
      <c r="I550" s="4"/>
      <c r="J550" s="4"/>
      <c r="K550" s="4"/>
      <c r="L550" s="4"/>
      <c r="M550" s="4"/>
      <c r="N550" s="4"/>
      <c r="O550" s="4"/>
      <c r="P550" s="4"/>
      <c r="Q550" s="4"/>
      <c r="R550" s="4"/>
      <c r="S550" s="4"/>
      <c r="T550" s="4"/>
      <c r="U550" s="4"/>
      <c r="V550" s="4"/>
      <c r="W550" s="4"/>
      <c r="X550" s="4"/>
      <c r="Y550" s="4"/>
    </row>
    <row r="551" spans="1:25" x14ac:dyDescent="0.2">
      <c r="A551" s="41"/>
      <c r="B551" s="5"/>
      <c r="C551" s="4"/>
      <c r="D551" s="4"/>
      <c r="E551" s="4"/>
      <c r="F551" s="4"/>
      <c r="G551" s="4"/>
      <c r="H551" s="4"/>
      <c r="I551" s="4"/>
      <c r="J551" s="4"/>
      <c r="K551" s="4"/>
      <c r="L551" s="4"/>
      <c r="M551" s="4"/>
      <c r="N551" s="4"/>
      <c r="O551" s="4"/>
      <c r="P551" s="4"/>
      <c r="Q551" s="4"/>
      <c r="R551" s="4"/>
      <c r="S551" s="4"/>
      <c r="T551" s="4"/>
      <c r="U551" s="4"/>
      <c r="V551" s="4"/>
      <c r="W551" s="4"/>
      <c r="X551" s="4"/>
      <c r="Y551" s="4"/>
    </row>
    <row r="552" spans="1:25" x14ac:dyDescent="0.2">
      <c r="A552" s="41"/>
      <c r="B552" s="5"/>
      <c r="C552" s="4"/>
      <c r="D552" s="4"/>
      <c r="E552" s="4"/>
      <c r="F552" s="4"/>
      <c r="G552" s="4"/>
      <c r="H552" s="4"/>
      <c r="I552" s="4"/>
      <c r="J552" s="4"/>
      <c r="K552" s="4"/>
      <c r="L552" s="4"/>
      <c r="M552" s="4"/>
      <c r="N552" s="4"/>
      <c r="O552" s="4"/>
      <c r="P552" s="4"/>
      <c r="Q552" s="4"/>
      <c r="R552" s="4"/>
      <c r="S552" s="4"/>
      <c r="T552" s="4"/>
      <c r="U552" s="4"/>
      <c r="V552" s="4"/>
      <c r="W552" s="4"/>
      <c r="X552" s="4"/>
      <c r="Y552" s="4"/>
    </row>
    <row r="553" spans="1:25" x14ac:dyDescent="0.2">
      <c r="A553" s="41"/>
      <c r="B553" s="5"/>
      <c r="C553" s="4"/>
      <c r="D553" s="4"/>
      <c r="E553" s="4"/>
      <c r="F553" s="4"/>
      <c r="G553" s="4"/>
      <c r="H553" s="4"/>
      <c r="I553" s="4"/>
      <c r="J553" s="4"/>
      <c r="K553" s="4"/>
      <c r="L553" s="4"/>
      <c r="M553" s="4"/>
      <c r="N553" s="4"/>
      <c r="O553" s="4"/>
      <c r="P553" s="4"/>
      <c r="Q553" s="4"/>
      <c r="R553" s="4"/>
      <c r="S553" s="4"/>
      <c r="T553" s="4"/>
      <c r="U553" s="4"/>
      <c r="V553" s="4"/>
      <c r="W553" s="4"/>
      <c r="X553" s="4"/>
      <c r="Y553" s="4"/>
    </row>
    <row r="554" spans="1:25" x14ac:dyDescent="0.2">
      <c r="A554" s="41"/>
      <c r="B554" s="5"/>
      <c r="C554" s="4"/>
      <c r="D554" s="4"/>
      <c r="E554" s="4"/>
      <c r="F554" s="4"/>
      <c r="G554" s="4"/>
      <c r="H554" s="4"/>
      <c r="I554" s="4"/>
      <c r="J554" s="4"/>
      <c r="K554" s="4"/>
      <c r="L554" s="4"/>
      <c r="M554" s="4"/>
      <c r="N554" s="4"/>
      <c r="O554" s="4"/>
      <c r="P554" s="4"/>
      <c r="Q554" s="4"/>
      <c r="R554" s="4"/>
      <c r="S554" s="4"/>
      <c r="T554" s="4"/>
      <c r="U554" s="4"/>
      <c r="V554" s="4"/>
      <c r="W554" s="4"/>
      <c r="X554" s="4"/>
      <c r="Y554" s="4"/>
    </row>
    <row r="555" spans="1:25" x14ac:dyDescent="0.2">
      <c r="A555" s="41"/>
      <c r="B555" s="5"/>
      <c r="C555" s="4"/>
      <c r="D555" s="4"/>
      <c r="E555" s="4"/>
      <c r="F555" s="4"/>
      <c r="G555" s="4"/>
      <c r="H555" s="4"/>
      <c r="I555" s="4"/>
      <c r="J555" s="4"/>
      <c r="K555" s="4"/>
      <c r="L555" s="4"/>
      <c r="M555" s="4"/>
      <c r="N555" s="4"/>
      <c r="O555" s="4"/>
      <c r="P555" s="4"/>
      <c r="Q555" s="4"/>
      <c r="R555" s="4"/>
      <c r="S555" s="4"/>
      <c r="T555" s="4"/>
      <c r="U555" s="4"/>
      <c r="V555" s="4"/>
      <c r="W555" s="4"/>
      <c r="X555" s="4"/>
      <c r="Y555" s="4"/>
    </row>
    <row r="556" spans="1:25" x14ac:dyDescent="0.2">
      <c r="A556" s="41"/>
      <c r="B556" s="5"/>
      <c r="C556" s="4"/>
      <c r="D556" s="4"/>
      <c r="E556" s="4"/>
      <c r="F556" s="4"/>
      <c r="G556" s="4"/>
      <c r="H556" s="4"/>
      <c r="I556" s="4"/>
      <c r="J556" s="4"/>
      <c r="K556" s="4"/>
      <c r="L556" s="4"/>
      <c r="M556" s="4"/>
      <c r="N556" s="4"/>
      <c r="O556" s="4"/>
      <c r="P556" s="4"/>
      <c r="Q556" s="4"/>
      <c r="R556" s="4"/>
      <c r="S556" s="4"/>
      <c r="T556" s="4"/>
      <c r="U556" s="4"/>
      <c r="V556" s="4"/>
      <c r="W556" s="4"/>
      <c r="X556" s="4"/>
      <c r="Y556" s="4"/>
    </row>
    <row r="557" spans="1:25" x14ac:dyDescent="0.2">
      <c r="A557" s="41"/>
      <c r="B557" s="5"/>
      <c r="C557" s="4"/>
      <c r="D557" s="4"/>
      <c r="E557" s="4"/>
      <c r="F557" s="4"/>
      <c r="G557" s="4"/>
      <c r="H557" s="4"/>
      <c r="I557" s="4"/>
      <c r="J557" s="4"/>
      <c r="K557" s="4"/>
      <c r="L557" s="4"/>
      <c r="M557" s="4"/>
      <c r="N557" s="4"/>
      <c r="O557" s="4"/>
      <c r="P557" s="4"/>
      <c r="Q557" s="4"/>
      <c r="R557" s="4"/>
      <c r="S557" s="4"/>
      <c r="T557" s="4"/>
      <c r="U557" s="4"/>
      <c r="V557" s="4"/>
      <c r="W557" s="4"/>
      <c r="X557" s="4"/>
      <c r="Y557" s="4"/>
    </row>
    <row r="558" spans="1:25" x14ac:dyDescent="0.2">
      <c r="A558" s="41"/>
      <c r="B558" s="5"/>
      <c r="C558" s="4"/>
      <c r="D558" s="4"/>
      <c r="E558" s="4"/>
      <c r="F558" s="4"/>
      <c r="G558" s="4"/>
      <c r="H558" s="4"/>
      <c r="I558" s="4"/>
      <c r="J558" s="4"/>
      <c r="K558" s="4"/>
      <c r="L558" s="4"/>
      <c r="M558" s="4"/>
      <c r="N558" s="4"/>
      <c r="O558" s="4"/>
      <c r="P558" s="4"/>
      <c r="Q558" s="4"/>
      <c r="R558" s="4"/>
      <c r="S558" s="4"/>
      <c r="T558" s="4"/>
      <c r="U558" s="4"/>
      <c r="V558" s="4"/>
      <c r="W558" s="4"/>
      <c r="X558" s="4"/>
      <c r="Y558" s="4"/>
    </row>
    <row r="559" spans="1:25" x14ac:dyDescent="0.2">
      <c r="A559" s="41"/>
      <c r="B559" s="5"/>
      <c r="C559" s="4"/>
      <c r="D559" s="4"/>
      <c r="E559" s="4"/>
      <c r="F559" s="4"/>
      <c r="G559" s="4"/>
      <c r="H559" s="4"/>
      <c r="I559" s="4"/>
      <c r="J559" s="4"/>
      <c r="K559" s="4"/>
      <c r="L559" s="4"/>
      <c r="M559" s="4"/>
      <c r="N559" s="4"/>
      <c r="O559" s="4"/>
      <c r="P559" s="4"/>
      <c r="Q559" s="4"/>
      <c r="R559" s="4"/>
      <c r="S559" s="4"/>
      <c r="T559" s="4"/>
      <c r="U559" s="4"/>
      <c r="V559" s="4"/>
      <c r="W559" s="4"/>
      <c r="X559" s="4"/>
      <c r="Y559" s="4"/>
    </row>
    <row r="560" spans="1:25" x14ac:dyDescent="0.2">
      <c r="A560" s="41"/>
      <c r="B560" s="5"/>
      <c r="C560" s="4"/>
      <c r="D560" s="4"/>
      <c r="E560" s="4"/>
      <c r="F560" s="4"/>
      <c r="G560" s="4"/>
      <c r="H560" s="4"/>
      <c r="I560" s="4"/>
      <c r="J560" s="4"/>
      <c r="K560" s="4"/>
      <c r="L560" s="4"/>
      <c r="M560" s="4"/>
      <c r="N560" s="4"/>
      <c r="O560" s="4"/>
      <c r="P560" s="4"/>
      <c r="Q560" s="4"/>
      <c r="R560" s="4"/>
      <c r="S560" s="4"/>
      <c r="T560" s="4"/>
      <c r="U560" s="4"/>
      <c r="V560" s="4"/>
      <c r="W560" s="4"/>
      <c r="X560" s="4"/>
      <c r="Y560" s="4"/>
    </row>
    <row r="561" spans="1:25" x14ac:dyDescent="0.2">
      <c r="A561" s="41"/>
      <c r="B561" s="5"/>
      <c r="C561" s="4"/>
      <c r="D561" s="4"/>
      <c r="E561" s="4"/>
      <c r="F561" s="4"/>
      <c r="G561" s="4"/>
      <c r="H561" s="4"/>
      <c r="I561" s="4"/>
      <c r="J561" s="4"/>
      <c r="K561" s="4"/>
      <c r="L561" s="4"/>
      <c r="M561" s="4"/>
      <c r="N561" s="4"/>
      <c r="O561" s="4"/>
      <c r="P561" s="4"/>
      <c r="Q561" s="4"/>
      <c r="R561" s="4"/>
      <c r="S561" s="4"/>
      <c r="T561" s="4"/>
      <c r="U561" s="4"/>
      <c r="V561" s="4"/>
      <c r="W561" s="4"/>
      <c r="X561" s="4"/>
      <c r="Y561" s="4"/>
    </row>
    <row r="562" spans="1:25" x14ac:dyDescent="0.2">
      <c r="A562" s="41"/>
      <c r="B562" s="5"/>
      <c r="C562" s="4"/>
      <c r="D562" s="4"/>
      <c r="E562" s="4"/>
      <c r="F562" s="4"/>
      <c r="G562" s="4"/>
      <c r="H562" s="4"/>
      <c r="I562" s="4"/>
      <c r="J562" s="4"/>
      <c r="K562" s="4"/>
      <c r="L562" s="4"/>
      <c r="M562" s="4"/>
      <c r="N562" s="4"/>
      <c r="O562" s="4"/>
      <c r="P562" s="4"/>
      <c r="Q562" s="4"/>
      <c r="R562" s="4"/>
      <c r="S562" s="4"/>
      <c r="T562" s="4"/>
      <c r="U562" s="4"/>
      <c r="V562" s="4"/>
      <c r="W562" s="4"/>
      <c r="X562" s="4"/>
      <c r="Y562" s="4"/>
    </row>
    <row r="563" spans="1:25" x14ac:dyDescent="0.2">
      <c r="A563" s="41"/>
      <c r="B563" s="5"/>
      <c r="C563" s="4"/>
      <c r="D563" s="4"/>
      <c r="E563" s="4"/>
      <c r="F563" s="4"/>
      <c r="G563" s="4"/>
      <c r="H563" s="4"/>
      <c r="I563" s="4"/>
      <c r="J563" s="4"/>
      <c r="K563" s="4"/>
      <c r="L563" s="4"/>
      <c r="M563" s="4"/>
      <c r="N563" s="4"/>
      <c r="O563" s="4"/>
      <c r="P563" s="4"/>
      <c r="Q563" s="4"/>
      <c r="R563" s="4"/>
      <c r="S563" s="4"/>
      <c r="T563" s="4"/>
      <c r="U563" s="4"/>
      <c r="V563" s="4"/>
      <c r="W563" s="4"/>
      <c r="X563" s="4"/>
      <c r="Y563" s="4"/>
    </row>
    <row r="564" spans="1:25" x14ac:dyDescent="0.2">
      <c r="A564" s="41"/>
      <c r="B564" s="5"/>
      <c r="C564" s="4"/>
      <c r="D564" s="4"/>
      <c r="E564" s="4"/>
      <c r="F564" s="4"/>
      <c r="G564" s="4"/>
      <c r="H564" s="4"/>
      <c r="I564" s="4"/>
      <c r="J564" s="4"/>
      <c r="K564" s="4"/>
      <c r="L564" s="4"/>
      <c r="M564" s="4"/>
      <c r="N564" s="4"/>
      <c r="O564" s="4"/>
      <c r="P564" s="4"/>
      <c r="Q564" s="4"/>
      <c r="R564" s="4"/>
      <c r="S564" s="4"/>
      <c r="T564" s="4"/>
      <c r="U564" s="4"/>
      <c r="V564" s="4"/>
      <c r="W564" s="4"/>
      <c r="X564" s="4"/>
      <c r="Y564" s="4"/>
    </row>
    <row r="565" spans="1:25" x14ac:dyDescent="0.2">
      <c r="A565" s="41"/>
      <c r="B565" s="5"/>
      <c r="C565" s="4"/>
      <c r="D565" s="4"/>
      <c r="E565" s="4"/>
      <c r="F565" s="4"/>
      <c r="G565" s="4"/>
      <c r="H565" s="4"/>
      <c r="I565" s="4"/>
      <c r="J565" s="4"/>
      <c r="K565" s="4"/>
      <c r="L565" s="4"/>
      <c r="M565" s="4"/>
      <c r="N565" s="4"/>
      <c r="O565" s="4"/>
      <c r="P565" s="4"/>
      <c r="Q565" s="4"/>
      <c r="R565" s="4"/>
      <c r="S565" s="4"/>
      <c r="T565" s="4"/>
      <c r="U565" s="4"/>
      <c r="V565" s="4"/>
      <c r="W565" s="4"/>
      <c r="X565" s="4"/>
      <c r="Y565" s="4"/>
    </row>
    <row r="566" spans="1:25" x14ac:dyDescent="0.2">
      <c r="A566" s="41"/>
      <c r="B566" s="5"/>
      <c r="C566" s="4"/>
      <c r="D566" s="4"/>
      <c r="E566" s="4"/>
      <c r="F566" s="4"/>
      <c r="G566" s="4"/>
      <c r="H566" s="4"/>
      <c r="I566" s="4"/>
      <c r="J566" s="4"/>
      <c r="K566" s="4"/>
      <c r="L566" s="4"/>
      <c r="M566" s="4"/>
      <c r="N566" s="4"/>
      <c r="O566" s="4"/>
      <c r="P566" s="4"/>
      <c r="Q566" s="4"/>
      <c r="R566" s="4"/>
      <c r="S566" s="4"/>
      <c r="T566" s="4"/>
      <c r="U566" s="4"/>
      <c r="V566" s="4"/>
      <c r="W566" s="4"/>
      <c r="X566" s="4"/>
      <c r="Y566" s="4"/>
    </row>
    <row r="567" spans="1:25" x14ac:dyDescent="0.2">
      <c r="A567" s="41"/>
      <c r="B567" s="5"/>
      <c r="C567" s="4"/>
      <c r="D567" s="4"/>
      <c r="E567" s="4"/>
      <c r="F567" s="4"/>
      <c r="G567" s="4"/>
      <c r="H567" s="4"/>
      <c r="I567" s="4"/>
      <c r="J567" s="4"/>
      <c r="K567" s="4"/>
      <c r="L567" s="4"/>
      <c r="M567" s="4"/>
      <c r="N567" s="4"/>
      <c r="O567" s="4"/>
      <c r="P567" s="4"/>
      <c r="Q567" s="4"/>
      <c r="R567" s="4"/>
      <c r="S567" s="4"/>
      <c r="T567" s="4"/>
      <c r="U567" s="4"/>
      <c r="V567" s="4"/>
      <c r="W567" s="4"/>
      <c r="X567" s="4"/>
      <c r="Y567" s="4"/>
    </row>
    <row r="568" spans="1:25" x14ac:dyDescent="0.2">
      <c r="A568" s="41"/>
      <c r="B568" s="5"/>
      <c r="C568" s="4"/>
      <c r="D568" s="4"/>
      <c r="E568" s="4"/>
      <c r="F568" s="4"/>
      <c r="G568" s="4"/>
      <c r="H568" s="4"/>
      <c r="I568" s="4"/>
      <c r="J568" s="4"/>
      <c r="K568" s="4"/>
      <c r="L568" s="4"/>
      <c r="M568" s="4"/>
      <c r="N568" s="4"/>
      <c r="O568" s="4"/>
      <c r="P568" s="4"/>
      <c r="Q568" s="4"/>
      <c r="R568" s="4"/>
      <c r="S568" s="4"/>
      <c r="T568" s="4"/>
      <c r="U568" s="4"/>
      <c r="V568" s="4"/>
      <c r="W568" s="4"/>
      <c r="X568" s="4"/>
      <c r="Y568" s="4"/>
    </row>
    <row r="569" spans="1:25" x14ac:dyDescent="0.2">
      <c r="A569" s="41"/>
      <c r="B569" s="5"/>
      <c r="C569" s="4"/>
      <c r="D569" s="4"/>
      <c r="E569" s="4"/>
      <c r="F569" s="4"/>
      <c r="G569" s="4"/>
      <c r="H569" s="4"/>
      <c r="I569" s="4"/>
      <c r="J569" s="4"/>
      <c r="K569" s="4"/>
      <c r="L569" s="4"/>
      <c r="M569" s="4"/>
      <c r="N569" s="4"/>
      <c r="O569" s="4"/>
      <c r="P569" s="4"/>
      <c r="Q569" s="4"/>
      <c r="R569" s="4"/>
      <c r="S569" s="4"/>
      <c r="T569" s="4"/>
      <c r="U569" s="4"/>
      <c r="V569" s="4"/>
      <c r="W569" s="4"/>
      <c r="X569" s="4"/>
      <c r="Y569" s="4"/>
    </row>
    <row r="570" spans="1:25" x14ac:dyDescent="0.2">
      <c r="A570" s="41"/>
      <c r="B570" s="5"/>
      <c r="C570" s="4"/>
      <c r="D570" s="4"/>
      <c r="E570" s="4"/>
      <c r="F570" s="4"/>
      <c r="G570" s="4"/>
      <c r="H570" s="4"/>
      <c r="I570" s="4"/>
      <c r="J570" s="4"/>
      <c r="K570" s="4"/>
      <c r="L570" s="4"/>
      <c r="M570" s="4"/>
      <c r="N570" s="4"/>
      <c r="O570" s="4"/>
      <c r="P570" s="4"/>
      <c r="Q570" s="4"/>
      <c r="R570" s="4"/>
      <c r="S570" s="4"/>
      <c r="T570" s="4"/>
      <c r="U570" s="4"/>
      <c r="V570" s="4"/>
      <c r="W570" s="4"/>
      <c r="X570" s="4"/>
      <c r="Y570" s="4"/>
    </row>
    <row r="571" spans="1:25" x14ac:dyDescent="0.2">
      <c r="A571" s="41"/>
      <c r="B571" s="5"/>
      <c r="C571" s="4"/>
      <c r="D571" s="4"/>
      <c r="E571" s="4"/>
      <c r="F571" s="4"/>
      <c r="G571" s="4"/>
      <c r="H571" s="4"/>
      <c r="I571" s="4"/>
      <c r="J571" s="4"/>
      <c r="K571" s="4"/>
      <c r="L571" s="4"/>
      <c r="M571" s="4"/>
      <c r="N571" s="4"/>
      <c r="O571" s="4"/>
      <c r="P571" s="4"/>
      <c r="Q571" s="4"/>
      <c r="R571" s="4"/>
      <c r="S571" s="4"/>
      <c r="T571" s="4"/>
      <c r="U571" s="4"/>
      <c r="V571" s="4"/>
      <c r="W571" s="4"/>
      <c r="X571" s="4"/>
      <c r="Y571" s="4"/>
    </row>
    <row r="572" spans="1:25" x14ac:dyDescent="0.2">
      <c r="A572" s="41"/>
      <c r="B572" s="5"/>
      <c r="C572" s="4"/>
      <c r="D572" s="4"/>
      <c r="E572" s="4"/>
      <c r="F572" s="4"/>
      <c r="G572" s="4"/>
      <c r="H572" s="4"/>
      <c r="I572" s="4"/>
      <c r="J572" s="4"/>
      <c r="K572" s="4"/>
      <c r="L572" s="4"/>
      <c r="M572" s="4"/>
      <c r="N572" s="4"/>
      <c r="O572" s="4"/>
      <c r="P572" s="4"/>
      <c r="Q572" s="4"/>
      <c r="R572" s="4"/>
      <c r="S572" s="4"/>
      <c r="T572" s="4"/>
      <c r="U572" s="4"/>
      <c r="V572" s="4"/>
      <c r="W572" s="4"/>
      <c r="X572" s="4"/>
      <c r="Y572" s="4"/>
    </row>
    <row r="573" spans="1:25" x14ac:dyDescent="0.2">
      <c r="A573" s="41"/>
      <c r="B573" s="5"/>
      <c r="C573" s="4"/>
      <c r="D573" s="4"/>
      <c r="E573" s="4"/>
      <c r="F573" s="4"/>
      <c r="G573" s="4"/>
      <c r="H573" s="4"/>
      <c r="I573" s="4"/>
      <c r="J573" s="4"/>
      <c r="K573" s="4"/>
      <c r="L573" s="4"/>
      <c r="M573" s="4"/>
      <c r="N573" s="4"/>
      <c r="O573" s="4"/>
      <c r="P573" s="4"/>
      <c r="Q573" s="4"/>
      <c r="R573" s="4"/>
      <c r="S573" s="4"/>
      <c r="T573" s="4"/>
      <c r="U573" s="4"/>
      <c r="V573" s="4"/>
      <c r="W573" s="4"/>
      <c r="X573" s="4"/>
      <c r="Y573" s="4"/>
    </row>
    <row r="574" spans="1:25" x14ac:dyDescent="0.2">
      <c r="A574" s="41"/>
      <c r="B574" s="5"/>
      <c r="C574" s="4"/>
      <c r="D574" s="4"/>
      <c r="E574" s="4"/>
      <c r="F574" s="4"/>
      <c r="G574" s="4"/>
      <c r="H574" s="4"/>
      <c r="I574" s="4"/>
      <c r="J574" s="4"/>
      <c r="K574" s="4"/>
      <c r="L574" s="4"/>
      <c r="M574" s="4"/>
      <c r="N574" s="4"/>
      <c r="O574" s="4"/>
      <c r="P574" s="4"/>
      <c r="Q574" s="4"/>
      <c r="R574" s="4"/>
      <c r="S574" s="4"/>
      <c r="T574" s="4"/>
      <c r="U574" s="4"/>
      <c r="V574" s="4"/>
      <c r="W574" s="4"/>
      <c r="X574" s="4"/>
      <c r="Y574" s="4"/>
    </row>
    <row r="575" spans="1:25" x14ac:dyDescent="0.2">
      <c r="A575" s="41"/>
      <c r="B575" s="5"/>
      <c r="C575" s="4"/>
      <c r="D575" s="4"/>
      <c r="E575" s="4"/>
      <c r="F575" s="4"/>
      <c r="G575" s="4"/>
      <c r="H575" s="4"/>
      <c r="I575" s="4"/>
      <c r="J575" s="4"/>
      <c r="K575" s="4"/>
      <c r="L575" s="4"/>
      <c r="M575" s="4"/>
      <c r="N575" s="4"/>
      <c r="O575" s="4"/>
      <c r="P575" s="4"/>
      <c r="Q575" s="4"/>
      <c r="R575" s="4"/>
      <c r="S575" s="4"/>
      <c r="T575" s="4"/>
      <c r="U575" s="4"/>
      <c r="V575" s="4"/>
      <c r="W575" s="4"/>
      <c r="X575" s="4"/>
      <c r="Y575" s="4"/>
    </row>
    <row r="576" spans="1:25" x14ac:dyDescent="0.2">
      <c r="A576" s="41"/>
      <c r="B576" s="5"/>
      <c r="C576" s="4"/>
      <c r="D576" s="4"/>
      <c r="E576" s="4"/>
      <c r="F576" s="4"/>
      <c r="G576" s="4"/>
      <c r="H576" s="4"/>
      <c r="I576" s="4"/>
      <c r="J576" s="4"/>
      <c r="K576" s="4"/>
      <c r="L576" s="4"/>
      <c r="M576" s="4"/>
      <c r="N576" s="4"/>
      <c r="O576" s="4"/>
      <c r="P576" s="4"/>
      <c r="Q576" s="4"/>
      <c r="R576" s="4"/>
      <c r="S576" s="4"/>
      <c r="T576" s="4"/>
      <c r="U576" s="4"/>
      <c r="V576" s="4"/>
      <c r="W576" s="4"/>
      <c r="X576" s="4"/>
      <c r="Y576" s="4"/>
    </row>
    <row r="577" spans="1:25" x14ac:dyDescent="0.2">
      <c r="A577" s="41"/>
      <c r="B577" s="5"/>
      <c r="C577" s="4"/>
      <c r="D577" s="4"/>
      <c r="E577" s="4"/>
      <c r="F577" s="4"/>
      <c r="G577" s="4"/>
      <c r="H577" s="4"/>
      <c r="I577" s="4"/>
      <c r="J577" s="4"/>
      <c r="K577" s="4"/>
      <c r="L577" s="4"/>
      <c r="M577" s="4"/>
      <c r="N577" s="4"/>
      <c r="O577" s="4"/>
      <c r="P577" s="4"/>
      <c r="Q577" s="4"/>
      <c r="R577" s="4"/>
      <c r="S577" s="4"/>
      <c r="T577" s="4"/>
      <c r="U577" s="4"/>
      <c r="V577" s="4"/>
      <c r="W577" s="4"/>
      <c r="X577" s="4"/>
      <c r="Y577" s="4"/>
    </row>
    <row r="578" spans="1:25" x14ac:dyDescent="0.2">
      <c r="A578" s="41"/>
      <c r="B578" s="5"/>
      <c r="C578" s="4"/>
      <c r="D578" s="4"/>
      <c r="E578" s="4"/>
      <c r="F578" s="4"/>
      <c r="G578" s="4"/>
      <c r="H578" s="4"/>
      <c r="I578" s="4"/>
      <c r="J578" s="4"/>
      <c r="K578" s="4"/>
      <c r="L578" s="4"/>
      <c r="M578" s="4"/>
      <c r="N578" s="4"/>
      <c r="O578" s="4"/>
      <c r="P578" s="4"/>
      <c r="Q578" s="4"/>
      <c r="R578" s="4"/>
      <c r="S578" s="4"/>
      <c r="T578" s="4"/>
      <c r="U578" s="4"/>
      <c r="V578" s="4"/>
      <c r="W578" s="4"/>
      <c r="X578" s="4"/>
      <c r="Y578" s="4"/>
    </row>
    <row r="579" spans="1:25" x14ac:dyDescent="0.2">
      <c r="A579" s="41"/>
      <c r="B579" s="5"/>
      <c r="C579" s="4"/>
      <c r="D579" s="4"/>
      <c r="E579" s="4"/>
      <c r="F579" s="4"/>
      <c r="G579" s="4"/>
      <c r="H579" s="4"/>
      <c r="I579" s="4"/>
      <c r="J579" s="4"/>
      <c r="K579" s="4"/>
      <c r="L579" s="4"/>
      <c r="M579" s="4"/>
      <c r="N579" s="4"/>
      <c r="O579" s="4"/>
      <c r="P579" s="4"/>
      <c r="Q579" s="4"/>
      <c r="R579" s="4"/>
      <c r="S579" s="4"/>
      <c r="T579" s="4"/>
      <c r="U579" s="4"/>
      <c r="V579" s="4"/>
      <c r="W579" s="4"/>
      <c r="X579" s="4"/>
      <c r="Y579" s="4"/>
    </row>
    <row r="580" spans="1:25" x14ac:dyDescent="0.2">
      <c r="A580" s="41"/>
      <c r="B580" s="5"/>
      <c r="C580" s="4"/>
      <c r="D580" s="4"/>
      <c r="E580" s="4"/>
      <c r="F580" s="4"/>
      <c r="G580" s="4"/>
      <c r="H580" s="4"/>
      <c r="I580" s="4"/>
      <c r="J580" s="4"/>
      <c r="K580" s="4"/>
      <c r="L580" s="4"/>
      <c r="M580" s="4"/>
      <c r="N580" s="4"/>
      <c r="O580" s="4"/>
      <c r="P580" s="4"/>
      <c r="Q580" s="4"/>
      <c r="R580" s="4"/>
      <c r="S580" s="4"/>
      <c r="T580" s="4"/>
      <c r="U580" s="4"/>
      <c r="V580" s="4"/>
      <c r="W580" s="4"/>
      <c r="X580" s="4"/>
      <c r="Y580" s="4"/>
    </row>
    <row r="581" spans="1:25" x14ac:dyDescent="0.2">
      <c r="A581" s="41"/>
      <c r="B581" s="5"/>
      <c r="C581" s="4"/>
      <c r="D581" s="4"/>
      <c r="E581" s="4"/>
      <c r="F581" s="4"/>
      <c r="G581" s="4"/>
      <c r="H581" s="4"/>
      <c r="I581" s="4"/>
      <c r="J581" s="4"/>
      <c r="K581" s="4"/>
      <c r="L581" s="4"/>
      <c r="M581" s="4"/>
      <c r="N581" s="4"/>
      <c r="O581" s="4"/>
      <c r="P581" s="4"/>
      <c r="Q581" s="4"/>
      <c r="R581" s="4"/>
      <c r="S581" s="4"/>
      <c r="T581" s="4"/>
      <c r="U581" s="4"/>
      <c r="V581" s="4"/>
      <c r="W581" s="4"/>
      <c r="X581" s="4"/>
      <c r="Y581" s="4"/>
    </row>
    <row r="582" spans="1:25" x14ac:dyDescent="0.2">
      <c r="A582" s="41"/>
      <c r="B582" s="5"/>
      <c r="C582" s="4"/>
      <c r="D582" s="4"/>
      <c r="E582" s="4"/>
      <c r="F582" s="4"/>
      <c r="G582" s="4"/>
      <c r="H582" s="4"/>
      <c r="I582" s="4"/>
      <c r="J582" s="4"/>
      <c r="K582" s="4"/>
      <c r="L582" s="4"/>
      <c r="M582" s="4"/>
      <c r="N582" s="4"/>
      <c r="O582" s="4"/>
      <c r="P582" s="4"/>
      <c r="Q582" s="4"/>
      <c r="R582" s="4"/>
      <c r="S582" s="4"/>
      <c r="T582" s="4"/>
      <c r="U582" s="4"/>
      <c r="V582" s="4"/>
      <c r="W582" s="4"/>
      <c r="X582" s="4"/>
      <c r="Y582" s="4"/>
    </row>
    <row r="583" spans="1:25" x14ac:dyDescent="0.2">
      <c r="A583" s="41"/>
      <c r="B583" s="5"/>
      <c r="C583" s="4"/>
      <c r="D583" s="4"/>
      <c r="E583" s="4"/>
      <c r="F583" s="4"/>
      <c r="G583" s="4"/>
      <c r="H583" s="4"/>
      <c r="I583" s="4"/>
      <c r="J583" s="4"/>
      <c r="K583" s="4"/>
      <c r="L583" s="4"/>
      <c r="M583" s="4"/>
      <c r="N583" s="4"/>
      <c r="O583" s="4"/>
      <c r="P583" s="4"/>
      <c r="Q583" s="4"/>
      <c r="R583" s="4"/>
      <c r="S583" s="4"/>
      <c r="T583" s="4"/>
      <c r="U583" s="4"/>
      <c r="V583" s="4"/>
      <c r="W583" s="4"/>
      <c r="X583" s="4"/>
      <c r="Y583" s="4"/>
    </row>
    <row r="584" spans="1:25" x14ac:dyDescent="0.2">
      <c r="A584" s="41"/>
      <c r="B584" s="5"/>
      <c r="C584" s="4"/>
      <c r="D584" s="4"/>
      <c r="E584" s="4"/>
      <c r="F584" s="4"/>
      <c r="G584" s="4"/>
      <c r="H584" s="4"/>
      <c r="I584" s="4"/>
      <c r="J584" s="4"/>
      <c r="K584" s="4"/>
      <c r="L584" s="4"/>
      <c r="M584" s="4"/>
      <c r="N584" s="4"/>
      <c r="O584" s="4"/>
      <c r="P584" s="4"/>
      <c r="Q584" s="4"/>
      <c r="R584" s="4"/>
      <c r="S584" s="4"/>
      <c r="T584" s="4"/>
      <c r="U584" s="4"/>
      <c r="V584" s="4"/>
      <c r="W584" s="4"/>
      <c r="X584" s="4"/>
      <c r="Y584" s="4"/>
    </row>
    <row r="585" spans="1:25" x14ac:dyDescent="0.2">
      <c r="A585" s="41"/>
      <c r="B585" s="5"/>
      <c r="C585" s="4"/>
      <c r="D585" s="4"/>
      <c r="E585" s="4"/>
      <c r="F585" s="4"/>
      <c r="G585" s="4"/>
      <c r="H585" s="4"/>
      <c r="I585" s="4"/>
      <c r="J585" s="4"/>
      <c r="K585" s="4"/>
      <c r="L585" s="4"/>
      <c r="M585" s="4"/>
      <c r="N585" s="4"/>
      <c r="O585" s="4"/>
      <c r="P585" s="4"/>
      <c r="Q585" s="4"/>
      <c r="R585" s="4"/>
      <c r="S585" s="4"/>
      <c r="T585" s="4"/>
      <c r="U585" s="4"/>
      <c r="V585" s="4"/>
      <c r="W585" s="4"/>
      <c r="X585" s="4"/>
      <c r="Y585" s="4"/>
    </row>
    <row r="586" spans="1:25" x14ac:dyDescent="0.2">
      <c r="A586" s="41"/>
      <c r="B586" s="5"/>
      <c r="C586" s="4"/>
      <c r="D586" s="4"/>
      <c r="E586" s="4"/>
      <c r="F586" s="4"/>
      <c r="G586" s="4"/>
      <c r="H586" s="4"/>
      <c r="I586" s="4"/>
      <c r="J586" s="4"/>
      <c r="K586" s="4"/>
      <c r="L586" s="4"/>
      <c r="M586" s="4"/>
      <c r="N586" s="4"/>
      <c r="O586" s="4"/>
      <c r="P586" s="4"/>
      <c r="Q586" s="4"/>
      <c r="R586" s="4"/>
      <c r="S586" s="4"/>
      <c r="T586" s="4"/>
      <c r="U586" s="4"/>
      <c r="V586" s="4"/>
      <c r="W586" s="4"/>
      <c r="X586" s="4"/>
      <c r="Y586" s="4"/>
    </row>
    <row r="587" spans="1:25" x14ac:dyDescent="0.2">
      <c r="A587" s="41"/>
      <c r="B587" s="5"/>
      <c r="C587" s="4"/>
      <c r="D587" s="4"/>
      <c r="E587" s="4"/>
      <c r="F587" s="4"/>
      <c r="G587" s="4"/>
      <c r="H587" s="4"/>
      <c r="I587" s="4"/>
      <c r="J587" s="4"/>
      <c r="K587" s="4"/>
      <c r="L587" s="4"/>
      <c r="M587" s="4"/>
      <c r="N587" s="4"/>
      <c r="O587" s="4"/>
      <c r="P587" s="4"/>
      <c r="Q587" s="4"/>
      <c r="R587" s="4"/>
      <c r="S587" s="4"/>
      <c r="T587" s="4"/>
      <c r="U587" s="4"/>
      <c r="V587" s="4"/>
      <c r="W587" s="4"/>
      <c r="X587" s="4"/>
      <c r="Y587" s="4"/>
    </row>
    <row r="588" spans="1:25" x14ac:dyDescent="0.2">
      <c r="A588" s="41"/>
      <c r="B588" s="5"/>
      <c r="C588" s="4"/>
      <c r="D588" s="4"/>
      <c r="E588" s="4"/>
      <c r="F588" s="4"/>
      <c r="G588" s="4"/>
      <c r="H588" s="4"/>
      <c r="I588" s="4"/>
      <c r="J588" s="4"/>
      <c r="K588" s="4"/>
      <c r="L588" s="4"/>
      <c r="M588" s="4"/>
      <c r="N588" s="4"/>
      <c r="O588" s="4"/>
      <c r="P588" s="4"/>
      <c r="Q588" s="4"/>
      <c r="R588" s="4"/>
      <c r="S588" s="4"/>
      <c r="T588" s="4"/>
      <c r="U588" s="4"/>
      <c r="V588" s="4"/>
      <c r="W588" s="4"/>
      <c r="X588" s="4"/>
      <c r="Y588" s="4"/>
    </row>
    <row r="589" spans="1:25" x14ac:dyDescent="0.2">
      <c r="A589" s="41"/>
      <c r="B589" s="5"/>
      <c r="C589" s="4"/>
      <c r="D589" s="4"/>
      <c r="E589" s="4"/>
      <c r="F589" s="4"/>
      <c r="G589" s="4"/>
      <c r="H589" s="4"/>
      <c r="I589" s="4"/>
      <c r="J589" s="4"/>
      <c r="K589" s="4"/>
      <c r="L589" s="4"/>
      <c r="M589" s="4"/>
      <c r="N589" s="4"/>
      <c r="O589" s="4"/>
      <c r="P589" s="4"/>
      <c r="Q589" s="4"/>
      <c r="R589" s="4"/>
      <c r="S589" s="4"/>
      <c r="T589" s="4"/>
      <c r="U589" s="4"/>
      <c r="V589" s="4"/>
      <c r="W589" s="4"/>
      <c r="X589" s="4"/>
      <c r="Y589" s="4"/>
    </row>
    <row r="590" spans="1:25" x14ac:dyDescent="0.2">
      <c r="A590" s="41"/>
      <c r="B590" s="5"/>
      <c r="C590" s="4"/>
      <c r="D590" s="4"/>
      <c r="E590" s="4"/>
      <c r="F590" s="4"/>
      <c r="G590" s="4"/>
      <c r="H590" s="4"/>
      <c r="I590" s="4"/>
      <c r="J590" s="4"/>
      <c r="K590" s="4"/>
      <c r="L590" s="4"/>
      <c r="M590" s="4"/>
      <c r="N590" s="4"/>
      <c r="O590" s="4"/>
      <c r="P590" s="4"/>
      <c r="Q590" s="4"/>
      <c r="R590" s="4"/>
      <c r="S590" s="4"/>
      <c r="T590" s="4"/>
      <c r="U590" s="4"/>
      <c r="V590" s="4"/>
      <c r="W590" s="4"/>
      <c r="X590" s="4"/>
      <c r="Y590" s="4"/>
    </row>
    <row r="591" spans="1:25" x14ac:dyDescent="0.2">
      <c r="A591" s="41"/>
      <c r="B591" s="5"/>
      <c r="C591" s="4"/>
      <c r="D591" s="4"/>
      <c r="E591" s="4"/>
      <c r="F591" s="4"/>
      <c r="G591" s="4"/>
      <c r="H591" s="4"/>
      <c r="I591" s="4"/>
      <c r="J591" s="4"/>
      <c r="K591" s="4"/>
      <c r="L591" s="4"/>
      <c r="M591" s="4"/>
      <c r="N591" s="4"/>
      <c r="O591" s="4"/>
      <c r="P591" s="4"/>
      <c r="Q591" s="4"/>
      <c r="R591" s="4"/>
      <c r="S591" s="4"/>
      <c r="T591" s="4"/>
      <c r="U591" s="4"/>
      <c r="V591" s="4"/>
      <c r="W591" s="4"/>
      <c r="X591" s="4"/>
      <c r="Y591" s="4"/>
    </row>
    <row r="592" spans="1:25" x14ac:dyDescent="0.2">
      <c r="A592" s="41"/>
      <c r="B592" s="5"/>
      <c r="C592" s="4"/>
      <c r="D592" s="4"/>
      <c r="E592" s="4"/>
      <c r="F592" s="4"/>
      <c r="G592" s="4"/>
      <c r="H592" s="4"/>
      <c r="I592" s="4"/>
      <c r="J592" s="4"/>
      <c r="K592" s="4"/>
      <c r="L592" s="4"/>
      <c r="M592" s="4"/>
      <c r="N592" s="4"/>
      <c r="O592" s="4"/>
      <c r="P592" s="4"/>
      <c r="Q592" s="4"/>
      <c r="R592" s="4"/>
      <c r="S592" s="4"/>
      <c r="T592" s="4"/>
      <c r="U592" s="4"/>
      <c r="V592" s="4"/>
      <c r="W592" s="4"/>
      <c r="X592" s="4"/>
      <c r="Y592" s="4"/>
    </row>
    <row r="593" spans="1:25" x14ac:dyDescent="0.2">
      <c r="A593" s="41"/>
      <c r="B593" s="5"/>
      <c r="C593" s="4"/>
      <c r="D593" s="4"/>
      <c r="E593" s="4"/>
      <c r="F593" s="4"/>
      <c r="G593" s="4"/>
      <c r="H593" s="4"/>
      <c r="I593" s="4"/>
      <c r="J593" s="4"/>
      <c r="K593" s="4"/>
      <c r="L593" s="4"/>
      <c r="M593" s="4"/>
      <c r="N593" s="4"/>
      <c r="O593" s="4"/>
      <c r="P593" s="4"/>
      <c r="Q593" s="4"/>
      <c r="R593" s="4"/>
      <c r="S593" s="4"/>
      <c r="T593" s="4"/>
      <c r="U593" s="4"/>
      <c r="V593" s="4"/>
      <c r="W593" s="4"/>
      <c r="X593" s="4"/>
      <c r="Y593" s="4"/>
    </row>
    <row r="594" spans="1:25" x14ac:dyDescent="0.2">
      <c r="A594" s="41"/>
      <c r="B594" s="5"/>
      <c r="C594" s="4"/>
      <c r="D594" s="4"/>
      <c r="E594" s="4"/>
      <c r="F594" s="4"/>
      <c r="G594" s="4"/>
      <c r="H594" s="4"/>
      <c r="I594" s="4"/>
      <c r="J594" s="4"/>
      <c r="K594" s="4"/>
      <c r="L594" s="4"/>
      <c r="M594" s="4"/>
      <c r="N594" s="4"/>
      <c r="O594" s="4"/>
      <c r="P594" s="4"/>
      <c r="Q594" s="4"/>
      <c r="R594" s="4"/>
      <c r="S594" s="4"/>
      <c r="T594" s="4"/>
      <c r="U594" s="4"/>
      <c r="V594" s="4"/>
      <c r="W594" s="4"/>
      <c r="X594" s="4"/>
      <c r="Y594" s="4"/>
    </row>
    <row r="595" spans="1:25" x14ac:dyDescent="0.2">
      <c r="A595" s="41"/>
      <c r="B595" s="5"/>
      <c r="C595" s="4"/>
      <c r="D595" s="4"/>
      <c r="E595" s="4"/>
      <c r="F595" s="4"/>
      <c r="G595" s="4"/>
      <c r="H595" s="4"/>
      <c r="I595" s="4"/>
      <c r="J595" s="4"/>
      <c r="K595" s="4"/>
      <c r="L595" s="4"/>
      <c r="M595" s="4"/>
      <c r="N595" s="4"/>
      <c r="O595" s="4"/>
      <c r="P595" s="4"/>
      <c r="Q595" s="4"/>
      <c r="R595" s="4"/>
      <c r="S595" s="4"/>
      <c r="T595" s="4"/>
      <c r="U595" s="4"/>
      <c r="V595" s="4"/>
      <c r="W595" s="4"/>
      <c r="X595" s="4"/>
      <c r="Y595" s="4"/>
    </row>
    <row r="596" spans="1:25" x14ac:dyDescent="0.2">
      <c r="A596" s="41"/>
      <c r="B596" s="5"/>
      <c r="C596" s="4"/>
      <c r="D596" s="4"/>
      <c r="E596" s="4"/>
      <c r="F596" s="4"/>
      <c r="G596" s="4"/>
      <c r="H596" s="4"/>
      <c r="I596" s="4"/>
      <c r="J596" s="4"/>
      <c r="K596" s="4"/>
      <c r="L596" s="4"/>
      <c r="M596" s="4"/>
      <c r="N596" s="4"/>
      <c r="O596" s="4"/>
      <c r="P596" s="4"/>
      <c r="Q596" s="4"/>
      <c r="R596" s="4"/>
      <c r="S596" s="4"/>
      <c r="T596" s="4"/>
      <c r="U596" s="4"/>
      <c r="V596" s="4"/>
      <c r="W596" s="4"/>
      <c r="X596" s="4"/>
      <c r="Y596" s="4"/>
    </row>
    <row r="597" spans="1:25" x14ac:dyDescent="0.2">
      <c r="A597" s="41"/>
      <c r="B597" s="5"/>
      <c r="C597" s="4"/>
      <c r="D597" s="4"/>
      <c r="E597" s="4"/>
      <c r="F597" s="4"/>
      <c r="G597" s="4"/>
      <c r="H597" s="4"/>
      <c r="I597" s="4"/>
      <c r="J597" s="4"/>
      <c r="K597" s="4"/>
      <c r="L597" s="4"/>
      <c r="M597" s="4"/>
      <c r="N597" s="4"/>
      <c r="O597" s="4"/>
      <c r="P597" s="4"/>
      <c r="Q597" s="4"/>
      <c r="R597" s="4"/>
      <c r="S597" s="4"/>
      <c r="T597" s="4"/>
      <c r="U597" s="4"/>
      <c r="V597" s="4"/>
      <c r="W597" s="4"/>
      <c r="X597" s="4"/>
      <c r="Y597" s="4"/>
    </row>
    <row r="598" spans="1:25" x14ac:dyDescent="0.2">
      <c r="A598" s="41"/>
      <c r="B598" s="5"/>
      <c r="C598" s="4"/>
      <c r="D598" s="4"/>
      <c r="E598" s="4"/>
      <c r="F598" s="4"/>
      <c r="G598" s="4"/>
      <c r="H598" s="4"/>
      <c r="I598" s="4"/>
      <c r="J598" s="4"/>
      <c r="K598" s="4"/>
      <c r="L598" s="4"/>
      <c r="M598" s="4"/>
      <c r="N598" s="4"/>
      <c r="O598" s="4"/>
      <c r="P598" s="4"/>
      <c r="Q598" s="4"/>
      <c r="R598" s="4"/>
      <c r="S598" s="4"/>
      <c r="T598" s="4"/>
      <c r="U598" s="4"/>
      <c r="V598" s="4"/>
      <c r="W598" s="4"/>
      <c r="X598" s="4"/>
      <c r="Y598" s="4"/>
    </row>
    <row r="599" spans="1:25" x14ac:dyDescent="0.2">
      <c r="A599" s="41"/>
      <c r="B599" s="5"/>
      <c r="C599" s="4"/>
      <c r="D599" s="4"/>
      <c r="E599" s="4"/>
      <c r="F599" s="4"/>
      <c r="G599" s="4"/>
      <c r="H599" s="4"/>
      <c r="I599" s="4"/>
      <c r="J599" s="4"/>
      <c r="K599" s="4"/>
      <c r="L599" s="4"/>
      <c r="M599" s="4"/>
      <c r="N599" s="4"/>
      <c r="O599" s="4"/>
      <c r="P599" s="4"/>
      <c r="Q599" s="4"/>
      <c r="R599" s="4"/>
      <c r="S599" s="4"/>
      <c r="T599" s="4"/>
      <c r="U599" s="4"/>
      <c r="V599" s="4"/>
      <c r="W599" s="4"/>
      <c r="X599" s="4"/>
      <c r="Y599" s="4"/>
    </row>
    <row r="600" spans="1:25" x14ac:dyDescent="0.2">
      <c r="A600" s="41"/>
      <c r="B600" s="5"/>
      <c r="C600" s="4"/>
      <c r="D600" s="4"/>
      <c r="E600" s="4"/>
      <c r="F600" s="4"/>
      <c r="G600" s="4"/>
      <c r="H600" s="4"/>
      <c r="I600" s="4"/>
      <c r="J600" s="4"/>
      <c r="K600" s="4"/>
      <c r="L600" s="4"/>
      <c r="M600" s="4"/>
      <c r="N600" s="4"/>
      <c r="O600" s="4"/>
      <c r="P600" s="4"/>
      <c r="Q600" s="4"/>
      <c r="R600" s="4"/>
      <c r="S600" s="4"/>
      <c r="T600" s="4"/>
      <c r="U600" s="4"/>
      <c r="V600" s="4"/>
      <c r="W600" s="4"/>
      <c r="X600" s="4"/>
      <c r="Y600" s="4"/>
    </row>
    <row r="601" spans="1:25" x14ac:dyDescent="0.2">
      <c r="A601" s="41"/>
      <c r="B601" s="5"/>
      <c r="C601" s="4"/>
      <c r="D601" s="4"/>
      <c r="E601" s="4"/>
      <c r="F601" s="4"/>
      <c r="G601" s="4"/>
      <c r="H601" s="4"/>
      <c r="I601" s="4"/>
      <c r="J601" s="4"/>
      <c r="K601" s="4"/>
      <c r="L601" s="4"/>
      <c r="M601" s="4"/>
      <c r="N601" s="4"/>
      <c r="O601" s="4"/>
      <c r="P601" s="4"/>
      <c r="Q601" s="4"/>
      <c r="R601" s="4"/>
      <c r="S601" s="4"/>
      <c r="T601" s="4"/>
      <c r="U601" s="4"/>
      <c r="V601" s="4"/>
      <c r="W601" s="4"/>
      <c r="X601" s="4"/>
      <c r="Y601" s="4"/>
    </row>
    <row r="602" spans="1:25" x14ac:dyDescent="0.2">
      <c r="A602" s="41"/>
      <c r="B602" s="5"/>
      <c r="C602" s="4"/>
      <c r="D602" s="4"/>
      <c r="E602" s="4"/>
      <c r="F602" s="4"/>
      <c r="G602" s="4"/>
      <c r="H602" s="4"/>
      <c r="I602" s="4"/>
      <c r="J602" s="4"/>
      <c r="K602" s="4"/>
      <c r="L602" s="4"/>
      <c r="M602" s="4"/>
      <c r="N602" s="4"/>
      <c r="O602" s="4"/>
      <c r="P602" s="4"/>
      <c r="Q602" s="4"/>
      <c r="R602" s="4"/>
      <c r="S602" s="4"/>
      <c r="T602" s="4"/>
      <c r="U602" s="4"/>
      <c r="V602" s="4"/>
      <c r="W602" s="4"/>
      <c r="X602" s="4"/>
      <c r="Y602" s="4"/>
    </row>
    <row r="603" spans="1:25" x14ac:dyDescent="0.2">
      <c r="A603" s="41"/>
      <c r="B603" s="5"/>
      <c r="C603" s="4"/>
      <c r="D603" s="4"/>
      <c r="E603" s="4"/>
      <c r="F603" s="4"/>
      <c r="G603" s="4"/>
      <c r="H603" s="4"/>
      <c r="I603" s="4"/>
      <c r="J603" s="4"/>
      <c r="K603" s="4"/>
      <c r="L603" s="4"/>
      <c r="M603" s="4"/>
      <c r="N603" s="4"/>
      <c r="O603" s="4"/>
      <c r="P603" s="4"/>
      <c r="Q603" s="4"/>
      <c r="R603" s="4"/>
      <c r="S603" s="4"/>
      <c r="T603" s="4"/>
      <c r="U603" s="4"/>
      <c r="V603" s="4"/>
      <c r="W603" s="4"/>
      <c r="X603" s="4"/>
      <c r="Y603" s="4"/>
    </row>
    <row r="604" spans="1:25" x14ac:dyDescent="0.2">
      <c r="A604" s="41"/>
      <c r="B604" s="5"/>
      <c r="C604" s="4"/>
      <c r="D604" s="4"/>
      <c r="E604" s="4"/>
      <c r="F604" s="4"/>
      <c r="G604" s="4"/>
      <c r="H604" s="4"/>
      <c r="I604" s="4"/>
      <c r="J604" s="4"/>
      <c r="K604" s="4"/>
      <c r="L604" s="4"/>
      <c r="M604" s="4"/>
      <c r="N604" s="4"/>
      <c r="O604" s="4"/>
      <c r="P604" s="4"/>
      <c r="Q604" s="4"/>
      <c r="R604" s="4"/>
      <c r="S604" s="4"/>
      <c r="T604" s="4"/>
      <c r="U604" s="4"/>
      <c r="V604" s="4"/>
      <c r="W604" s="4"/>
      <c r="X604" s="4"/>
      <c r="Y604" s="4"/>
    </row>
    <row r="605" spans="1:25" x14ac:dyDescent="0.2">
      <c r="A605" s="41"/>
      <c r="B605" s="5"/>
      <c r="C605" s="4"/>
      <c r="D605" s="4"/>
      <c r="E605" s="4"/>
      <c r="F605" s="4"/>
      <c r="G605" s="4"/>
      <c r="H605" s="4"/>
      <c r="I605" s="4"/>
      <c r="J605" s="4"/>
      <c r="K605" s="4"/>
      <c r="L605" s="4"/>
      <c r="M605" s="4"/>
      <c r="N605" s="4"/>
      <c r="O605" s="4"/>
      <c r="P605" s="4"/>
      <c r="Q605" s="4"/>
      <c r="R605" s="4"/>
      <c r="S605" s="4"/>
      <c r="T605" s="4"/>
      <c r="U605" s="4"/>
      <c r="V605" s="4"/>
      <c r="W605" s="4"/>
      <c r="X605" s="4"/>
      <c r="Y605" s="4"/>
    </row>
    <row r="606" spans="1:25" x14ac:dyDescent="0.2">
      <c r="A606" s="41"/>
      <c r="B606" s="5"/>
      <c r="C606" s="4"/>
      <c r="D606" s="4"/>
      <c r="E606" s="4"/>
      <c r="F606" s="4"/>
      <c r="G606" s="4"/>
      <c r="H606" s="4"/>
      <c r="I606" s="4"/>
      <c r="J606" s="4"/>
      <c r="K606" s="4"/>
      <c r="L606" s="4"/>
      <c r="M606" s="4"/>
      <c r="N606" s="4"/>
      <c r="O606" s="4"/>
      <c r="P606" s="4"/>
      <c r="Q606" s="4"/>
      <c r="R606" s="4"/>
      <c r="S606" s="4"/>
      <c r="T606" s="4"/>
      <c r="U606" s="4"/>
      <c r="V606" s="4"/>
      <c r="W606" s="4"/>
      <c r="X606" s="4"/>
      <c r="Y606" s="4"/>
    </row>
    <row r="607" spans="1:25" x14ac:dyDescent="0.2">
      <c r="A607" s="41"/>
      <c r="B607" s="5"/>
      <c r="C607" s="4"/>
      <c r="D607" s="4"/>
      <c r="E607" s="4"/>
      <c r="F607" s="4"/>
      <c r="G607" s="4"/>
      <c r="H607" s="4"/>
      <c r="I607" s="4"/>
      <c r="J607" s="4"/>
      <c r="K607" s="4"/>
      <c r="L607" s="4"/>
      <c r="M607" s="4"/>
      <c r="N607" s="4"/>
      <c r="O607" s="4"/>
      <c r="P607" s="4"/>
      <c r="Q607" s="4"/>
      <c r="R607" s="4"/>
      <c r="S607" s="4"/>
      <c r="T607" s="4"/>
      <c r="U607" s="4"/>
      <c r="V607" s="4"/>
      <c r="W607" s="4"/>
      <c r="X607" s="4"/>
      <c r="Y607" s="4"/>
    </row>
    <row r="608" spans="1:25" x14ac:dyDescent="0.2">
      <c r="A608" s="41"/>
      <c r="B608" s="5"/>
      <c r="C608" s="4"/>
      <c r="D608" s="4"/>
      <c r="E608" s="4"/>
      <c r="F608" s="4"/>
      <c r="G608" s="4"/>
      <c r="H608" s="4"/>
      <c r="I608" s="4"/>
      <c r="J608" s="4"/>
      <c r="K608" s="4"/>
      <c r="L608" s="4"/>
      <c r="M608" s="4"/>
      <c r="N608" s="4"/>
      <c r="O608" s="4"/>
      <c r="P608" s="4"/>
      <c r="Q608" s="4"/>
      <c r="R608" s="4"/>
      <c r="S608" s="4"/>
      <c r="T608" s="4"/>
      <c r="U608" s="4"/>
      <c r="V608" s="4"/>
      <c r="W608" s="4"/>
      <c r="X608" s="4"/>
      <c r="Y608" s="4"/>
    </row>
    <row r="609" spans="1:25" x14ac:dyDescent="0.2">
      <c r="A609" s="41"/>
      <c r="B609" s="5"/>
      <c r="C609" s="4"/>
      <c r="D609" s="4"/>
      <c r="E609" s="4"/>
      <c r="F609" s="4"/>
      <c r="G609" s="4"/>
      <c r="H609" s="4"/>
      <c r="I609" s="4"/>
      <c r="J609" s="4"/>
      <c r="K609" s="4"/>
      <c r="L609" s="4"/>
      <c r="M609" s="4"/>
      <c r="N609" s="4"/>
      <c r="O609" s="4"/>
      <c r="P609" s="4"/>
      <c r="Q609" s="4"/>
      <c r="R609" s="4"/>
      <c r="S609" s="4"/>
      <c r="T609" s="4"/>
      <c r="U609" s="4"/>
      <c r="V609" s="4"/>
      <c r="W609" s="4"/>
      <c r="X609" s="4"/>
      <c r="Y609" s="4"/>
    </row>
    <row r="610" spans="1:25" x14ac:dyDescent="0.2">
      <c r="A610" s="41"/>
      <c r="B610" s="5"/>
      <c r="C610" s="4"/>
      <c r="D610" s="4"/>
      <c r="E610" s="4"/>
      <c r="F610" s="4"/>
      <c r="G610" s="4"/>
      <c r="H610" s="4"/>
      <c r="I610" s="4"/>
      <c r="J610" s="4"/>
      <c r="K610" s="4"/>
      <c r="L610" s="4"/>
      <c r="M610" s="4"/>
      <c r="N610" s="4"/>
      <c r="O610" s="4"/>
      <c r="P610" s="4"/>
      <c r="Q610" s="4"/>
      <c r="R610" s="4"/>
      <c r="S610" s="4"/>
      <c r="T610" s="4"/>
      <c r="U610" s="4"/>
      <c r="V610" s="4"/>
      <c r="W610" s="4"/>
      <c r="X610" s="4"/>
      <c r="Y610" s="4"/>
    </row>
    <row r="611" spans="1:25" x14ac:dyDescent="0.2">
      <c r="A611" s="41"/>
      <c r="B611" s="5"/>
      <c r="C611" s="4"/>
      <c r="D611" s="4"/>
      <c r="E611" s="4"/>
      <c r="F611" s="4"/>
      <c r="G611" s="4"/>
      <c r="H611" s="4"/>
      <c r="I611" s="4"/>
      <c r="J611" s="4"/>
      <c r="K611" s="4"/>
      <c r="L611" s="4"/>
      <c r="M611" s="4"/>
      <c r="N611" s="4"/>
      <c r="O611" s="4"/>
      <c r="P611" s="4"/>
      <c r="Q611" s="4"/>
      <c r="R611" s="4"/>
      <c r="S611" s="4"/>
      <c r="T611" s="4"/>
      <c r="U611" s="4"/>
      <c r="V611" s="4"/>
      <c r="W611" s="4"/>
      <c r="X611" s="4"/>
      <c r="Y611" s="4"/>
    </row>
    <row r="612" spans="1:25" x14ac:dyDescent="0.2">
      <c r="A612" s="41"/>
      <c r="B612" s="5"/>
      <c r="C612" s="4"/>
      <c r="D612" s="4"/>
      <c r="E612" s="4"/>
      <c r="F612" s="4"/>
      <c r="G612" s="4"/>
      <c r="H612" s="4"/>
      <c r="I612" s="4"/>
      <c r="J612" s="4"/>
      <c r="K612" s="4"/>
      <c r="L612" s="4"/>
      <c r="M612" s="4"/>
      <c r="N612" s="4"/>
      <c r="O612" s="4"/>
      <c r="P612" s="4"/>
      <c r="Q612" s="4"/>
      <c r="R612" s="4"/>
      <c r="S612" s="4"/>
      <c r="T612" s="4"/>
      <c r="U612" s="4"/>
      <c r="V612" s="4"/>
      <c r="W612" s="4"/>
      <c r="X612" s="4"/>
      <c r="Y612" s="4"/>
    </row>
    <row r="613" spans="1:25" x14ac:dyDescent="0.2">
      <c r="A613" s="41"/>
      <c r="B613" s="5"/>
      <c r="C613" s="4"/>
      <c r="D613" s="4"/>
      <c r="E613" s="4"/>
      <c r="F613" s="4"/>
      <c r="G613" s="4"/>
      <c r="H613" s="4"/>
      <c r="I613" s="4"/>
      <c r="J613" s="4"/>
      <c r="K613" s="4"/>
      <c r="L613" s="4"/>
      <c r="M613" s="4"/>
      <c r="N613" s="4"/>
      <c r="O613" s="4"/>
      <c r="P613" s="4"/>
      <c r="Q613" s="4"/>
      <c r="R613" s="4"/>
      <c r="S613" s="4"/>
      <c r="T613" s="4"/>
      <c r="U613" s="4"/>
      <c r="V613" s="4"/>
      <c r="W613" s="4"/>
      <c r="X613" s="4"/>
      <c r="Y613" s="4"/>
    </row>
    <row r="614" spans="1:25" x14ac:dyDescent="0.2">
      <c r="A614" s="41"/>
      <c r="B614" s="5"/>
      <c r="C614" s="4"/>
      <c r="D614" s="4"/>
      <c r="E614" s="4"/>
      <c r="F614" s="4"/>
      <c r="G614" s="4"/>
      <c r="H614" s="4"/>
      <c r="I614" s="4"/>
      <c r="J614" s="4"/>
      <c r="K614" s="4"/>
      <c r="L614" s="4"/>
      <c r="M614" s="4"/>
      <c r="N614" s="4"/>
      <c r="O614" s="4"/>
      <c r="P614" s="4"/>
      <c r="Q614" s="4"/>
      <c r="R614" s="4"/>
      <c r="S614" s="4"/>
      <c r="T614" s="4"/>
      <c r="U614" s="4"/>
      <c r="V614" s="4"/>
      <c r="W614" s="4"/>
      <c r="X614" s="4"/>
      <c r="Y614" s="4"/>
    </row>
    <row r="615" spans="1:25" x14ac:dyDescent="0.2">
      <c r="A615" s="41"/>
      <c r="B615" s="5"/>
      <c r="C615" s="4"/>
      <c r="D615" s="4"/>
      <c r="E615" s="4"/>
      <c r="F615" s="4"/>
      <c r="G615" s="4"/>
      <c r="H615" s="4"/>
      <c r="I615" s="4"/>
      <c r="J615" s="4"/>
      <c r="K615" s="4"/>
      <c r="L615" s="4"/>
      <c r="M615" s="4"/>
      <c r="N615" s="4"/>
      <c r="O615" s="4"/>
      <c r="P615" s="4"/>
      <c r="Q615" s="4"/>
      <c r="R615" s="4"/>
      <c r="S615" s="4"/>
      <c r="T615" s="4"/>
      <c r="U615" s="4"/>
      <c r="V615" s="4"/>
      <c r="W615" s="4"/>
      <c r="X615" s="4"/>
      <c r="Y615" s="4"/>
    </row>
    <row r="616" spans="1:25" x14ac:dyDescent="0.2">
      <c r="A616" s="41"/>
      <c r="B616" s="5"/>
      <c r="C616" s="4"/>
      <c r="D616" s="4"/>
      <c r="E616" s="4"/>
      <c r="F616" s="4"/>
      <c r="G616" s="4"/>
      <c r="H616" s="4"/>
      <c r="I616" s="4"/>
      <c r="J616" s="4"/>
      <c r="K616" s="4"/>
      <c r="L616" s="4"/>
      <c r="M616" s="4"/>
      <c r="N616" s="4"/>
      <c r="O616" s="4"/>
      <c r="P616" s="4"/>
      <c r="Q616" s="4"/>
      <c r="R616" s="4"/>
      <c r="S616" s="4"/>
      <c r="T616" s="4"/>
      <c r="U616" s="4"/>
      <c r="V616" s="4"/>
      <c r="W616" s="4"/>
      <c r="X616" s="4"/>
      <c r="Y616" s="4"/>
    </row>
    <row r="617" spans="1:25" x14ac:dyDescent="0.2">
      <c r="A617" s="41"/>
      <c r="B617" s="5"/>
      <c r="C617" s="4"/>
      <c r="D617" s="4"/>
      <c r="E617" s="4"/>
      <c r="F617" s="4"/>
      <c r="G617" s="4"/>
      <c r="H617" s="4"/>
      <c r="I617" s="4"/>
      <c r="J617" s="4"/>
      <c r="K617" s="4"/>
      <c r="L617" s="4"/>
      <c r="M617" s="4"/>
      <c r="N617" s="4"/>
      <c r="O617" s="4"/>
      <c r="P617" s="4"/>
      <c r="Q617" s="4"/>
      <c r="R617" s="4"/>
      <c r="S617" s="4"/>
      <c r="T617" s="4"/>
      <c r="U617" s="4"/>
      <c r="V617" s="4"/>
      <c r="W617" s="4"/>
      <c r="X617" s="4"/>
      <c r="Y617" s="4"/>
    </row>
    <row r="618" spans="1:25" x14ac:dyDescent="0.2">
      <c r="A618" s="41"/>
      <c r="B618" s="5"/>
      <c r="C618" s="4"/>
      <c r="D618" s="4"/>
      <c r="E618" s="4"/>
      <c r="F618" s="4"/>
      <c r="G618" s="4"/>
      <c r="H618" s="4"/>
      <c r="I618" s="4"/>
      <c r="J618" s="4"/>
      <c r="K618" s="4"/>
      <c r="L618" s="4"/>
      <c r="M618" s="4"/>
      <c r="N618" s="4"/>
      <c r="O618" s="4"/>
      <c r="P618" s="4"/>
      <c r="Q618" s="4"/>
      <c r="R618" s="4"/>
      <c r="S618" s="4"/>
      <c r="T618" s="4"/>
      <c r="U618" s="4"/>
      <c r="V618" s="4"/>
      <c r="W618" s="4"/>
      <c r="X618" s="4"/>
      <c r="Y618" s="4"/>
    </row>
    <row r="619" spans="1:25" x14ac:dyDescent="0.2">
      <c r="A619" s="41"/>
      <c r="B619" s="5"/>
      <c r="C619" s="4"/>
      <c r="D619" s="4"/>
      <c r="E619" s="4"/>
      <c r="F619" s="4"/>
      <c r="G619" s="4"/>
      <c r="H619" s="4"/>
      <c r="I619" s="4"/>
      <c r="J619" s="4"/>
      <c r="K619" s="4"/>
      <c r="L619" s="4"/>
      <c r="M619" s="4"/>
      <c r="N619" s="4"/>
      <c r="O619" s="4"/>
      <c r="P619" s="4"/>
      <c r="Q619" s="4"/>
      <c r="R619" s="4"/>
      <c r="S619" s="4"/>
      <c r="T619" s="4"/>
      <c r="U619" s="4"/>
      <c r="V619" s="4"/>
      <c r="W619" s="4"/>
      <c r="X619" s="4"/>
      <c r="Y619" s="4"/>
    </row>
    <row r="620" spans="1:25" x14ac:dyDescent="0.2">
      <c r="A620" s="41"/>
      <c r="B620" s="5"/>
      <c r="C620" s="4"/>
      <c r="D620" s="4"/>
      <c r="E620" s="4"/>
      <c r="F620" s="4"/>
      <c r="G620" s="4"/>
      <c r="H620" s="4"/>
      <c r="I620" s="4"/>
      <c r="J620" s="4"/>
      <c r="K620" s="4"/>
      <c r="L620" s="4"/>
      <c r="M620" s="4"/>
      <c r="N620" s="4"/>
      <c r="O620" s="4"/>
      <c r="P620" s="4"/>
      <c r="Q620" s="4"/>
      <c r="R620" s="4"/>
      <c r="S620" s="4"/>
      <c r="T620" s="4"/>
      <c r="U620" s="4"/>
      <c r="V620" s="4"/>
      <c r="W620" s="4"/>
      <c r="X620" s="4"/>
      <c r="Y620" s="4"/>
    </row>
    <row r="621" spans="1:25" x14ac:dyDescent="0.2">
      <c r="A621" s="41"/>
      <c r="B621" s="5"/>
      <c r="C621" s="4"/>
      <c r="D621" s="4"/>
      <c r="E621" s="4"/>
      <c r="F621" s="4"/>
      <c r="G621" s="4"/>
      <c r="H621" s="4"/>
      <c r="I621" s="4"/>
      <c r="J621" s="4"/>
      <c r="K621" s="4"/>
      <c r="L621" s="4"/>
      <c r="M621" s="4"/>
      <c r="N621" s="4"/>
      <c r="O621" s="4"/>
      <c r="P621" s="4"/>
      <c r="Q621" s="4"/>
      <c r="R621" s="4"/>
      <c r="S621" s="4"/>
      <c r="T621" s="4"/>
      <c r="U621" s="4"/>
      <c r="V621" s="4"/>
      <c r="W621" s="4"/>
      <c r="X621" s="4"/>
      <c r="Y621" s="4"/>
    </row>
    <row r="622" spans="1:25" x14ac:dyDescent="0.2">
      <c r="A622" s="41"/>
      <c r="B622" s="5"/>
      <c r="C622" s="4"/>
      <c r="D622" s="4"/>
      <c r="E622" s="4"/>
      <c r="F622" s="4"/>
      <c r="G622" s="4"/>
      <c r="H622" s="4"/>
      <c r="I622" s="4"/>
      <c r="J622" s="4"/>
      <c r="K622" s="4"/>
      <c r="L622" s="4"/>
      <c r="M622" s="4"/>
      <c r="N622" s="4"/>
      <c r="O622" s="4"/>
      <c r="P622" s="4"/>
      <c r="Q622" s="4"/>
      <c r="R622" s="4"/>
      <c r="S622" s="4"/>
      <c r="T622" s="4"/>
      <c r="U622" s="4"/>
      <c r="V622" s="4"/>
      <c r="W622" s="4"/>
      <c r="X622" s="4"/>
      <c r="Y622" s="4"/>
    </row>
    <row r="623" spans="1:25" x14ac:dyDescent="0.2">
      <c r="A623" s="41"/>
      <c r="B623" s="5"/>
      <c r="C623" s="4"/>
      <c r="D623" s="4"/>
      <c r="E623" s="4"/>
      <c r="F623" s="4"/>
      <c r="G623" s="4"/>
      <c r="H623" s="4"/>
      <c r="I623" s="4"/>
      <c r="J623" s="4"/>
      <c r="K623" s="4"/>
      <c r="L623" s="4"/>
      <c r="M623" s="4"/>
      <c r="N623" s="4"/>
      <c r="O623" s="4"/>
      <c r="P623" s="4"/>
      <c r="Q623" s="4"/>
      <c r="R623" s="4"/>
      <c r="S623" s="4"/>
      <c r="T623" s="4"/>
      <c r="U623" s="4"/>
      <c r="V623" s="4"/>
      <c r="W623" s="4"/>
      <c r="X623" s="4"/>
      <c r="Y623" s="4"/>
    </row>
    <row r="624" spans="1:25" x14ac:dyDescent="0.2">
      <c r="A624" s="41"/>
      <c r="B624" s="5"/>
      <c r="C624" s="4"/>
      <c r="D624" s="4"/>
      <c r="E624" s="4"/>
      <c r="F624" s="4"/>
      <c r="G624" s="4"/>
      <c r="H624" s="4"/>
      <c r="I624" s="4"/>
      <c r="J624" s="4"/>
      <c r="K624" s="4"/>
      <c r="L624" s="4"/>
      <c r="M624" s="4"/>
      <c r="N624" s="4"/>
      <c r="O624" s="4"/>
      <c r="P624" s="4"/>
      <c r="Q624" s="4"/>
      <c r="R624" s="4"/>
      <c r="S624" s="4"/>
      <c r="T624" s="4"/>
      <c r="U624" s="4"/>
      <c r="V624" s="4"/>
      <c r="W624" s="4"/>
      <c r="X624" s="4"/>
      <c r="Y624" s="4"/>
    </row>
    <row r="625" spans="1:25" x14ac:dyDescent="0.2">
      <c r="A625" s="41"/>
      <c r="B625" s="5"/>
      <c r="C625" s="4"/>
      <c r="D625" s="4"/>
      <c r="E625" s="4"/>
      <c r="F625" s="4"/>
      <c r="G625" s="4"/>
      <c r="H625" s="4"/>
      <c r="I625" s="4"/>
      <c r="J625" s="4"/>
      <c r="K625" s="4"/>
      <c r="L625" s="4"/>
      <c r="M625" s="4"/>
      <c r="N625" s="4"/>
      <c r="O625" s="4"/>
      <c r="P625" s="4"/>
      <c r="Q625" s="4"/>
      <c r="R625" s="4"/>
      <c r="S625" s="4"/>
      <c r="T625" s="4"/>
      <c r="U625" s="4"/>
      <c r="V625" s="4"/>
      <c r="W625" s="4"/>
      <c r="X625" s="4"/>
      <c r="Y625" s="4"/>
    </row>
    <row r="626" spans="1:25" x14ac:dyDescent="0.2">
      <c r="A626" s="41"/>
      <c r="B626" s="5"/>
      <c r="C626" s="4"/>
      <c r="D626" s="4"/>
      <c r="E626" s="4"/>
      <c r="F626" s="4"/>
      <c r="G626" s="4"/>
      <c r="H626" s="4"/>
      <c r="I626" s="4"/>
      <c r="J626" s="4"/>
      <c r="K626" s="4"/>
      <c r="L626" s="4"/>
      <c r="M626" s="4"/>
      <c r="N626" s="4"/>
      <c r="O626" s="4"/>
      <c r="P626" s="4"/>
      <c r="Q626" s="4"/>
      <c r="R626" s="4"/>
      <c r="S626" s="4"/>
      <c r="T626" s="4"/>
      <c r="U626" s="4"/>
      <c r="V626" s="4"/>
      <c r="W626" s="4"/>
      <c r="X626" s="4"/>
      <c r="Y626" s="4"/>
    </row>
    <row r="627" spans="1:25" x14ac:dyDescent="0.2">
      <c r="A627" s="41"/>
      <c r="B627" s="5"/>
      <c r="C627" s="4"/>
      <c r="D627" s="4"/>
      <c r="E627" s="4"/>
      <c r="F627" s="4"/>
      <c r="G627" s="4"/>
      <c r="H627" s="4"/>
      <c r="I627" s="4"/>
      <c r="J627" s="4"/>
      <c r="K627" s="4"/>
      <c r="L627" s="4"/>
      <c r="M627" s="4"/>
      <c r="N627" s="4"/>
      <c r="O627" s="4"/>
      <c r="P627" s="4"/>
      <c r="Q627" s="4"/>
      <c r="R627" s="4"/>
      <c r="S627" s="4"/>
      <c r="T627" s="4"/>
      <c r="U627" s="4"/>
      <c r="V627" s="4"/>
      <c r="W627" s="4"/>
      <c r="X627" s="4"/>
      <c r="Y627" s="4"/>
    </row>
    <row r="628" spans="1:25" x14ac:dyDescent="0.2">
      <c r="A628" s="41"/>
      <c r="B628" s="5"/>
      <c r="C628" s="4"/>
      <c r="D628" s="4"/>
      <c r="E628" s="4"/>
      <c r="F628" s="4"/>
      <c r="G628" s="4"/>
      <c r="H628" s="4"/>
      <c r="I628" s="4"/>
      <c r="J628" s="4"/>
      <c r="K628" s="4"/>
      <c r="L628" s="4"/>
      <c r="M628" s="4"/>
      <c r="N628" s="4"/>
      <c r="O628" s="4"/>
      <c r="P628" s="4"/>
      <c r="Q628" s="4"/>
      <c r="R628" s="4"/>
      <c r="S628" s="4"/>
      <c r="T628" s="4"/>
      <c r="U628" s="4"/>
      <c r="V628" s="4"/>
      <c r="W628" s="4"/>
      <c r="X628" s="4"/>
      <c r="Y628" s="4"/>
    </row>
    <row r="629" spans="1:25" x14ac:dyDescent="0.2">
      <c r="A629" s="41"/>
      <c r="B629" s="5"/>
      <c r="C629" s="4"/>
      <c r="D629" s="4"/>
      <c r="E629" s="4"/>
      <c r="F629" s="4"/>
      <c r="G629" s="4"/>
      <c r="H629" s="4"/>
      <c r="I629" s="4"/>
      <c r="J629" s="4"/>
      <c r="K629" s="4"/>
      <c r="L629" s="4"/>
      <c r="M629" s="4"/>
      <c r="N629" s="4"/>
      <c r="O629" s="4"/>
      <c r="P629" s="4"/>
      <c r="Q629" s="4"/>
      <c r="R629" s="4"/>
      <c r="S629" s="4"/>
      <c r="T629" s="4"/>
      <c r="U629" s="4"/>
      <c r="V629" s="4"/>
      <c r="W629" s="4"/>
      <c r="X629" s="4"/>
      <c r="Y629" s="4"/>
    </row>
    <row r="630" spans="1:25" x14ac:dyDescent="0.2">
      <c r="A630" s="41"/>
      <c r="B630" s="5"/>
      <c r="C630" s="4"/>
      <c r="D630" s="4"/>
      <c r="E630" s="4"/>
      <c r="F630" s="4"/>
      <c r="G630" s="4"/>
      <c r="H630" s="4"/>
      <c r="I630" s="4"/>
      <c r="J630" s="4"/>
      <c r="K630" s="4"/>
      <c r="L630" s="4"/>
      <c r="M630" s="4"/>
      <c r="N630" s="4"/>
      <c r="O630" s="4"/>
      <c r="P630" s="4"/>
      <c r="Q630" s="4"/>
      <c r="R630" s="4"/>
      <c r="S630" s="4"/>
      <c r="T630" s="4"/>
      <c r="U630" s="4"/>
      <c r="V630" s="4"/>
      <c r="W630" s="4"/>
      <c r="X630" s="4"/>
      <c r="Y630" s="4"/>
    </row>
    <row r="631" spans="1:25" x14ac:dyDescent="0.2">
      <c r="A631" s="41"/>
      <c r="B631" s="5"/>
      <c r="C631" s="4"/>
      <c r="D631" s="4"/>
      <c r="E631" s="4"/>
      <c r="F631" s="4"/>
      <c r="G631" s="4"/>
      <c r="H631" s="4"/>
      <c r="I631" s="4"/>
      <c r="J631" s="4"/>
      <c r="K631" s="4"/>
      <c r="L631" s="4"/>
      <c r="M631" s="4"/>
      <c r="N631" s="4"/>
      <c r="O631" s="4"/>
      <c r="P631" s="4"/>
      <c r="Q631" s="4"/>
      <c r="R631" s="4"/>
      <c r="S631" s="4"/>
      <c r="T631" s="4"/>
      <c r="U631" s="4"/>
      <c r="V631" s="4"/>
      <c r="W631" s="4"/>
      <c r="X631" s="4"/>
      <c r="Y631" s="4"/>
    </row>
    <row r="632" spans="1:25" x14ac:dyDescent="0.2">
      <c r="A632" s="41"/>
      <c r="B632" s="5"/>
      <c r="C632" s="4"/>
      <c r="D632" s="4"/>
      <c r="E632" s="4"/>
      <c r="F632" s="4"/>
      <c r="G632" s="4"/>
      <c r="H632" s="4"/>
      <c r="I632" s="4"/>
      <c r="J632" s="4"/>
      <c r="K632" s="4"/>
      <c r="L632" s="4"/>
      <c r="M632" s="4"/>
      <c r="N632" s="4"/>
      <c r="O632" s="4"/>
      <c r="P632" s="4"/>
      <c r="Q632" s="4"/>
      <c r="R632" s="4"/>
      <c r="S632" s="4"/>
      <c r="T632" s="4"/>
      <c r="U632" s="4"/>
      <c r="V632" s="4"/>
      <c r="W632" s="4"/>
      <c r="X632" s="4"/>
      <c r="Y632" s="4"/>
    </row>
    <row r="633" spans="1:25" x14ac:dyDescent="0.2">
      <c r="A633" s="41"/>
      <c r="B633" s="5"/>
      <c r="C633" s="4"/>
      <c r="D633" s="4"/>
      <c r="E633" s="4"/>
      <c r="F633" s="4"/>
      <c r="G633" s="4"/>
      <c r="H633" s="4"/>
      <c r="I633" s="4"/>
      <c r="J633" s="4"/>
      <c r="K633" s="4"/>
      <c r="L633" s="4"/>
      <c r="M633" s="4"/>
      <c r="N633" s="4"/>
      <c r="O633" s="4"/>
      <c r="P633" s="4"/>
      <c r="Q633" s="4"/>
      <c r="R633" s="4"/>
      <c r="S633" s="4"/>
      <c r="T633" s="4"/>
      <c r="U633" s="4"/>
      <c r="V633" s="4"/>
      <c r="W633" s="4"/>
      <c r="X633" s="4"/>
      <c r="Y633" s="4"/>
    </row>
    <row r="634" spans="1:25" x14ac:dyDescent="0.2">
      <c r="A634" s="41"/>
      <c r="B634" s="5"/>
      <c r="C634" s="4"/>
      <c r="D634" s="4"/>
      <c r="E634" s="4"/>
      <c r="F634" s="4"/>
      <c r="G634" s="4"/>
      <c r="H634" s="4"/>
      <c r="I634" s="4"/>
      <c r="J634" s="4"/>
      <c r="K634" s="4"/>
      <c r="L634" s="4"/>
      <c r="M634" s="4"/>
      <c r="N634" s="4"/>
      <c r="O634" s="4"/>
      <c r="P634" s="4"/>
      <c r="Q634" s="4"/>
      <c r="R634" s="4"/>
      <c r="S634" s="4"/>
      <c r="T634" s="4"/>
      <c r="U634" s="4"/>
      <c r="V634" s="4"/>
      <c r="W634" s="4"/>
      <c r="X634" s="4"/>
      <c r="Y634" s="4"/>
    </row>
    <row r="635" spans="1:25" x14ac:dyDescent="0.2">
      <c r="A635" s="41"/>
      <c r="B635" s="5"/>
      <c r="C635" s="4"/>
      <c r="D635" s="4"/>
      <c r="E635" s="4"/>
      <c r="F635" s="4"/>
      <c r="G635" s="4"/>
      <c r="H635" s="4"/>
      <c r="I635" s="4"/>
      <c r="J635" s="4"/>
      <c r="K635" s="4"/>
      <c r="L635" s="4"/>
      <c r="M635" s="4"/>
      <c r="N635" s="4"/>
      <c r="O635" s="4"/>
      <c r="P635" s="4"/>
      <c r="Q635" s="4"/>
      <c r="R635" s="4"/>
      <c r="S635" s="4"/>
      <c r="T635" s="4"/>
      <c r="U635" s="4"/>
      <c r="V635" s="4"/>
      <c r="W635" s="4"/>
      <c r="X635" s="4"/>
      <c r="Y635" s="4"/>
    </row>
    <row r="636" spans="1:25" x14ac:dyDescent="0.2">
      <c r="A636" s="41"/>
      <c r="B636" s="5"/>
      <c r="C636" s="4"/>
      <c r="D636" s="4"/>
      <c r="E636" s="4"/>
      <c r="F636" s="4"/>
      <c r="G636" s="4"/>
      <c r="H636" s="4"/>
      <c r="I636" s="4"/>
      <c r="J636" s="4"/>
      <c r="K636" s="4"/>
      <c r="L636" s="4"/>
      <c r="M636" s="4"/>
      <c r="N636" s="4"/>
      <c r="O636" s="4"/>
      <c r="P636" s="4"/>
      <c r="Q636" s="4"/>
      <c r="R636" s="4"/>
      <c r="S636" s="4"/>
      <c r="T636" s="4"/>
      <c r="U636" s="4"/>
      <c r="V636" s="4"/>
      <c r="W636" s="4"/>
      <c r="X636" s="4"/>
      <c r="Y636" s="4"/>
    </row>
    <row r="637" spans="1:25" x14ac:dyDescent="0.2">
      <c r="A637" s="41"/>
      <c r="B637" s="5"/>
      <c r="C637" s="4"/>
      <c r="D637" s="4"/>
      <c r="E637" s="4"/>
      <c r="F637" s="4"/>
      <c r="G637" s="4"/>
      <c r="H637" s="4"/>
      <c r="I637" s="4"/>
      <c r="J637" s="4"/>
      <c r="K637" s="4"/>
      <c r="L637" s="4"/>
      <c r="M637" s="4"/>
      <c r="N637" s="4"/>
      <c r="O637" s="4"/>
      <c r="P637" s="4"/>
      <c r="Q637" s="4"/>
      <c r="R637" s="4"/>
      <c r="S637" s="4"/>
      <c r="T637" s="4"/>
      <c r="U637" s="4"/>
      <c r="V637" s="4"/>
      <c r="W637" s="4"/>
      <c r="X637" s="4"/>
      <c r="Y637" s="4"/>
    </row>
    <row r="638" spans="1:25" x14ac:dyDescent="0.2">
      <c r="A638" s="41"/>
      <c r="B638" s="5"/>
      <c r="C638" s="4"/>
      <c r="D638" s="4"/>
      <c r="E638" s="4"/>
      <c r="F638" s="4"/>
      <c r="G638" s="4"/>
      <c r="H638" s="4"/>
      <c r="I638" s="4"/>
      <c r="J638" s="4"/>
      <c r="K638" s="4"/>
      <c r="L638" s="4"/>
      <c r="M638" s="4"/>
      <c r="N638" s="4"/>
      <c r="O638" s="4"/>
      <c r="P638" s="4"/>
      <c r="Q638" s="4"/>
      <c r="R638" s="4"/>
      <c r="S638" s="4"/>
      <c r="T638" s="4"/>
      <c r="U638" s="4"/>
      <c r="V638" s="4"/>
      <c r="W638" s="4"/>
      <c r="X638" s="4"/>
      <c r="Y638" s="4"/>
    </row>
    <row r="639" spans="1:25" x14ac:dyDescent="0.2">
      <c r="A639" s="41"/>
      <c r="B639" s="5"/>
      <c r="C639" s="4"/>
      <c r="D639" s="4"/>
      <c r="E639" s="4"/>
      <c r="F639" s="4"/>
      <c r="G639" s="4"/>
      <c r="H639" s="4"/>
      <c r="I639" s="4"/>
      <c r="J639" s="4"/>
      <c r="K639" s="4"/>
      <c r="L639" s="4"/>
      <c r="M639" s="4"/>
      <c r="N639" s="4"/>
      <c r="O639" s="4"/>
      <c r="P639" s="4"/>
      <c r="Q639" s="4"/>
      <c r="R639" s="4"/>
      <c r="S639" s="4"/>
      <c r="T639" s="4"/>
      <c r="U639" s="4"/>
      <c r="V639" s="4"/>
      <c r="W639" s="4"/>
      <c r="X639" s="4"/>
      <c r="Y639" s="4"/>
    </row>
    <row r="640" spans="1:25" x14ac:dyDescent="0.2">
      <c r="A640" s="41"/>
      <c r="B640" s="5"/>
      <c r="C640" s="4"/>
      <c r="D640" s="4"/>
      <c r="E640" s="4"/>
      <c r="F640" s="4"/>
      <c r="G640" s="4"/>
      <c r="H640" s="4"/>
      <c r="I640" s="4"/>
      <c r="J640" s="4"/>
      <c r="K640" s="4"/>
      <c r="L640" s="4"/>
      <c r="M640" s="4"/>
      <c r="N640" s="4"/>
      <c r="O640" s="4"/>
      <c r="P640" s="4"/>
      <c r="Q640" s="4"/>
      <c r="R640" s="4"/>
      <c r="S640" s="4"/>
      <c r="T640" s="4"/>
      <c r="U640" s="4"/>
      <c r="V640" s="4"/>
      <c r="W640" s="4"/>
      <c r="X640" s="4"/>
      <c r="Y640" s="4"/>
    </row>
    <row r="641" spans="1:25" x14ac:dyDescent="0.2">
      <c r="A641" s="41"/>
      <c r="B641" s="5"/>
      <c r="C641" s="4"/>
      <c r="D641" s="4"/>
      <c r="E641" s="4"/>
      <c r="F641" s="4"/>
      <c r="G641" s="4"/>
      <c r="H641" s="4"/>
      <c r="I641" s="4"/>
      <c r="J641" s="4"/>
      <c r="K641" s="4"/>
      <c r="L641" s="4"/>
      <c r="M641" s="4"/>
      <c r="N641" s="4"/>
      <c r="O641" s="4"/>
      <c r="P641" s="4"/>
      <c r="Q641" s="4"/>
      <c r="R641" s="4"/>
      <c r="S641" s="4"/>
      <c r="T641" s="4"/>
      <c r="U641" s="4"/>
      <c r="V641" s="4"/>
      <c r="W641" s="4"/>
      <c r="X641" s="4"/>
      <c r="Y641" s="4"/>
    </row>
    <row r="642" spans="1:25" x14ac:dyDescent="0.2">
      <c r="A642" s="41"/>
      <c r="B642" s="5"/>
      <c r="C642" s="4"/>
      <c r="D642" s="4"/>
      <c r="E642" s="4"/>
      <c r="F642" s="4"/>
      <c r="G642" s="4"/>
      <c r="H642" s="4"/>
      <c r="I642" s="4"/>
      <c r="J642" s="4"/>
      <c r="K642" s="4"/>
      <c r="L642" s="4"/>
      <c r="M642" s="4"/>
      <c r="N642" s="4"/>
      <c r="O642" s="4"/>
      <c r="P642" s="4"/>
      <c r="Q642" s="4"/>
      <c r="R642" s="4"/>
      <c r="S642" s="4"/>
      <c r="T642" s="4"/>
      <c r="U642" s="4"/>
      <c r="V642" s="4"/>
      <c r="W642" s="4"/>
      <c r="X642" s="4"/>
      <c r="Y642" s="4"/>
    </row>
    <row r="643" spans="1:25" x14ac:dyDescent="0.2">
      <c r="A643" s="41"/>
      <c r="B643" s="5"/>
      <c r="C643" s="4"/>
      <c r="D643" s="4"/>
      <c r="E643" s="4"/>
      <c r="F643" s="4"/>
      <c r="G643" s="4"/>
      <c r="H643" s="4"/>
      <c r="I643" s="4"/>
      <c r="J643" s="4"/>
      <c r="K643" s="4"/>
      <c r="L643" s="4"/>
      <c r="M643" s="4"/>
      <c r="N643" s="4"/>
      <c r="O643" s="4"/>
      <c r="P643" s="4"/>
      <c r="Q643" s="4"/>
      <c r="R643" s="4"/>
      <c r="S643" s="4"/>
      <c r="T643" s="4"/>
      <c r="U643" s="4"/>
      <c r="V643" s="4"/>
      <c r="W643" s="4"/>
      <c r="X643" s="4"/>
      <c r="Y643" s="4"/>
    </row>
    <row r="644" spans="1:25" x14ac:dyDescent="0.2">
      <c r="A644" s="41"/>
      <c r="B644" s="5"/>
      <c r="C644" s="4"/>
      <c r="D644" s="4"/>
      <c r="E644" s="4"/>
      <c r="F644" s="4"/>
      <c r="G644" s="4"/>
      <c r="H644" s="4"/>
      <c r="I644" s="4"/>
      <c r="J644" s="4"/>
      <c r="K644" s="4"/>
      <c r="L644" s="4"/>
      <c r="M644" s="4"/>
      <c r="N644" s="4"/>
      <c r="O644" s="4"/>
      <c r="P644" s="4"/>
      <c r="Q644" s="4"/>
      <c r="R644" s="4"/>
      <c r="S644" s="4"/>
      <c r="T644" s="4"/>
      <c r="U644" s="4"/>
      <c r="V644" s="4"/>
      <c r="W644" s="4"/>
      <c r="X644" s="4"/>
      <c r="Y644" s="4"/>
    </row>
    <row r="645" spans="1:25" x14ac:dyDescent="0.2">
      <c r="A645" s="41"/>
      <c r="B645" s="5"/>
      <c r="C645" s="4"/>
      <c r="D645" s="4"/>
      <c r="E645" s="4"/>
      <c r="F645" s="4"/>
      <c r="G645" s="4"/>
      <c r="H645" s="4"/>
      <c r="I645" s="4"/>
      <c r="J645" s="4"/>
      <c r="K645" s="4"/>
      <c r="L645" s="4"/>
      <c r="M645" s="4"/>
      <c r="N645" s="4"/>
      <c r="O645" s="4"/>
      <c r="P645" s="4"/>
      <c r="Q645" s="4"/>
      <c r="R645" s="4"/>
      <c r="S645" s="4"/>
      <c r="T645" s="4"/>
      <c r="U645" s="4"/>
      <c r="V645" s="4"/>
      <c r="W645" s="4"/>
      <c r="X645" s="4"/>
      <c r="Y645" s="4"/>
    </row>
    <row r="646" spans="1:25" x14ac:dyDescent="0.2">
      <c r="A646" s="41"/>
      <c r="B646" s="5"/>
      <c r="C646" s="4"/>
      <c r="D646" s="4"/>
      <c r="E646" s="4"/>
      <c r="F646" s="4"/>
      <c r="G646" s="4"/>
      <c r="H646" s="4"/>
      <c r="I646" s="4"/>
      <c r="J646" s="4"/>
      <c r="K646" s="4"/>
      <c r="L646" s="4"/>
      <c r="M646" s="4"/>
      <c r="N646" s="4"/>
      <c r="O646" s="4"/>
      <c r="P646" s="4"/>
      <c r="Q646" s="4"/>
      <c r="R646" s="4"/>
      <c r="S646" s="4"/>
      <c r="T646" s="4"/>
      <c r="U646" s="4"/>
      <c r="V646" s="4"/>
      <c r="W646" s="4"/>
      <c r="X646" s="4"/>
      <c r="Y646" s="4"/>
    </row>
    <row r="647" spans="1:25" x14ac:dyDescent="0.2">
      <c r="A647" s="41"/>
      <c r="B647" s="5"/>
      <c r="C647" s="4"/>
      <c r="D647" s="4"/>
      <c r="E647" s="4"/>
      <c r="F647" s="4"/>
      <c r="G647" s="4"/>
      <c r="H647" s="4"/>
      <c r="I647" s="4"/>
      <c r="J647" s="4"/>
      <c r="K647" s="4"/>
      <c r="L647" s="4"/>
      <c r="M647" s="4"/>
      <c r="N647" s="4"/>
      <c r="O647" s="4"/>
      <c r="P647" s="4"/>
      <c r="Q647" s="4"/>
      <c r="R647" s="4"/>
      <c r="S647" s="4"/>
      <c r="T647" s="4"/>
      <c r="U647" s="4"/>
      <c r="V647" s="4"/>
      <c r="W647" s="4"/>
      <c r="X647" s="4"/>
      <c r="Y647" s="4"/>
    </row>
    <row r="648" spans="1:25" x14ac:dyDescent="0.2">
      <c r="A648" s="41"/>
      <c r="B648" s="5"/>
      <c r="C648" s="4"/>
      <c r="D648" s="4"/>
      <c r="E648" s="4"/>
      <c r="F648" s="4"/>
      <c r="G648" s="4"/>
      <c r="H648" s="4"/>
      <c r="I648" s="4"/>
      <c r="J648" s="4"/>
      <c r="K648" s="4"/>
      <c r="L648" s="4"/>
      <c r="M648" s="4"/>
      <c r="N648" s="4"/>
      <c r="O648" s="4"/>
      <c r="P648" s="4"/>
      <c r="Q648" s="4"/>
      <c r="R648" s="4"/>
      <c r="S648" s="4"/>
      <c r="T648" s="4"/>
      <c r="U648" s="4"/>
      <c r="V648" s="4"/>
      <c r="W648" s="4"/>
      <c r="X648" s="4"/>
      <c r="Y648" s="4"/>
    </row>
    <row r="649" spans="1:25" x14ac:dyDescent="0.2">
      <c r="A649" s="41"/>
      <c r="B649" s="5"/>
      <c r="C649" s="4"/>
      <c r="D649" s="4"/>
      <c r="E649" s="4"/>
      <c r="F649" s="4"/>
      <c r="G649" s="4"/>
      <c r="H649" s="4"/>
      <c r="I649" s="4"/>
      <c r="J649" s="4"/>
      <c r="K649" s="4"/>
      <c r="L649" s="4"/>
      <c r="M649" s="4"/>
      <c r="N649" s="4"/>
      <c r="O649" s="4"/>
      <c r="P649" s="4"/>
      <c r="Q649" s="4"/>
      <c r="R649" s="4"/>
      <c r="S649" s="4"/>
      <c r="T649" s="4"/>
      <c r="U649" s="4"/>
      <c r="V649" s="4"/>
      <c r="W649" s="4"/>
      <c r="X649" s="4"/>
      <c r="Y649" s="4"/>
    </row>
    <row r="650" spans="1:25" x14ac:dyDescent="0.2">
      <c r="A650" s="41"/>
      <c r="B650" s="5"/>
      <c r="C650" s="4"/>
      <c r="D650" s="4"/>
      <c r="E650" s="4"/>
      <c r="F650" s="4"/>
      <c r="G650" s="4"/>
      <c r="H650" s="4"/>
      <c r="I650" s="4"/>
      <c r="J650" s="4"/>
      <c r="K650" s="4"/>
      <c r="L650" s="4"/>
      <c r="M650" s="4"/>
      <c r="N650" s="4"/>
      <c r="O650" s="4"/>
      <c r="P650" s="4"/>
      <c r="Q650" s="4"/>
      <c r="R650" s="4"/>
      <c r="S650" s="4"/>
      <c r="T650" s="4"/>
      <c r="U650" s="4"/>
      <c r="V650" s="4"/>
      <c r="W650" s="4"/>
      <c r="X650" s="4"/>
      <c r="Y650" s="4"/>
    </row>
    <row r="651" spans="1:25" x14ac:dyDescent="0.2">
      <c r="A651" s="41"/>
      <c r="B651" s="5"/>
      <c r="C651" s="4"/>
      <c r="D651" s="4"/>
      <c r="E651" s="4"/>
      <c r="F651" s="4"/>
      <c r="G651" s="4"/>
      <c r="H651" s="4"/>
      <c r="I651" s="4"/>
      <c r="J651" s="4"/>
      <c r="K651" s="4"/>
      <c r="L651" s="4"/>
      <c r="M651" s="4"/>
      <c r="N651" s="4"/>
      <c r="O651" s="4"/>
      <c r="P651" s="4"/>
      <c r="Q651" s="4"/>
      <c r="R651" s="4"/>
      <c r="S651" s="4"/>
      <c r="T651" s="4"/>
      <c r="U651" s="4"/>
      <c r="V651" s="4"/>
      <c r="W651" s="4"/>
      <c r="X651" s="4"/>
      <c r="Y651" s="4"/>
    </row>
    <row r="652" spans="1:25" x14ac:dyDescent="0.2">
      <c r="A652" s="41"/>
      <c r="B652" s="5"/>
      <c r="C652" s="4"/>
      <c r="D652" s="4"/>
      <c r="E652" s="4"/>
      <c r="F652" s="4"/>
      <c r="G652" s="4"/>
      <c r="H652" s="4"/>
      <c r="I652" s="4"/>
      <c r="J652" s="4"/>
      <c r="K652" s="4"/>
      <c r="L652" s="4"/>
      <c r="M652" s="4"/>
      <c r="N652" s="4"/>
      <c r="O652" s="4"/>
      <c r="P652" s="4"/>
      <c r="Q652" s="4"/>
      <c r="R652" s="4"/>
      <c r="S652" s="4"/>
      <c r="T652" s="4"/>
      <c r="U652" s="4"/>
      <c r="V652" s="4"/>
      <c r="W652" s="4"/>
      <c r="X652" s="4"/>
      <c r="Y652" s="4"/>
    </row>
    <row r="653" spans="1:25" x14ac:dyDescent="0.2">
      <c r="A653" s="41"/>
      <c r="B653" s="5"/>
      <c r="C653" s="4"/>
      <c r="D653" s="4"/>
      <c r="E653" s="4"/>
      <c r="F653" s="4"/>
      <c r="G653" s="4"/>
      <c r="H653" s="4"/>
      <c r="I653" s="4"/>
      <c r="J653" s="4"/>
      <c r="K653" s="4"/>
      <c r="L653" s="4"/>
      <c r="M653" s="4"/>
      <c r="N653" s="4"/>
      <c r="O653" s="4"/>
      <c r="P653" s="4"/>
      <c r="Q653" s="4"/>
      <c r="R653" s="4"/>
      <c r="S653" s="4"/>
      <c r="T653" s="4"/>
      <c r="U653" s="4"/>
      <c r="V653" s="4"/>
      <c r="W653" s="4"/>
      <c r="X653" s="4"/>
      <c r="Y653" s="4"/>
    </row>
    <row r="654" spans="1:25" x14ac:dyDescent="0.2">
      <c r="A654" s="41"/>
      <c r="B654" s="5"/>
      <c r="C654" s="4"/>
      <c r="D654" s="4"/>
      <c r="E654" s="4"/>
      <c r="F654" s="4"/>
      <c r="G654" s="4"/>
      <c r="H654" s="4"/>
      <c r="I654" s="4"/>
      <c r="J654" s="4"/>
      <c r="K654" s="4"/>
      <c r="L654" s="4"/>
      <c r="M654" s="4"/>
      <c r="N654" s="4"/>
      <c r="O654" s="4"/>
      <c r="P654" s="4"/>
      <c r="Q654" s="4"/>
      <c r="R654" s="4"/>
      <c r="S654" s="4"/>
      <c r="T654" s="4"/>
      <c r="U654" s="4"/>
      <c r="V654" s="4"/>
      <c r="W654" s="4"/>
      <c r="X654" s="4"/>
      <c r="Y654" s="4"/>
    </row>
    <row r="655" spans="1:25" x14ac:dyDescent="0.2">
      <c r="A655" s="41"/>
      <c r="B655" s="5"/>
      <c r="C655" s="4"/>
      <c r="D655" s="4"/>
      <c r="E655" s="4"/>
      <c r="F655" s="4"/>
      <c r="G655" s="4"/>
      <c r="H655" s="4"/>
      <c r="I655" s="4"/>
      <c r="J655" s="4"/>
      <c r="K655" s="4"/>
      <c r="L655" s="4"/>
      <c r="M655" s="4"/>
      <c r="N655" s="4"/>
      <c r="O655" s="4"/>
      <c r="P655" s="4"/>
      <c r="Q655" s="4"/>
      <c r="R655" s="4"/>
      <c r="S655" s="4"/>
      <c r="T655" s="4"/>
      <c r="U655" s="4"/>
      <c r="V655" s="4"/>
      <c r="W655" s="4"/>
      <c r="X655" s="4"/>
      <c r="Y655" s="4"/>
    </row>
    <row r="656" spans="1:25" x14ac:dyDescent="0.2">
      <c r="A656" s="41"/>
      <c r="B656" s="5"/>
      <c r="C656" s="4"/>
      <c r="D656" s="4"/>
      <c r="E656" s="4"/>
      <c r="F656" s="4"/>
      <c r="G656" s="4"/>
      <c r="H656" s="4"/>
      <c r="I656" s="4"/>
      <c r="J656" s="4"/>
      <c r="K656" s="4"/>
      <c r="L656" s="4"/>
      <c r="M656" s="4"/>
      <c r="N656" s="4"/>
      <c r="O656" s="4"/>
      <c r="P656" s="4"/>
      <c r="Q656" s="4"/>
      <c r="R656" s="4"/>
      <c r="S656" s="4"/>
      <c r="T656" s="4"/>
      <c r="U656" s="4"/>
      <c r="V656" s="4"/>
      <c r="W656" s="4"/>
      <c r="X656" s="4"/>
      <c r="Y656" s="4"/>
    </row>
    <row r="657" spans="1:25" x14ac:dyDescent="0.2">
      <c r="A657" s="41"/>
      <c r="B657" s="5"/>
      <c r="C657" s="4"/>
      <c r="D657" s="4"/>
      <c r="E657" s="4"/>
      <c r="F657" s="4"/>
      <c r="G657" s="4"/>
      <c r="H657" s="4"/>
      <c r="I657" s="4"/>
      <c r="J657" s="4"/>
      <c r="K657" s="4"/>
      <c r="L657" s="4"/>
      <c r="M657" s="4"/>
      <c r="N657" s="4"/>
      <c r="O657" s="4"/>
      <c r="P657" s="4"/>
      <c r="Q657" s="4"/>
      <c r="R657" s="4"/>
      <c r="S657" s="4"/>
      <c r="T657" s="4"/>
      <c r="U657" s="4"/>
      <c r="V657" s="4"/>
      <c r="W657" s="4"/>
      <c r="X657" s="4"/>
      <c r="Y657" s="4"/>
    </row>
    <row r="658" spans="1:25" x14ac:dyDescent="0.2">
      <c r="A658" s="41"/>
      <c r="B658" s="5"/>
      <c r="C658" s="4"/>
      <c r="D658" s="4"/>
      <c r="E658" s="4"/>
      <c r="F658" s="4"/>
      <c r="G658" s="4"/>
      <c r="H658" s="4"/>
      <c r="I658" s="4"/>
      <c r="J658" s="4"/>
      <c r="K658" s="4"/>
      <c r="L658" s="4"/>
      <c r="M658" s="4"/>
      <c r="N658" s="4"/>
      <c r="O658" s="4"/>
      <c r="P658" s="4"/>
      <c r="Q658" s="4"/>
      <c r="R658" s="4"/>
      <c r="S658" s="4"/>
      <c r="T658" s="4"/>
      <c r="U658" s="4"/>
      <c r="V658" s="4"/>
      <c r="W658" s="4"/>
      <c r="X658" s="4"/>
      <c r="Y658" s="4"/>
    </row>
    <row r="659" spans="1:25" x14ac:dyDescent="0.2">
      <c r="A659" s="41"/>
      <c r="B659" s="5"/>
      <c r="C659" s="4"/>
      <c r="D659" s="4"/>
      <c r="E659" s="4"/>
      <c r="F659" s="4"/>
      <c r="G659" s="4"/>
      <c r="H659" s="4"/>
      <c r="I659" s="4"/>
      <c r="J659" s="4"/>
      <c r="K659" s="4"/>
      <c r="L659" s="4"/>
      <c r="M659" s="4"/>
      <c r="N659" s="4"/>
      <c r="O659" s="4"/>
      <c r="P659" s="4"/>
      <c r="Q659" s="4"/>
      <c r="R659" s="4"/>
      <c r="S659" s="4"/>
      <c r="T659" s="4"/>
      <c r="U659" s="4"/>
      <c r="V659" s="4"/>
      <c r="W659" s="4"/>
      <c r="X659" s="4"/>
      <c r="Y659" s="4"/>
    </row>
    <row r="660" spans="1:25" x14ac:dyDescent="0.2">
      <c r="A660" s="41"/>
      <c r="B660" s="5"/>
      <c r="C660" s="4"/>
      <c r="D660" s="4"/>
      <c r="E660" s="4"/>
      <c r="F660" s="4"/>
      <c r="G660" s="4"/>
      <c r="H660" s="4"/>
      <c r="I660" s="4"/>
      <c r="J660" s="4"/>
      <c r="K660" s="4"/>
      <c r="L660" s="4"/>
      <c r="M660" s="4"/>
      <c r="N660" s="4"/>
      <c r="O660" s="4"/>
      <c r="P660" s="4"/>
      <c r="Q660" s="4"/>
      <c r="R660" s="4"/>
      <c r="S660" s="4"/>
      <c r="T660" s="4"/>
      <c r="U660" s="4"/>
      <c r="V660" s="4"/>
      <c r="W660" s="4"/>
      <c r="X660" s="4"/>
      <c r="Y660" s="4"/>
    </row>
    <row r="661" spans="1:25" x14ac:dyDescent="0.2">
      <c r="A661" s="41"/>
      <c r="B661" s="5"/>
      <c r="C661" s="4"/>
      <c r="D661" s="4"/>
      <c r="E661" s="4"/>
      <c r="F661" s="4"/>
      <c r="G661" s="4"/>
      <c r="H661" s="4"/>
      <c r="I661" s="4"/>
      <c r="J661" s="4"/>
      <c r="K661" s="4"/>
      <c r="L661" s="4"/>
      <c r="M661" s="4"/>
      <c r="N661" s="4"/>
      <c r="O661" s="4"/>
      <c r="P661" s="4"/>
      <c r="Q661" s="4"/>
      <c r="R661" s="4"/>
      <c r="S661" s="4"/>
      <c r="T661" s="4"/>
      <c r="U661" s="4"/>
      <c r="V661" s="4"/>
      <c r="W661" s="4"/>
      <c r="X661" s="4"/>
      <c r="Y661" s="4"/>
    </row>
    <row r="662" spans="1:25" x14ac:dyDescent="0.2">
      <c r="A662" s="41"/>
      <c r="B662" s="5"/>
      <c r="C662" s="4"/>
      <c r="D662" s="4"/>
      <c r="E662" s="4"/>
      <c r="F662" s="4"/>
      <c r="G662" s="4"/>
      <c r="H662" s="4"/>
      <c r="I662" s="4"/>
      <c r="J662" s="4"/>
      <c r="K662" s="4"/>
      <c r="L662" s="4"/>
      <c r="M662" s="4"/>
      <c r="N662" s="4"/>
      <c r="O662" s="4"/>
      <c r="P662" s="4"/>
      <c r="Q662" s="4"/>
      <c r="R662" s="4"/>
      <c r="S662" s="4"/>
      <c r="T662" s="4"/>
      <c r="U662" s="4"/>
      <c r="V662" s="4"/>
      <c r="W662" s="4"/>
      <c r="X662" s="4"/>
      <c r="Y662" s="4"/>
    </row>
    <row r="663" spans="1:25" x14ac:dyDescent="0.2">
      <c r="A663" s="41"/>
      <c r="B663" s="5"/>
      <c r="C663" s="4"/>
      <c r="D663" s="4"/>
      <c r="E663" s="4"/>
      <c r="F663" s="4"/>
      <c r="G663" s="4"/>
      <c r="H663" s="4"/>
      <c r="I663" s="4"/>
      <c r="J663" s="4"/>
      <c r="K663" s="4"/>
      <c r="L663" s="4"/>
      <c r="M663" s="4"/>
      <c r="N663" s="4"/>
      <c r="O663" s="4"/>
      <c r="P663" s="4"/>
      <c r="Q663" s="4"/>
      <c r="R663" s="4"/>
      <c r="S663" s="4"/>
      <c r="T663" s="4"/>
      <c r="U663" s="4"/>
      <c r="V663" s="4"/>
      <c r="W663" s="4"/>
      <c r="X663" s="4"/>
      <c r="Y663" s="4"/>
    </row>
    <row r="664" spans="1:25" x14ac:dyDescent="0.2">
      <c r="A664" s="41"/>
      <c r="B664" s="5"/>
      <c r="C664" s="4"/>
      <c r="D664" s="4"/>
      <c r="E664" s="4"/>
      <c r="F664" s="4"/>
      <c r="G664" s="4"/>
      <c r="H664" s="4"/>
      <c r="I664" s="4"/>
      <c r="J664" s="4"/>
      <c r="K664" s="4"/>
      <c r="L664" s="4"/>
      <c r="M664" s="4"/>
      <c r="N664" s="4"/>
      <c r="O664" s="4"/>
      <c r="P664" s="4"/>
      <c r="Q664" s="4"/>
      <c r="R664" s="4"/>
      <c r="S664" s="4"/>
      <c r="T664" s="4"/>
      <c r="U664" s="4"/>
      <c r="V664" s="4"/>
      <c r="W664" s="4"/>
      <c r="X664" s="4"/>
      <c r="Y664" s="4"/>
    </row>
    <row r="665" spans="1:25" x14ac:dyDescent="0.2">
      <c r="A665" s="41"/>
      <c r="B665" s="5"/>
      <c r="C665" s="4"/>
      <c r="D665" s="4"/>
      <c r="E665" s="4"/>
      <c r="F665" s="4"/>
      <c r="G665" s="4"/>
      <c r="H665" s="4"/>
      <c r="I665" s="4"/>
      <c r="J665" s="4"/>
      <c r="K665" s="4"/>
      <c r="L665" s="4"/>
      <c r="M665" s="4"/>
      <c r="N665" s="4"/>
      <c r="O665" s="4"/>
      <c r="P665" s="4"/>
      <c r="Q665" s="4"/>
      <c r="R665" s="4"/>
      <c r="S665" s="4"/>
      <c r="T665" s="4"/>
      <c r="U665" s="4"/>
      <c r="V665" s="4"/>
      <c r="W665" s="4"/>
      <c r="X665" s="4"/>
      <c r="Y665" s="4"/>
    </row>
    <row r="666" spans="1:25" x14ac:dyDescent="0.2">
      <c r="A666" s="41"/>
      <c r="B666" s="5"/>
      <c r="C666" s="4"/>
      <c r="D666" s="4"/>
      <c r="E666" s="4"/>
      <c r="F666" s="4"/>
      <c r="G666" s="4"/>
      <c r="H666" s="4"/>
      <c r="I666" s="4"/>
      <c r="J666" s="4"/>
      <c r="K666" s="4"/>
      <c r="L666" s="4"/>
      <c r="M666" s="4"/>
      <c r="N666" s="4"/>
      <c r="O666" s="4"/>
      <c r="P666" s="4"/>
      <c r="Q666" s="4"/>
      <c r="R666" s="4"/>
      <c r="S666" s="4"/>
      <c r="T666" s="4"/>
      <c r="U666" s="4"/>
      <c r="V666" s="4"/>
      <c r="W666" s="4"/>
      <c r="X666" s="4"/>
      <c r="Y666" s="4"/>
    </row>
    <row r="667" spans="1:25" x14ac:dyDescent="0.2">
      <c r="A667" s="41"/>
      <c r="B667" s="5"/>
      <c r="C667" s="4"/>
      <c r="D667" s="4"/>
      <c r="E667" s="4"/>
      <c r="F667" s="4"/>
      <c r="G667" s="4"/>
      <c r="H667" s="4"/>
      <c r="I667" s="4"/>
      <c r="J667" s="4"/>
      <c r="K667" s="4"/>
      <c r="L667" s="4"/>
      <c r="M667" s="4"/>
      <c r="N667" s="4"/>
      <c r="O667" s="4"/>
      <c r="P667" s="4"/>
      <c r="Q667" s="4"/>
      <c r="R667" s="4"/>
      <c r="S667" s="4"/>
      <c r="T667" s="4"/>
      <c r="U667" s="4"/>
      <c r="V667" s="4"/>
      <c r="W667" s="4"/>
      <c r="X667" s="4"/>
      <c r="Y667" s="4"/>
    </row>
    <row r="668" spans="1:25" x14ac:dyDescent="0.2">
      <c r="A668" s="41"/>
      <c r="B668" s="5"/>
      <c r="C668" s="4"/>
      <c r="D668" s="4"/>
      <c r="E668" s="4"/>
      <c r="F668" s="4"/>
      <c r="G668" s="4"/>
      <c r="H668" s="4"/>
      <c r="I668" s="4"/>
      <c r="J668" s="4"/>
      <c r="K668" s="4"/>
      <c r="L668" s="4"/>
      <c r="M668" s="4"/>
      <c r="N668" s="4"/>
      <c r="O668" s="4"/>
      <c r="P668" s="4"/>
      <c r="Q668" s="4"/>
      <c r="R668" s="4"/>
      <c r="S668" s="4"/>
      <c r="T668" s="4"/>
      <c r="U668" s="4"/>
      <c r="V668" s="4"/>
      <c r="W668" s="4"/>
      <c r="X668" s="4"/>
      <c r="Y668" s="4"/>
    </row>
    <row r="669" spans="1:25" x14ac:dyDescent="0.2">
      <c r="A669" s="41"/>
      <c r="B669" s="5"/>
      <c r="C669" s="4"/>
      <c r="D669" s="4"/>
      <c r="E669" s="4"/>
      <c r="F669" s="4"/>
      <c r="G669" s="4"/>
      <c r="H669" s="4"/>
      <c r="I669" s="4"/>
      <c r="J669" s="4"/>
      <c r="K669" s="4"/>
      <c r="L669" s="4"/>
      <c r="M669" s="4"/>
      <c r="N669" s="4"/>
      <c r="O669" s="4"/>
      <c r="P669" s="4"/>
      <c r="Q669" s="4"/>
      <c r="R669" s="4"/>
      <c r="S669" s="4"/>
      <c r="T669" s="4"/>
      <c r="U669" s="4"/>
      <c r="V669" s="4"/>
      <c r="W669" s="4"/>
      <c r="X669" s="4"/>
      <c r="Y669" s="4"/>
    </row>
    <row r="670" spans="1:25" x14ac:dyDescent="0.2">
      <c r="A670" s="41"/>
      <c r="B670" s="5"/>
      <c r="C670" s="4"/>
      <c r="D670" s="4"/>
      <c r="E670" s="4"/>
      <c r="F670" s="4"/>
      <c r="G670" s="4"/>
      <c r="H670" s="4"/>
      <c r="I670" s="4"/>
      <c r="J670" s="4"/>
      <c r="K670" s="4"/>
      <c r="L670" s="4"/>
      <c r="M670" s="4"/>
      <c r="N670" s="4"/>
      <c r="O670" s="4"/>
      <c r="P670" s="4"/>
      <c r="Q670" s="4"/>
      <c r="R670" s="4"/>
      <c r="S670" s="4"/>
      <c r="T670" s="4"/>
      <c r="U670" s="4"/>
      <c r="V670" s="4"/>
      <c r="W670" s="4"/>
      <c r="X670" s="4"/>
      <c r="Y670" s="4"/>
    </row>
    <row r="671" spans="1:25" x14ac:dyDescent="0.2">
      <c r="A671" s="41"/>
      <c r="B671" s="5"/>
      <c r="C671" s="4"/>
      <c r="D671" s="4"/>
      <c r="E671" s="4"/>
      <c r="F671" s="4"/>
      <c r="G671" s="4"/>
      <c r="H671" s="4"/>
      <c r="I671" s="4"/>
      <c r="J671" s="4"/>
      <c r="K671" s="4"/>
      <c r="L671" s="4"/>
      <c r="M671" s="4"/>
      <c r="N671" s="4"/>
      <c r="O671" s="4"/>
      <c r="P671" s="4"/>
      <c r="Q671" s="4"/>
      <c r="R671" s="4"/>
      <c r="S671" s="4"/>
      <c r="T671" s="4"/>
      <c r="U671" s="4"/>
      <c r="V671" s="4"/>
      <c r="W671" s="4"/>
      <c r="X671" s="4"/>
      <c r="Y671" s="4"/>
    </row>
    <row r="672" spans="1:25" x14ac:dyDescent="0.2">
      <c r="A672" s="41"/>
      <c r="B672" s="5"/>
      <c r="C672" s="4"/>
      <c r="D672" s="4"/>
      <c r="E672" s="4"/>
      <c r="F672" s="4"/>
      <c r="G672" s="4"/>
      <c r="H672" s="4"/>
      <c r="I672" s="4"/>
      <c r="J672" s="4"/>
      <c r="K672" s="4"/>
      <c r="L672" s="4"/>
      <c r="M672" s="4"/>
      <c r="N672" s="4"/>
      <c r="O672" s="4"/>
      <c r="P672" s="4"/>
      <c r="Q672" s="4"/>
      <c r="R672" s="4"/>
      <c r="S672" s="4"/>
      <c r="T672" s="4"/>
      <c r="U672" s="4"/>
      <c r="V672" s="4"/>
      <c r="W672" s="4"/>
      <c r="X672" s="4"/>
      <c r="Y672" s="4"/>
    </row>
    <row r="673" spans="1:25" x14ac:dyDescent="0.2">
      <c r="A673" s="41"/>
      <c r="B673" s="5"/>
      <c r="C673" s="4"/>
      <c r="D673" s="4"/>
      <c r="E673" s="4"/>
      <c r="F673" s="4"/>
      <c r="G673" s="4"/>
      <c r="H673" s="4"/>
      <c r="I673" s="4"/>
      <c r="J673" s="4"/>
      <c r="K673" s="4"/>
      <c r="L673" s="4"/>
      <c r="M673" s="4"/>
      <c r="N673" s="4"/>
      <c r="O673" s="4"/>
      <c r="P673" s="4"/>
      <c r="Q673" s="4"/>
      <c r="R673" s="4"/>
      <c r="S673" s="4"/>
      <c r="T673" s="4"/>
      <c r="U673" s="4"/>
      <c r="V673" s="4"/>
      <c r="W673" s="4"/>
      <c r="X673" s="4"/>
      <c r="Y673" s="4"/>
    </row>
    <row r="674" spans="1:25" x14ac:dyDescent="0.2">
      <c r="A674" s="41"/>
      <c r="B674" s="5"/>
      <c r="C674" s="4"/>
      <c r="D674" s="4"/>
      <c r="E674" s="4"/>
      <c r="F674" s="4"/>
      <c r="G674" s="4"/>
      <c r="H674" s="4"/>
      <c r="I674" s="4"/>
      <c r="J674" s="4"/>
      <c r="K674" s="4"/>
      <c r="L674" s="4"/>
      <c r="M674" s="4"/>
      <c r="N674" s="4"/>
      <c r="O674" s="4"/>
      <c r="P674" s="4"/>
      <c r="Q674" s="4"/>
      <c r="R674" s="4"/>
      <c r="S674" s="4"/>
      <c r="T674" s="4"/>
      <c r="U674" s="4"/>
      <c r="V674" s="4"/>
      <c r="W674" s="4"/>
      <c r="X674" s="4"/>
      <c r="Y674" s="4"/>
    </row>
    <row r="675" spans="1:25" x14ac:dyDescent="0.2">
      <c r="A675" s="41"/>
      <c r="B675" s="5"/>
      <c r="C675" s="4"/>
      <c r="D675" s="4"/>
      <c r="E675" s="4"/>
      <c r="F675" s="4"/>
      <c r="G675" s="4"/>
      <c r="H675" s="4"/>
      <c r="I675" s="4"/>
      <c r="J675" s="4"/>
      <c r="K675" s="4"/>
      <c r="L675" s="4"/>
      <c r="M675" s="4"/>
      <c r="N675" s="4"/>
      <c r="O675" s="4"/>
      <c r="P675" s="4"/>
      <c r="Q675" s="4"/>
      <c r="R675" s="4"/>
      <c r="S675" s="4"/>
      <c r="T675" s="4"/>
      <c r="U675" s="4"/>
      <c r="V675" s="4"/>
      <c r="W675" s="4"/>
      <c r="X675" s="4"/>
      <c r="Y675" s="4"/>
    </row>
    <row r="676" spans="1:25" x14ac:dyDescent="0.2">
      <c r="A676" s="41"/>
      <c r="B676" s="5"/>
      <c r="C676" s="4"/>
      <c r="D676" s="4"/>
      <c r="E676" s="4"/>
      <c r="F676" s="4"/>
      <c r="G676" s="4"/>
      <c r="H676" s="4"/>
      <c r="I676" s="4"/>
      <c r="J676" s="4"/>
      <c r="K676" s="4"/>
      <c r="L676" s="4"/>
      <c r="M676" s="4"/>
      <c r="N676" s="4"/>
      <c r="O676" s="4"/>
      <c r="P676" s="4"/>
      <c r="Q676" s="4"/>
      <c r="R676" s="4"/>
      <c r="S676" s="4"/>
      <c r="T676" s="4"/>
      <c r="U676" s="4"/>
      <c r="V676" s="4"/>
      <c r="W676" s="4"/>
      <c r="X676" s="4"/>
      <c r="Y676" s="4"/>
    </row>
    <row r="677" spans="1:25" x14ac:dyDescent="0.2">
      <c r="A677" s="41"/>
      <c r="B677" s="5"/>
      <c r="C677" s="4"/>
      <c r="D677" s="4"/>
      <c r="E677" s="4"/>
      <c r="F677" s="4"/>
      <c r="G677" s="4"/>
      <c r="H677" s="4"/>
      <c r="I677" s="4"/>
      <c r="J677" s="4"/>
      <c r="K677" s="4"/>
      <c r="L677" s="4"/>
      <c r="M677" s="4"/>
      <c r="N677" s="4"/>
      <c r="O677" s="4"/>
      <c r="P677" s="4"/>
      <c r="Q677" s="4"/>
      <c r="R677" s="4"/>
      <c r="S677" s="4"/>
      <c r="T677" s="4"/>
      <c r="U677" s="4"/>
      <c r="V677" s="4"/>
      <c r="W677" s="4"/>
      <c r="X677" s="4"/>
      <c r="Y677" s="4"/>
    </row>
    <row r="678" spans="1:25" x14ac:dyDescent="0.2">
      <c r="A678" s="41"/>
      <c r="B678" s="5"/>
      <c r="C678" s="4"/>
      <c r="D678" s="4"/>
      <c r="E678" s="4"/>
      <c r="F678" s="4"/>
      <c r="G678" s="4"/>
      <c r="H678" s="4"/>
      <c r="I678" s="4"/>
      <c r="J678" s="4"/>
      <c r="K678" s="4"/>
      <c r="L678" s="4"/>
      <c r="M678" s="4"/>
      <c r="N678" s="4"/>
      <c r="O678" s="4"/>
      <c r="P678" s="4"/>
      <c r="Q678" s="4"/>
      <c r="R678" s="4"/>
      <c r="S678" s="4"/>
      <c r="T678" s="4"/>
      <c r="U678" s="4"/>
      <c r="V678" s="4"/>
      <c r="W678" s="4"/>
      <c r="X678" s="4"/>
      <c r="Y678" s="4"/>
    </row>
    <row r="679" spans="1:25" x14ac:dyDescent="0.2">
      <c r="A679" s="41"/>
      <c r="B679" s="5"/>
      <c r="C679" s="4"/>
      <c r="D679" s="4"/>
      <c r="E679" s="4"/>
      <c r="F679" s="4"/>
      <c r="G679" s="4"/>
      <c r="H679" s="4"/>
      <c r="I679" s="4"/>
      <c r="J679" s="4"/>
      <c r="K679" s="4"/>
      <c r="L679" s="4"/>
      <c r="M679" s="4"/>
      <c r="N679" s="4"/>
      <c r="O679" s="4"/>
      <c r="P679" s="4"/>
      <c r="Q679" s="4"/>
      <c r="R679" s="4"/>
      <c r="S679" s="4"/>
      <c r="T679" s="4"/>
      <c r="U679" s="4"/>
      <c r="V679" s="4"/>
      <c r="W679" s="4"/>
      <c r="X679" s="4"/>
      <c r="Y679" s="4"/>
    </row>
    <row r="680" spans="1:25" x14ac:dyDescent="0.2">
      <c r="A680" s="41"/>
      <c r="B680" s="5"/>
      <c r="C680" s="4"/>
      <c r="D680" s="4"/>
      <c r="E680" s="4"/>
      <c r="F680" s="4"/>
      <c r="G680" s="4"/>
      <c r="H680" s="4"/>
      <c r="I680" s="4"/>
      <c r="J680" s="4"/>
      <c r="K680" s="4"/>
      <c r="L680" s="4"/>
      <c r="M680" s="4"/>
      <c r="N680" s="4"/>
      <c r="O680" s="4"/>
      <c r="P680" s="4"/>
      <c r="Q680" s="4"/>
      <c r="R680" s="4"/>
      <c r="S680" s="4"/>
      <c r="T680" s="4"/>
      <c r="U680" s="4"/>
      <c r="V680" s="4"/>
      <c r="W680" s="4"/>
      <c r="X680" s="4"/>
      <c r="Y680" s="4"/>
    </row>
    <row r="681" spans="1:25" x14ac:dyDescent="0.2">
      <c r="A681" s="41"/>
      <c r="B681" s="5"/>
      <c r="C681" s="4"/>
      <c r="D681" s="4"/>
      <c r="E681" s="4"/>
      <c r="F681" s="4"/>
      <c r="G681" s="4"/>
      <c r="H681" s="4"/>
      <c r="I681" s="4"/>
      <c r="J681" s="4"/>
      <c r="K681" s="4"/>
      <c r="L681" s="4"/>
      <c r="M681" s="4"/>
      <c r="N681" s="4"/>
      <c r="O681" s="4"/>
      <c r="P681" s="4"/>
      <c r="Q681" s="4"/>
      <c r="R681" s="4"/>
      <c r="S681" s="4"/>
      <c r="T681" s="4"/>
      <c r="U681" s="4"/>
      <c r="V681" s="4"/>
      <c r="W681" s="4"/>
      <c r="X681" s="4"/>
      <c r="Y681" s="4"/>
    </row>
    <row r="682" spans="1:25" x14ac:dyDescent="0.2">
      <c r="A682" s="41"/>
      <c r="B682" s="5"/>
      <c r="C682" s="4"/>
      <c r="D682" s="4"/>
      <c r="E682" s="4"/>
      <c r="F682" s="4"/>
      <c r="G682" s="4"/>
      <c r="H682" s="4"/>
      <c r="I682" s="4"/>
      <c r="J682" s="4"/>
      <c r="K682" s="4"/>
      <c r="L682" s="4"/>
      <c r="M682" s="4"/>
      <c r="N682" s="4"/>
      <c r="O682" s="4"/>
      <c r="P682" s="4"/>
      <c r="Q682" s="4"/>
      <c r="R682" s="4"/>
      <c r="S682" s="4"/>
      <c r="T682" s="4"/>
      <c r="U682" s="4"/>
      <c r="V682" s="4"/>
      <c r="W682" s="4"/>
      <c r="X682" s="4"/>
      <c r="Y682" s="4"/>
    </row>
    <row r="683" spans="1:25" x14ac:dyDescent="0.2">
      <c r="A683" s="41"/>
      <c r="B683" s="5"/>
      <c r="C683" s="4"/>
      <c r="D683" s="4"/>
      <c r="E683" s="4"/>
      <c r="F683" s="4"/>
      <c r="G683" s="4"/>
      <c r="H683" s="4"/>
      <c r="I683" s="4"/>
      <c r="J683" s="4"/>
      <c r="K683" s="4"/>
      <c r="L683" s="4"/>
      <c r="M683" s="4"/>
      <c r="N683" s="4"/>
      <c r="O683" s="4"/>
      <c r="P683" s="4"/>
      <c r="Q683" s="4"/>
      <c r="R683" s="4"/>
      <c r="S683" s="4"/>
      <c r="T683" s="4"/>
      <c r="U683" s="4"/>
      <c r="V683" s="4"/>
      <c r="W683" s="4"/>
      <c r="X683" s="4"/>
      <c r="Y683" s="4"/>
    </row>
    <row r="684" spans="1:25" x14ac:dyDescent="0.2">
      <c r="A684" s="41"/>
      <c r="B684" s="5"/>
      <c r="C684" s="4"/>
      <c r="D684" s="4"/>
      <c r="E684" s="4"/>
      <c r="F684" s="4"/>
      <c r="G684" s="4"/>
      <c r="H684" s="4"/>
      <c r="I684" s="4"/>
      <c r="J684" s="4"/>
      <c r="K684" s="4"/>
      <c r="L684" s="4"/>
      <c r="M684" s="4"/>
      <c r="N684" s="4"/>
      <c r="O684" s="4"/>
      <c r="P684" s="4"/>
      <c r="Q684" s="4"/>
      <c r="R684" s="4"/>
      <c r="S684" s="4"/>
      <c r="T684" s="4"/>
      <c r="U684" s="4"/>
      <c r="V684" s="4"/>
      <c r="W684" s="4"/>
      <c r="X684" s="4"/>
      <c r="Y684" s="4"/>
    </row>
    <row r="685" spans="1:25" x14ac:dyDescent="0.2">
      <c r="A685" s="41"/>
      <c r="B685" s="5"/>
      <c r="C685" s="4"/>
      <c r="D685" s="4"/>
      <c r="E685" s="4"/>
      <c r="F685" s="4"/>
      <c r="G685" s="4"/>
      <c r="H685" s="4"/>
      <c r="I685" s="4"/>
      <c r="J685" s="4"/>
      <c r="K685" s="4"/>
      <c r="L685" s="4"/>
      <c r="M685" s="4"/>
      <c r="N685" s="4"/>
      <c r="O685" s="4"/>
      <c r="P685" s="4"/>
      <c r="Q685" s="4"/>
      <c r="R685" s="4"/>
      <c r="S685" s="4"/>
      <c r="T685" s="4"/>
      <c r="U685" s="4"/>
      <c r="V685" s="4"/>
      <c r="W685" s="4"/>
      <c r="X685" s="4"/>
      <c r="Y685" s="4"/>
    </row>
    <row r="686" spans="1:25" x14ac:dyDescent="0.2">
      <c r="A686" s="41"/>
      <c r="B686" s="5"/>
      <c r="C686" s="4"/>
      <c r="D686" s="4"/>
      <c r="E686" s="4"/>
      <c r="F686" s="4"/>
      <c r="G686" s="4"/>
      <c r="H686" s="4"/>
      <c r="I686" s="4"/>
      <c r="J686" s="4"/>
      <c r="K686" s="4"/>
      <c r="L686" s="4"/>
      <c r="M686" s="4"/>
      <c r="N686" s="4"/>
      <c r="O686" s="4"/>
      <c r="P686" s="4"/>
      <c r="Q686" s="4"/>
      <c r="R686" s="4"/>
      <c r="S686" s="4"/>
      <c r="T686" s="4"/>
      <c r="U686" s="4"/>
      <c r="V686" s="4"/>
      <c r="W686" s="4"/>
      <c r="X686" s="4"/>
      <c r="Y686" s="4"/>
    </row>
    <row r="687" spans="1:25" x14ac:dyDescent="0.2">
      <c r="A687" s="41"/>
      <c r="B687" s="5"/>
      <c r="C687" s="4"/>
      <c r="D687" s="4"/>
      <c r="E687" s="4"/>
      <c r="F687" s="4"/>
      <c r="G687" s="4"/>
      <c r="H687" s="4"/>
      <c r="I687" s="4"/>
      <c r="J687" s="4"/>
      <c r="K687" s="4"/>
      <c r="L687" s="4"/>
      <c r="M687" s="4"/>
      <c r="N687" s="4"/>
      <c r="O687" s="4"/>
      <c r="P687" s="4"/>
      <c r="Q687" s="4"/>
      <c r="R687" s="4"/>
      <c r="S687" s="4"/>
      <c r="T687" s="4"/>
      <c r="U687" s="4"/>
      <c r="V687" s="4"/>
      <c r="W687" s="4"/>
      <c r="X687" s="4"/>
      <c r="Y687" s="4"/>
    </row>
    <row r="688" spans="1:25" x14ac:dyDescent="0.2">
      <c r="A688" s="41"/>
      <c r="B688" s="5"/>
      <c r="C688" s="4"/>
      <c r="D688" s="4"/>
      <c r="E688" s="4"/>
      <c r="F688" s="4"/>
      <c r="G688" s="4"/>
      <c r="H688" s="4"/>
      <c r="I688" s="4"/>
      <c r="J688" s="4"/>
      <c r="K688" s="4"/>
      <c r="L688" s="4"/>
      <c r="M688" s="4"/>
      <c r="N688" s="4"/>
      <c r="O688" s="4"/>
      <c r="P688" s="4"/>
      <c r="Q688" s="4"/>
      <c r="R688" s="4"/>
      <c r="S688" s="4"/>
      <c r="T688" s="4"/>
      <c r="U688" s="4"/>
      <c r="V688" s="4"/>
      <c r="W688" s="4"/>
      <c r="X688" s="4"/>
      <c r="Y688" s="4"/>
    </row>
    <row r="689" spans="1:25" x14ac:dyDescent="0.2">
      <c r="A689" s="41"/>
      <c r="B689" s="5"/>
      <c r="C689" s="4"/>
      <c r="D689" s="4"/>
      <c r="E689" s="4"/>
      <c r="F689" s="4"/>
      <c r="G689" s="4"/>
      <c r="H689" s="4"/>
      <c r="I689" s="4"/>
      <c r="J689" s="4"/>
      <c r="K689" s="4"/>
      <c r="L689" s="4"/>
      <c r="M689" s="4"/>
      <c r="N689" s="4"/>
      <c r="O689" s="4"/>
      <c r="P689" s="4"/>
      <c r="Q689" s="4"/>
      <c r="R689" s="4"/>
      <c r="S689" s="4"/>
      <c r="T689" s="4"/>
      <c r="U689" s="4"/>
      <c r="V689" s="4"/>
      <c r="W689" s="4"/>
      <c r="X689" s="4"/>
      <c r="Y689" s="4"/>
    </row>
    <row r="690" spans="1:25" x14ac:dyDescent="0.2">
      <c r="A690" s="41"/>
      <c r="B690" s="5"/>
      <c r="C690" s="4"/>
      <c r="D690" s="4"/>
      <c r="E690" s="4"/>
      <c r="F690" s="4"/>
      <c r="G690" s="4"/>
      <c r="H690" s="4"/>
      <c r="I690" s="4"/>
      <c r="J690" s="4"/>
      <c r="K690" s="4"/>
      <c r="L690" s="4"/>
      <c r="M690" s="4"/>
      <c r="N690" s="4"/>
      <c r="O690" s="4"/>
      <c r="P690" s="4"/>
      <c r="Q690" s="4"/>
      <c r="R690" s="4"/>
      <c r="S690" s="4"/>
      <c r="T690" s="4"/>
      <c r="U690" s="4"/>
      <c r="V690" s="4"/>
      <c r="W690" s="4"/>
      <c r="X690" s="4"/>
      <c r="Y690" s="4"/>
    </row>
    <row r="691" spans="1:25" x14ac:dyDescent="0.2">
      <c r="A691" s="41"/>
      <c r="B691" s="5"/>
      <c r="C691" s="4"/>
      <c r="D691" s="4"/>
      <c r="E691" s="4"/>
      <c r="F691" s="4"/>
      <c r="G691" s="4"/>
      <c r="H691" s="4"/>
      <c r="I691" s="4"/>
      <c r="J691" s="4"/>
      <c r="K691" s="4"/>
      <c r="L691" s="4"/>
      <c r="M691" s="4"/>
      <c r="N691" s="4"/>
      <c r="O691" s="4"/>
      <c r="P691" s="4"/>
      <c r="Q691" s="4"/>
      <c r="R691" s="4"/>
      <c r="S691" s="4"/>
      <c r="T691" s="4"/>
      <c r="U691" s="4"/>
      <c r="V691" s="4"/>
      <c r="W691" s="4"/>
      <c r="X691" s="4"/>
      <c r="Y691" s="4"/>
    </row>
    <row r="692" spans="1:25" x14ac:dyDescent="0.2">
      <c r="A692" s="41"/>
      <c r="B692" s="5"/>
      <c r="C692" s="4"/>
      <c r="D692" s="4"/>
      <c r="E692" s="4"/>
      <c r="F692" s="4"/>
      <c r="G692" s="4"/>
      <c r="H692" s="4"/>
      <c r="I692" s="4"/>
      <c r="J692" s="4"/>
      <c r="K692" s="4"/>
      <c r="L692" s="4"/>
      <c r="M692" s="4"/>
      <c r="N692" s="4"/>
      <c r="O692" s="4"/>
      <c r="P692" s="4"/>
      <c r="Q692" s="4"/>
      <c r="R692" s="4"/>
      <c r="S692" s="4"/>
      <c r="T692" s="4"/>
      <c r="U692" s="4"/>
      <c r="V692" s="4"/>
      <c r="W692" s="4"/>
      <c r="X692" s="4"/>
      <c r="Y692" s="4"/>
    </row>
    <row r="693" spans="1:25" x14ac:dyDescent="0.2">
      <c r="A693" s="41"/>
      <c r="B693" s="5"/>
      <c r="C693" s="4"/>
      <c r="D693" s="4"/>
      <c r="E693" s="4"/>
      <c r="F693" s="4"/>
      <c r="G693" s="4"/>
      <c r="H693" s="4"/>
      <c r="I693" s="4"/>
      <c r="J693" s="4"/>
      <c r="K693" s="4"/>
      <c r="L693" s="4"/>
      <c r="M693" s="4"/>
      <c r="N693" s="4"/>
      <c r="O693" s="4"/>
      <c r="P693" s="4"/>
      <c r="Q693" s="4"/>
      <c r="R693" s="4"/>
      <c r="S693" s="4"/>
      <c r="T693" s="4"/>
      <c r="U693" s="4"/>
      <c r="V693" s="4"/>
      <c r="W693" s="4"/>
      <c r="X693" s="4"/>
      <c r="Y693" s="4"/>
    </row>
    <row r="694" spans="1:25" x14ac:dyDescent="0.2">
      <c r="A694" s="41"/>
      <c r="B694" s="5"/>
      <c r="C694" s="4"/>
      <c r="D694" s="4"/>
      <c r="E694" s="4"/>
      <c r="F694" s="4"/>
      <c r="G694" s="4"/>
      <c r="H694" s="4"/>
      <c r="I694" s="4"/>
      <c r="J694" s="4"/>
      <c r="K694" s="4"/>
      <c r="L694" s="4"/>
      <c r="M694" s="4"/>
      <c r="N694" s="4"/>
      <c r="O694" s="4"/>
      <c r="P694" s="4"/>
      <c r="Q694" s="4"/>
      <c r="R694" s="4"/>
      <c r="S694" s="4"/>
      <c r="T694" s="4"/>
      <c r="U694" s="4"/>
      <c r="V694" s="4"/>
      <c r="W694" s="4"/>
      <c r="X694" s="4"/>
      <c r="Y694" s="4"/>
    </row>
    <row r="695" spans="1:25" x14ac:dyDescent="0.2">
      <c r="A695" s="41"/>
      <c r="B695" s="5"/>
      <c r="C695" s="4"/>
      <c r="D695" s="4"/>
      <c r="E695" s="4"/>
      <c r="F695" s="4"/>
      <c r="G695" s="4"/>
      <c r="H695" s="4"/>
      <c r="I695" s="4"/>
      <c r="J695" s="4"/>
      <c r="K695" s="4"/>
      <c r="L695" s="4"/>
      <c r="M695" s="4"/>
      <c r="N695" s="4"/>
      <c r="O695" s="4"/>
      <c r="P695" s="4"/>
      <c r="Q695" s="4"/>
      <c r="R695" s="4"/>
      <c r="S695" s="4"/>
      <c r="T695" s="4"/>
      <c r="U695" s="4"/>
      <c r="V695" s="4"/>
      <c r="W695" s="4"/>
      <c r="X695" s="4"/>
      <c r="Y695" s="4"/>
    </row>
    <row r="696" spans="1:25" x14ac:dyDescent="0.2">
      <c r="A696" s="41"/>
      <c r="B696" s="5"/>
      <c r="C696" s="4"/>
      <c r="D696" s="4"/>
      <c r="E696" s="4"/>
      <c r="F696" s="4"/>
      <c r="G696" s="4"/>
      <c r="H696" s="4"/>
      <c r="I696" s="4"/>
      <c r="J696" s="4"/>
      <c r="K696" s="4"/>
      <c r="L696" s="4"/>
      <c r="M696" s="4"/>
      <c r="N696" s="4"/>
      <c r="O696" s="4"/>
      <c r="P696" s="4"/>
      <c r="Q696" s="4"/>
      <c r="R696" s="4"/>
      <c r="S696" s="4"/>
      <c r="T696" s="4"/>
      <c r="U696" s="4"/>
      <c r="V696" s="4"/>
      <c r="W696" s="4"/>
      <c r="X696" s="4"/>
      <c r="Y696" s="4"/>
    </row>
    <row r="697" spans="1:25" x14ac:dyDescent="0.2">
      <c r="A697" s="41"/>
      <c r="B697" s="5"/>
      <c r="C697" s="4"/>
      <c r="D697" s="4"/>
      <c r="E697" s="4"/>
      <c r="F697" s="4"/>
      <c r="G697" s="4"/>
      <c r="H697" s="4"/>
      <c r="I697" s="4"/>
      <c r="J697" s="4"/>
      <c r="K697" s="4"/>
      <c r="L697" s="4"/>
      <c r="M697" s="4"/>
      <c r="N697" s="4"/>
      <c r="O697" s="4"/>
      <c r="P697" s="4"/>
      <c r="Q697" s="4"/>
      <c r="R697" s="4"/>
      <c r="S697" s="4"/>
      <c r="T697" s="4"/>
      <c r="U697" s="4"/>
      <c r="V697" s="4"/>
      <c r="W697" s="4"/>
      <c r="X697" s="4"/>
      <c r="Y697" s="4"/>
    </row>
    <row r="698" spans="1:25" x14ac:dyDescent="0.2">
      <c r="A698" s="41"/>
      <c r="B698" s="5"/>
      <c r="C698" s="4"/>
      <c r="D698" s="4"/>
      <c r="E698" s="4"/>
      <c r="F698" s="4"/>
      <c r="G698" s="4"/>
      <c r="H698" s="4"/>
      <c r="I698" s="4"/>
      <c r="J698" s="4"/>
      <c r="K698" s="4"/>
      <c r="L698" s="4"/>
      <c r="M698" s="4"/>
      <c r="N698" s="4"/>
      <c r="O698" s="4"/>
      <c r="P698" s="4"/>
      <c r="Q698" s="4"/>
      <c r="R698" s="4"/>
      <c r="S698" s="4"/>
      <c r="T698" s="4"/>
      <c r="U698" s="4"/>
      <c r="V698" s="4"/>
      <c r="W698" s="4"/>
      <c r="X698" s="4"/>
      <c r="Y698" s="4"/>
    </row>
    <row r="699" spans="1:25" x14ac:dyDescent="0.2">
      <c r="A699" s="41"/>
      <c r="B699" s="5"/>
      <c r="C699" s="4"/>
      <c r="D699" s="4"/>
      <c r="E699" s="4"/>
      <c r="F699" s="4"/>
      <c r="G699" s="4"/>
      <c r="H699" s="4"/>
      <c r="I699" s="4"/>
      <c r="J699" s="4"/>
      <c r="K699" s="4"/>
      <c r="L699" s="4"/>
      <c r="M699" s="4"/>
      <c r="N699" s="4"/>
      <c r="O699" s="4"/>
      <c r="P699" s="4"/>
      <c r="Q699" s="4"/>
      <c r="R699" s="4"/>
      <c r="S699" s="4"/>
      <c r="T699" s="4"/>
      <c r="U699" s="4"/>
      <c r="V699" s="4"/>
      <c r="W699" s="4"/>
      <c r="X699" s="4"/>
      <c r="Y699" s="4"/>
    </row>
    <row r="700" spans="1:25" x14ac:dyDescent="0.2">
      <c r="A700" s="41"/>
      <c r="B700" s="5"/>
      <c r="C700" s="4"/>
      <c r="D700" s="4"/>
      <c r="E700" s="4"/>
      <c r="F700" s="4"/>
      <c r="G700" s="4"/>
      <c r="H700" s="4"/>
      <c r="I700" s="4"/>
      <c r="J700" s="4"/>
      <c r="K700" s="4"/>
      <c r="L700" s="4"/>
      <c r="M700" s="4"/>
      <c r="N700" s="4"/>
      <c r="O700" s="4"/>
      <c r="P700" s="4"/>
      <c r="Q700" s="4"/>
      <c r="R700" s="4"/>
      <c r="S700" s="4"/>
      <c r="T700" s="4"/>
      <c r="U700" s="4"/>
      <c r="V700" s="4"/>
      <c r="W700" s="4"/>
      <c r="X700" s="4"/>
      <c r="Y700" s="4"/>
    </row>
    <row r="701" spans="1:25" x14ac:dyDescent="0.2">
      <c r="A701" s="41"/>
      <c r="B701" s="5"/>
      <c r="C701" s="4"/>
      <c r="D701" s="4"/>
      <c r="E701" s="4"/>
      <c r="F701" s="4"/>
      <c r="G701" s="4"/>
      <c r="H701" s="4"/>
      <c r="I701" s="4"/>
      <c r="J701" s="4"/>
      <c r="K701" s="4"/>
      <c r="L701" s="4"/>
      <c r="M701" s="4"/>
      <c r="N701" s="4"/>
      <c r="O701" s="4"/>
      <c r="P701" s="4"/>
      <c r="Q701" s="4"/>
      <c r="R701" s="4"/>
      <c r="S701" s="4"/>
      <c r="T701" s="4"/>
      <c r="U701" s="4"/>
      <c r="V701" s="4"/>
      <c r="W701" s="4"/>
      <c r="X701" s="4"/>
      <c r="Y701" s="4"/>
    </row>
    <row r="702" spans="1:25" x14ac:dyDescent="0.2">
      <c r="A702" s="41"/>
      <c r="B702" s="5"/>
      <c r="C702" s="4"/>
      <c r="D702" s="4"/>
      <c r="E702" s="4"/>
      <c r="F702" s="4"/>
      <c r="G702" s="4"/>
      <c r="H702" s="4"/>
      <c r="I702" s="4"/>
      <c r="J702" s="4"/>
      <c r="K702" s="4"/>
      <c r="L702" s="4"/>
      <c r="M702" s="4"/>
      <c r="N702" s="4"/>
      <c r="O702" s="4"/>
      <c r="P702" s="4"/>
      <c r="Q702" s="4"/>
      <c r="R702" s="4"/>
      <c r="S702" s="4"/>
      <c r="T702" s="4"/>
      <c r="U702" s="4"/>
      <c r="V702" s="4"/>
      <c r="W702" s="4"/>
      <c r="X702" s="4"/>
      <c r="Y702" s="4"/>
    </row>
    <row r="703" spans="1:25" x14ac:dyDescent="0.2">
      <c r="A703" s="41"/>
      <c r="B703" s="5"/>
      <c r="C703" s="4"/>
      <c r="D703" s="4"/>
      <c r="E703" s="4"/>
      <c r="F703" s="4"/>
      <c r="G703" s="4"/>
      <c r="H703" s="4"/>
      <c r="I703" s="4"/>
      <c r="J703" s="4"/>
      <c r="K703" s="4"/>
      <c r="L703" s="4"/>
      <c r="M703" s="4"/>
      <c r="N703" s="4"/>
      <c r="O703" s="4"/>
      <c r="P703" s="4"/>
      <c r="Q703" s="4"/>
      <c r="R703" s="4"/>
      <c r="S703" s="4"/>
      <c r="T703" s="4"/>
      <c r="U703" s="4"/>
      <c r="V703" s="4"/>
      <c r="W703" s="4"/>
      <c r="X703" s="4"/>
      <c r="Y703" s="4"/>
    </row>
    <row r="704" spans="1:25" x14ac:dyDescent="0.2">
      <c r="A704" s="41"/>
      <c r="B704" s="5"/>
      <c r="C704" s="4"/>
      <c r="D704" s="4"/>
      <c r="E704" s="4"/>
      <c r="F704" s="4"/>
      <c r="G704" s="4"/>
      <c r="H704" s="4"/>
      <c r="I704" s="4"/>
      <c r="J704" s="4"/>
      <c r="K704" s="4"/>
      <c r="L704" s="4"/>
      <c r="M704" s="4"/>
      <c r="N704" s="4"/>
      <c r="O704" s="4"/>
      <c r="P704" s="4"/>
      <c r="Q704" s="4"/>
      <c r="R704" s="4"/>
      <c r="S704" s="4"/>
      <c r="T704" s="4"/>
      <c r="U704" s="4"/>
      <c r="V704" s="4"/>
      <c r="W704" s="4"/>
      <c r="X704" s="4"/>
      <c r="Y704" s="4"/>
    </row>
    <row r="705" spans="1:25" x14ac:dyDescent="0.2">
      <c r="A705" s="41"/>
      <c r="B705" s="5"/>
      <c r="C705" s="4"/>
      <c r="D705" s="4"/>
      <c r="E705" s="4"/>
      <c r="F705" s="4"/>
      <c r="G705" s="4"/>
      <c r="H705" s="4"/>
      <c r="I705" s="4"/>
      <c r="J705" s="4"/>
      <c r="K705" s="4"/>
      <c r="L705" s="4"/>
      <c r="M705" s="4"/>
      <c r="N705" s="4"/>
      <c r="O705" s="4"/>
      <c r="P705" s="4"/>
      <c r="Q705" s="4"/>
      <c r="R705" s="4"/>
      <c r="S705" s="4"/>
      <c r="T705" s="4"/>
      <c r="U705" s="4"/>
      <c r="V705" s="4"/>
      <c r="W705" s="4"/>
      <c r="X705" s="4"/>
      <c r="Y705" s="4"/>
    </row>
    <row r="706" spans="1:25" x14ac:dyDescent="0.2">
      <c r="A706" s="41"/>
      <c r="B706" s="5"/>
      <c r="C706" s="4"/>
      <c r="D706" s="4"/>
      <c r="E706" s="4"/>
      <c r="F706" s="4"/>
      <c r="G706" s="4"/>
      <c r="H706" s="4"/>
      <c r="I706" s="4"/>
      <c r="J706" s="4"/>
      <c r="K706" s="4"/>
      <c r="L706" s="4"/>
      <c r="M706" s="4"/>
      <c r="N706" s="4"/>
      <c r="O706" s="4"/>
      <c r="P706" s="4"/>
      <c r="Q706" s="4"/>
      <c r="R706" s="4"/>
      <c r="S706" s="4"/>
      <c r="T706" s="4"/>
      <c r="U706" s="4"/>
      <c r="V706" s="4"/>
      <c r="W706" s="4"/>
      <c r="X706" s="4"/>
      <c r="Y706" s="4"/>
    </row>
    <row r="707" spans="1:25" x14ac:dyDescent="0.2">
      <c r="A707" s="41"/>
      <c r="B707" s="5"/>
      <c r="C707" s="4"/>
      <c r="D707" s="4"/>
      <c r="E707" s="4"/>
      <c r="F707" s="4"/>
      <c r="G707" s="4"/>
      <c r="H707" s="4"/>
      <c r="I707" s="4"/>
      <c r="J707" s="4"/>
      <c r="K707" s="4"/>
      <c r="L707" s="4"/>
      <c r="M707" s="4"/>
      <c r="N707" s="4"/>
      <c r="O707" s="4"/>
      <c r="P707" s="4"/>
      <c r="Q707" s="4"/>
      <c r="R707" s="4"/>
      <c r="S707" s="4"/>
      <c r="T707" s="4"/>
      <c r="U707" s="4"/>
      <c r="V707" s="4"/>
      <c r="W707" s="4"/>
      <c r="X707" s="4"/>
      <c r="Y707" s="4"/>
    </row>
    <row r="708" spans="1:25" x14ac:dyDescent="0.2">
      <c r="A708" s="41"/>
      <c r="B708" s="5"/>
      <c r="C708" s="4"/>
      <c r="D708" s="4"/>
      <c r="E708" s="4"/>
      <c r="F708" s="4"/>
      <c r="G708" s="4"/>
      <c r="H708" s="4"/>
      <c r="I708" s="4"/>
      <c r="J708" s="4"/>
      <c r="K708" s="4"/>
      <c r="L708" s="4"/>
      <c r="M708" s="4"/>
      <c r="N708" s="4"/>
      <c r="O708" s="4"/>
      <c r="P708" s="4"/>
      <c r="Q708" s="4"/>
      <c r="R708" s="4"/>
      <c r="S708" s="4"/>
      <c r="T708" s="4"/>
      <c r="U708" s="4"/>
      <c r="V708" s="4"/>
      <c r="W708" s="4"/>
      <c r="X708" s="4"/>
      <c r="Y708" s="4"/>
    </row>
    <row r="709" spans="1:25" x14ac:dyDescent="0.2">
      <c r="A709" s="41"/>
      <c r="B709" s="5"/>
      <c r="C709" s="4"/>
      <c r="D709" s="4"/>
      <c r="E709" s="4"/>
      <c r="F709" s="4"/>
      <c r="G709" s="4"/>
      <c r="H709" s="4"/>
      <c r="I709" s="4"/>
      <c r="J709" s="4"/>
      <c r="K709" s="4"/>
      <c r="L709" s="4"/>
      <c r="M709" s="4"/>
      <c r="N709" s="4"/>
      <c r="O709" s="4"/>
      <c r="P709" s="4"/>
      <c r="Q709" s="4"/>
      <c r="R709" s="4"/>
      <c r="S709" s="4"/>
      <c r="T709" s="4"/>
      <c r="U709" s="4"/>
      <c r="V709" s="4"/>
      <c r="W709" s="4"/>
      <c r="X709" s="4"/>
      <c r="Y709" s="4"/>
    </row>
    <row r="710" spans="1:25" x14ac:dyDescent="0.2">
      <c r="A710" s="41"/>
      <c r="B710" s="5"/>
      <c r="C710" s="4"/>
      <c r="D710" s="4"/>
      <c r="E710" s="4"/>
      <c r="F710" s="4"/>
      <c r="G710" s="4"/>
      <c r="H710" s="4"/>
      <c r="I710" s="4"/>
      <c r="J710" s="4"/>
      <c r="K710" s="4"/>
      <c r="L710" s="4"/>
      <c r="M710" s="4"/>
      <c r="N710" s="4"/>
      <c r="O710" s="4"/>
      <c r="P710" s="4"/>
      <c r="Q710" s="4"/>
      <c r="R710" s="4"/>
      <c r="S710" s="4"/>
      <c r="T710" s="4"/>
      <c r="U710" s="4"/>
      <c r="V710" s="4"/>
      <c r="W710" s="4"/>
      <c r="X710" s="4"/>
      <c r="Y710" s="4"/>
    </row>
    <row r="711" spans="1:25" x14ac:dyDescent="0.2">
      <c r="A711" s="41"/>
      <c r="B711" s="5"/>
      <c r="C711" s="4"/>
      <c r="D711" s="4"/>
      <c r="E711" s="4"/>
      <c r="F711" s="4"/>
      <c r="G711" s="4"/>
      <c r="H711" s="4"/>
      <c r="I711" s="4"/>
      <c r="J711" s="4"/>
      <c r="K711" s="4"/>
      <c r="L711" s="4"/>
      <c r="M711" s="4"/>
      <c r="N711" s="4"/>
      <c r="O711" s="4"/>
      <c r="P711" s="4"/>
      <c r="Q711" s="4"/>
      <c r="R711" s="4"/>
      <c r="S711" s="4"/>
      <c r="T711" s="4"/>
      <c r="U711" s="4"/>
      <c r="V711" s="4"/>
      <c r="W711" s="4"/>
      <c r="X711" s="4"/>
      <c r="Y711" s="4"/>
    </row>
    <row r="712" spans="1:25" x14ac:dyDescent="0.2">
      <c r="A712" s="41"/>
      <c r="B712" s="5"/>
      <c r="C712" s="4"/>
      <c r="D712" s="4"/>
      <c r="E712" s="4"/>
      <c r="F712" s="4"/>
      <c r="G712" s="4"/>
      <c r="H712" s="4"/>
      <c r="I712" s="4"/>
      <c r="J712" s="4"/>
      <c r="K712" s="4"/>
      <c r="L712" s="4"/>
      <c r="M712" s="4"/>
      <c r="N712" s="4"/>
      <c r="O712" s="4"/>
      <c r="P712" s="4"/>
      <c r="Q712" s="4"/>
      <c r="R712" s="4"/>
      <c r="S712" s="4"/>
      <c r="T712" s="4"/>
      <c r="U712" s="4"/>
      <c r="V712" s="4"/>
      <c r="W712" s="4"/>
      <c r="X712" s="4"/>
      <c r="Y712" s="4"/>
    </row>
    <row r="713" spans="1:25" x14ac:dyDescent="0.2">
      <c r="A713" s="41"/>
      <c r="B713" s="5"/>
      <c r="C713" s="4"/>
      <c r="D713" s="4"/>
      <c r="E713" s="4"/>
      <c r="F713" s="4"/>
      <c r="G713" s="4"/>
      <c r="H713" s="4"/>
      <c r="I713" s="4"/>
      <c r="J713" s="4"/>
      <c r="K713" s="4"/>
      <c r="L713" s="4"/>
      <c r="M713" s="4"/>
      <c r="N713" s="4"/>
      <c r="O713" s="4"/>
      <c r="P713" s="4"/>
      <c r="Q713" s="4"/>
      <c r="R713" s="4"/>
      <c r="S713" s="4"/>
      <c r="T713" s="4"/>
      <c r="U713" s="4"/>
      <c r="V713" s="4"/>
      <c r="W713" s="4"/>
      <c r="X713" s="4"/>
      <c r="Y713" s="4"/>
    </row>
    <row r="714" spans="1:25" x14ac:dyDescent="0.2">
      <c r="A714" s="41"/>
      <c r="B714" s="5"/>
      <c r="C714" s="4"/>
      <c r="D714" s="4"/>
      <c r="E714" s="4"/>
      <c r="F714" s="4"/>
      <c r="G714" s="4"/>
      <c r="H714" s="4"/>
      <c r="I714" s="4"/>
      <c r="J714" s="4"/>
      <c r="K714" s="4"/>
      <c r="L714" s="4"/>
      <c r="M714" s="4"/>
      <c r="N714" s="4"/>
      <c r="O714" s="4"/>
      <c r="P714" s="4"/>
      <c r="Q714" s="4"/>
      <c r="R714" s="4"/>
      <c r="S714" s="4"/>
      <c r="T714" s="4"/>
      <c r="U714" s="4"/>
      <c r="V714" s="4"/>
      <c r="W714" s="4"/>
      <c r="X714" s="4"/>
      <c r="Y714" s="4"/>
    </row>
    <row r="715" spans="1:25" x14ac:dyDescent="0.2">
      <c r="A715" s="41"/>
      <c r="B715" s="5"/>
      <c r="C715" s="4"/>
      <c r="D715" s="4"/>
      <c r="E715" s="4"/>
      <c r="F715" s="4"/>
      <c r="G715" s="4"/>
      <c r="H715" s="4"/>
      <c r="I715" s="4"/>
      <c r="J715" s="4"/>
      <c r="K715" s="4"/>
      <c r="L715" s="4"/>
      <c r="M715" s="4"/>
      <c r="N715" s="4"/>
      <c r="O715" s="4"/>
      <c r="P715" s="4"/>
      <c r="Q715" s="4"/>
      <c r="R715" s="4"/>
      <c r="S715" s="4"/>
      <c r="T715" s="4"/>
      <c r="U715" s="4"/>
      <c r="V715" s="4"/>
      <c r="W715" s="4"/>
      <c r="X715" s="4"/>
      <c r="Y715" s="4"/>
    </row>
    <row r="716" spans="1:25" x14ac:dyDescent="0.2">
      <c r="A716" s="41"/>
      <c r="B716" s="5"/>
      <c r="C716" s="4"/>
      <c r="D716" s="4"/>
      <c r="E716" s="4"/>
      <c r="F716" s="4"/>
      <c r="G716" s="4"/>
      <c r="H716" s="4"/>
      <c r="I716" s="4"/>
      <c r="J716" s="4"/>
      <c r="K716" s="4"/>
      <c r="L716" s="4"/>
      <c r="M716" s="4"/>
      <c r="N716" s="4"/>
      <c r="O716" s="4"/>
      <c r="P716" s="4"/>
      <c r="Q716" s="4"/>
      <c r="R716" s="4"/>
      <c r="S716" s="4"/>
      <c r="T716" s="4"/>
      <c r="U716" s="4"/>
      <c r="V716" s="4"/>
      <c r="W716" s="4"/>
      <c r="X716" s="4"/>
      <c r="Y716" s="4"/>
    </row>
    <row r="717" spans="1:25" x14ac:dyDescent="0.2">
      <c r="A717" s="41"/>
      <c r="B717" s="5"/>
      <c r="C717" s="4"/>
      <c r="D717" s="4"/>
      <c r="E717" s="4"/>
      <c r="F717" s="4"/>
      <c r="G717" s="4"/>
      <c r="H717" s="4"/>
      <c r="I717" s="4"/>
      <c r="J717" s="4"/>
      <c r="K717" s="4"/>
      <c r="L717" s="4"/>
      <c r="M717" s="4"/>
      <c r="N717" s="4"/>
      <c r="O717" s="4"/>
      <c r="P717" s="4"/>
      <c r="Q717" s="4"/>
      <c r="R717" s="4"/>
      <c r="S717" s="4"/>
      <c r="T717" s="4"/>
      <c r="U717" s="4"/>
      <c r="V717" s="4"/>
      <c r="W717" s="4"/>
      <c r="X717" s="4"/>
      <c r="Y717" s="4"/>
    </row>
    <row r="718" spans="1:25" x14ac:dyDescent="0.2">
      <c r="A718" s="41"/>
      <c r="B718" s="5"/>
      <c r="C718" s="4"/>
      <c r="D718" s="4"/>
      <c r="E718" s="4"/>
      <c r="F718" s="4"/>
      <c r="G718" s="4"/>
      <c r="H718" s="4"/>
      <c r="I718" s="4"/>
      <c r="J718" s="4"/>
      <c r="K718" s="4"/>
      <c r="L718" s="4"/>
      <c r="M718" s="4"/>
      <c r="N718" s="4"/>
      <c r="O718" s="4"/>
      <c r="P718" s="4"/>
      <c r="Q718" s="4"/>
      <c r="R718" s="4"/>
      <c r="S718" s="4"/>
      <c r="T718" s="4"/>
      <c r="U718" s="4"/>
      <c r="V718" s="4"/>
      <c r="W718" s="4"/>
      <c r="X718" s="4"/>
      <c r="Y718" s="4"/>
    </row>
    <row r="719" spans="1:25" x14ac:dyDescent="0.2">
      <c r="A719" s="41"/>
      <c r="B719" s="5"/>
      <c r="C719" s="4"/>
      <c r="D719" s="4"/>
      <c r="E719" s="4"/>
      <c r="F719" s="4"/>
      <c r="G719" s="4"/>
      <c r="H719" s="4"/>
      <c r="I719" s="4"/>
      <c r="J719" s="4"/>
      <c r="K719" s="4"/>
      <c r="L719" s="4"/>
      <c r="M719" s="4"/>
      <c r="N719" s="4"/>
      <c r="O719" s="4"/>
      <c r="P719" s="4"/>
      <c r="Q719" s="4"/>
      <c r="R719" s="4"/>
      <c r="S719" s="4"/>
      <c r="T719" s="4"/>
      <c r="U719" s="4"/>
      <c r="V719" s="4"/>
      <c r="W719" s="4"/>
      <c r="X719" s="4"/>
      <c r="Y719" s="4"/>
    </row>
    <row r="720" spans="1:25" x14ac:dyDescent="0.2">
      <c r="A720" s="41"/>
      <c r="B720" s="5"/>
      <c r="C720" s="4"/>
      <c r="D720" s="4"/>
      <c r="E720" s="4"/>
      <c r="F720" s="4"/>
      <c r="G720" s="4"/>
      <c r="H720" s="4"/>
      <c r="I720" s="4"/>
      <c r="J720" s="4"/>
      <c r="K720" s="4"/>
      <c r="L720" s="4"/>
      <c r="M720" s="4"/>
      <c r="N720" s="4"/>
      <c r="O720" s="4"/>
      <c r="P720" s="4"/>
      <c r="Q720" s="4"/>
      <c r="R720" s="4"/>
      <c r="S720" s="4"/>
      <c r="T720" s="4"/>
      <c r="U720" s="4"/>
      <c r="V720" s="4"/>
      <c r="W720" s="4"/>
      <c r="X720" s="4"/>
      <c r="Y720" s="4"/>
    </row>
    <row r="721" spans="1:25" x14ac:dyDescent="0.2">
      <c r="A721" s="41"/>
      <c r="B721" s="5"/>
      <c r="C721" s="4"/>
      <c r="D721" s="4"/>
      <c r="E721" s="4"/>
      <c r="F721" s="4"/>
      <c r="G721" s="4"/>
      <c r="H721" s="4"/>
      <c r="I721" s="4"/>
      <c r="J721" s="4"/>
      <c r="K721" s="4"/>
      <c r="L721" s="4"/>
      <c r="M721" s="4"/>
      <c r="N721" s="4"/>
      <c r="O721" s="4"/>
      <c r="P721" s="4"/>
      <c r="Q721" s="4"/>
      <c r="R721" s="4"/>
      <c r="S721" s="4"/>
      <c r="T721" s="4"/>
      <c r="U721" s="4"/>
      <c r="V721" s="4"/>
      <c r="W721" s="4"/>
      <c r="X721" s="4"/>
      <c r="Y721" s="4"/>
    </row>
    <row r="722" spans="1:25" x14ac:dyDescent="0.2">
      <c r="A722" s="41"/>
      <c r="B722" s="5"/>
      <c r="C722" s="4"/>
      <c r="D722" s="4"/>
      <c r="E722" s="4"/>
      <c r="F722" s="4"/>
      <c r="G722" s="4"/>
      <c r="H722" s="4"/>
      <c r="I722" s="4"/>
      <c r="J722" s="4"/>
      <c r="K722" s="4"/>
      <c r="L722" s="4"/>
      <c r="M722" s="4"/>
      <c r="N722" s="4"/>
      <c r="O722" s="4"/>
      <c r="P722" s="4"/>
      <c r="Q722" s="4"/>
      <c r="R722" s="4"/>
      <c r="S722" s="4"/>
      <c r="T722" s="4"/>
      <c r="U722" s="4"/>
      <c r="V722" s="4"/>
      <c r="W722" s="4"/>
      <c r="X722" s="4"/>
      <c r="Y722" s="4"/>
    </row>
    <row r="723" spans="1:25" x14ac:dyDescent="0.2">
      <c r="A723" s="41"/>
      <c r="B723" s="5"/>
      <c r="C723" s="4"/>
      <c r="D723" s="4"/>
      <c r="E723" s="4"/>
      <c r="F723" s="4"/>
      <c r="G723" s="4"/>
      <c r="H723" s="4"/>
      <c r="I723" s="4"/>
      <c r="J723" s="4"/>
      <c r="K723" s="4"/>
      <c r="L723" s="4"/>
      <c r="M723" s="4"/>
      <c r="N723" s="4"/>
      <c r="O723" s="4"/>
      <c r="P723" s="4"/>
      <c r="Q723" s="4"/>
      <c r="R723" s="4"/>
      <c r="S723" s="4"/>
      <c r="T723" s="4"/>
      <c r="U723" s="4"/>
      <c r="V723" s="4"/>
      <c r="W723" s="4"/>
      <c r="X723" s="4"/>
      <c r="Y723" s="4"/>
    </row>
    <row r="724" spans="1:25" x14ac:dyDescent="0.2">
      <c r="A724" s="41"/>
      <c r="B724" s="5"/>
      <c r="C724" s="4"/>
      <c r="D724" s="4"/>
      <c r="E724" s="4"/>
      <c r="F724" s="4"/>
      <c r="G724" s="4"/>
      <c r="H724" s="4"/>
      <c r="I724" s="4"/>
      <c r="J724" s="4"/>
      <c r="K724" s="4"/>
      <c r="L724" s="4"/>
      <c r="M724" s="4"/>
      <c r="N724" s="4"/>
      <c r="O724" s="4"/>
      <c r="P724" s="4"/>
      <c r="Q724" s="4"/>
      <c r="R724" s="4"/>
      <c r="S724" s="4"/>
      <c r="T724" s="4"/>
      <c r="U724" s="4"/>
      <c r="V724" s="4"/>
      <c r="W724" s="4"/>
      <c r="X724" s="4"/>
      <c r="Y724" s="4"/>
    </row>
    <row r="725" spans="1:25" x14ac:dyDescent="0.2">
      <c r="A725" s="41"/>
      <c r="B725" s="5"/>
      <c r="C725" s="4"/>
      <c r="D725" s="4"/>
      <c r="E725" s="4"/>
      <c r="F725" s="4"/>
      <c r="G725" s="4"/>
      <c r="H725" s="4"/>
      <c r="I725" s="4"/>
      <c r="J725" s="4"/>
      <c r="K725" s="4"/>
      <c r="L725" s="4"/>
      <c r="M725" s="4"/>
      <c r="N725" s="4"/>
      <c r="O725" s="4"/>
      <c r="P725" s="4"/>
      <c r="Q725" s="4"/>
      <c r="R725" s="4"/>
      <c r="S725" s="4"/>
      <c r="T725" s="4"/>
      <c r="U725" s="4"/>
      <c r="V725" s="4"/>
      <c r="W725" s="4"/>
      <c r="X725" s="4"/>
      <c r="Y725" s="4"/>
    </row>
    <row r="726" spans="1:25" x14ac:dyDescent="0.2">
      <c r="A726" s="41"/>
      <c r="B726" s="5"/>
      <c r="C726" s="4"/>
      <c r="D726" s="4"/>
      <c r="E726" s="4"/>
      <c r="F726" s="4"/>
      <c r="G726" s="4"/>
      <c r="H726" s="4"/>
      <c r="I726" s="4"/>
      <c r="J726" s="4"/>
      <c r="K726" s="4"/>
      <c r="L726" s="4"/>
      <c r="M726" s="4"/>
      <c r="N726" s="4"/>
      <c r="O726" s="4"/>
      <c r="P726" s="4"/>
      <c r="Q726" s="4"/>
      <c r="R726" s="4"/>
      <c r="S726" s="4"/>
      <c r="T726" s="4"/>
      <c r="U726" s="4"/>
      <c r="V726" s="4"/>
      <c r="W726" s="4"/>
      <c r="X726" s="4"/>
      <c r="Y726" s="4"/>
    </row>
    <row r="727" spans="1:25" x14ac:dyDescent="0.2">
      <c r="A727" s="41"/>
      <c r="B727" s="5"/>
      <c r="C727" s="4"/>
      <c r="D727" s="4"/>
      <c r="E727" s="4"/>
      <c r="F727" s="4"/>
      <c r="G727" s="4"/>
      <c r="H727" s="4"/>
      <c r="I727" s="4"/>
      <c r="J727" s="4"/>
      <c r="K727" s="4"/>
      <c r="L727" s="4"/>
      <c r="M727" s="4"/>
      <c r="N727" s="4"/>
      <c r="O727" s="4"/>
      <c r="P727" s="4"/>
      <c r="Q727" s="4"/>
      <c r="R727" s="4"/>
      <c r="S727" s="4"/>
      <c r="T727" s="4"/>
      <c r="U727" s="4"/>
      <c r="V727" s="4"/>
      <c r="W727" s="4"/>
      <c r="X727" s="4"/>
      <c r="Y727" s="4"/>
    </row>
    <row r="728" spans="1:25" x14ac:dyDescent="0.2">
      <c r="A728" s="41"/>
      <c r="B728" s="5"/>
      <c r="C728" s="4"/>
      <c r="D728" s="4"/>
      <c r="E728" s="4"/>
      <c r="F728" s="4"/>
      <c r="G728" s="4"/>
      <c r="H728" s="4"/>
      <c r="I728" s="4"/>
      <c r="J728" s="4"/>
      <c r="K728" s="4"/>
      <c r="L728" s="4"/>
      <c r="M728" s="4"/>
      <c r="N728" s="4"/>
      <c r="O728" s="4"/>
      <c r="P728" s="4"/>
      <c r="Q728" s="4"/>
      <c r="R728" s="4"/>
      <c r="S728" s="4"/>
      <c r="T728" s="4"/>
      <c r="U728" s="4"/>
      <c r="V728" s="4"/>
      <c r="W728" s="4"/>
      <c r="X728" s="4"/>
      <c r="Y728" s="4"/>
    </row>
    <row r="729" spans="1:25" x14ac:dyDescent="0.2">
      <c r="A729" s="41"/>
      <c r="B729" s="5"/>
      <c r="C729" s="4"/>
      <c r="D729" s="4"/>
      <c r="E729" s="4"/>
      <c r="F729" s="4"/>
      <c r="G729" s="4"/>
      <c r="H729" s="4"/>
      <c r="I729" s="4"/>
      <c r="J729" s="4"/>
      <c r="K729" s="4"/>
      <c r="L729" s="4"/>
      <c r="M729" s="4"/>
      <c r="N729" s="4"/>
      <c r="O729" s="4"/>
      <c r="P729" s="4"/>
      <c r="Q729" s="4"/>
      <c r="R729" s="4"/>
      <c r="S729" s="4"/>
      <c r="T729" s="4"/>
      <c r="U729" s="4"/>
      <c r="V729" s="4"/>
      <c r="W729" s="4"/>
      <c r="X729" s="4"/>
      <c r="Y729" s="4"/>
    </row>
    <row r="730" spans="1:25" x14ac:dyDescent="0.2">
      <c r="A730" s="41"/>
      <c r="B730" s="5"/>
      <c r="C730" s="4"/>
      <c r="D730" s="4"/>
      <c r="E730" s="4"/>
      <c r="F730" s="4"/>
      <c r="G730" s="4"/>
      <c r="H730" s="4"/>
      <c r="I730" s="4"/>
      <c r="J730" s="4"/>
      <c r="K730" s="4"/>
      <c r="L730" s="4"/>
      <c r="M730" s="4"/>
      <c r="N730" s="4"/>
      <c r="O730" s="4"/>
      <c r="P730" s="4"/>
      <c r="Q730" s="4"/>
      <c r="R730" s="4"/>
      <c r="S730" s="4"/>
      <c r="T730" s="4"/>
      <c r="U730" s="4"/>
      <c r="V730" s="4"/>
      <c r="W730" s="4"/>
      <c r="X730" s="4"/>
      <c r="Y730" s="4"/>
    </row>
    <row r="731" spans="1:25" x14ac:dyDescent="0.2">
      <c r="A731" s="41"/>
      <c r="B731" s="5"/>
      <c r="C731" s="4"/>
      <c r="D731" s="4"/>
      <c r="E731" s="4"/>
      <c r="F731" s="4"/>
      <c r="G731" s="4"/>
      <c r="H731" s="4"/>
      <c r="I731" s="4"/>
      <c r="J731" s="4"/>
      <c r="K731" s="4"/>
      <c r="L731" s="4"/>
      <c r="M731" s="4"/>
      <c r="N731" s="4"/>
      <c r="O731" s="4"/>
      <c r="P731" s="4"/>
      <c r="Q731" s="4"/>
      <c r="R731" s="4"/>
      <c r="S731" s="4"/>
      <c r="T731" s="4"/>
      <c r="U731" s="4"/>
      <c r="V731" s="4"/>
      <c r="W731" s="4"/>
      <c r="X731" s="4"/>
      <c r="Y731" s="4"/>
    </row>
    <row r="732" spans="1:25" x14ac:dyDescent="0.2">
      <c r="A732" s="41"/>
      <c r="B732" s="5"/>
      <c r="C732" s="4"/>
      <c r="D732" s="4"/>
      <c r="E732" s="4"/>
      <c r="F732" s="4"/>
      <c r="G732" s="4"/>
      <c r="H732" s="4"/>
      <c r="I732" s="4"/>
      <c r="J732" s="4"/>
      <c r="K732" s="4"/>
      <c r="L732" s="4"/>
      <c r="M732" s="4"/>
      <c r="N732" s="4"/>
      <c r="O732" s="4"/>
      <c r="P732" s="4"/>
      <c r="Q732" s="4"/>
      <c r="R732" s="4"/>
      <c r="S732" s="4"/>
      <c r="T732" s="4"/>
      <c r="U732" s="4"/>
      <c r="V732" s="4"/>
      <c r="W732" s="4"/>
      <c r="X732" s="4"/>
      <c r="Y732" s="4"/>
    </row>
    <row r="733" spans="1:25" x14ac:dyDescent="0.2">
      <c r="A733" s="41"/>
      <c r="B733" s="5"/>
      <c r="C733" s="4"/>
      <c r="D733" s="4"/>
      <c r="E733" s="4"/>
      <c r="F733" s="4"/>
      <c r="G733" s="4"/>
      <c r="H733" s="4"/>
      <c r="I733" s="4"/>
      <c r="J733" s="4"/>
      <c r="K733" s="4"/>
      <c r="L733" s="4"/>
      <c r="M733" s="4"/>
      <c r="N733" s="4"/>
      <c r="O733" s="4"/>
      <c r="P733" s="4"/>
      <c r="Q733" s="4"/>
      <c r="R733" s="4"/>
      <c r="S733" s="4"/>
      <c r="T733" s="4"/>
      <c r="U733" s="4"/>
      <c r="V733" s="4"/>
      <c r="W733" s="4"/>
      <c r="X733" s="4"/>
      <c r="Y733" s="4"/>
    </row>
    <row r="734" spans="1:25" x14ac:dyDescent="0.2">
      <c r="A734" s="41"/>
      <c r="B734" s="5"/>
      <c r="C734" s="4"/>
      <c r="D734" s="4"/>
      <c r="E734" s="4"/>
      <c r="F734" s="4"/>
      <c r="G734" s="4"/>
      <c r="H734" s="4"/>
      <c r="I734" s="4"/>
      <c r="J734" s="4"/>
      <c r="K734" s="4"/>
      <c r="L734" s="4"/>
      <c r="M734" s="4"/>
      <c r="N734" s="4"/>
      <c r="O734" s="4"/>
      <c r="P734" s="4"/>
      <c r="Q734" s="4"/>
      <c r="R734" s="4"/>
      <c r="S734" s="4"/>
      <c r="T734" s="4"/>
      <c r="U734" s="4"/>
      <c r="V734" s="4"/>
      <c r="W734" s="4"/>
      <c r="X734" s="4"/>
      <c r="Y734" s="4"/>
    </row>
    <row r="735" spans="1:25" x14ac:dyDescent="0.2">
      <c r="A735" s="41"/>
      <c r="B735" s="5"/>
      <c r="C735" s="4"/>
      <c r="D735" s="4"/>
      <c r="E735" s="4"/>
      <c r="F735" s="4"/>
      <c r="G735" s="4"/>
      <c r="H735" s="4"/>
      <c r="I735" s="4"/>
      <c r="J735" s="4"/>
      <c r="K735" s="4"/>
      <c r="L735" s="4"/>
      <c r="M735" s="4"/>
      <c r="N735" s="4"/>
      <c r="O735" s="4"/>
      <c r="P735" s="4"/>
      <c r="Q735" s="4"/>
      <c r="R735" s="4"/>
      <c r="S735" s="4"/>
      <c r="T735" s="4"/>
      <c r="U735" s="4"/>
      <c r="V735" s="4"/>
      <c r="W735" s="4"/>
      <c r="X735" s="4"/>
      <c r="Y735" s="4"/>
    </row>
    <row r="736" spans="1:25" x14ac:dyDescent="0.2">
      <c r="A736" s="41"/>
      <c r="B736" s="5"/>
      <c r="C736" s="4"/>
      <c r="D736" s="4"/>
      <c r="E736" s="4"/>
      <c r="F736" s="4"/>
      <c r="G736" s="4"/>
      <c r="H736" s="4"/>
      <c r="I736" s="4"/>
      <c r="J736" s="4"/>
      <c r="K736" s="4"/>
      <c r="L736" s="4"/>
      <c r="M736" s="4"/>
      <c r="N736" s="4"/>
      <c r="O736" s="4"/>
      <c r="P736" s="4"/>
      <c r="Q736" s="4"/>
      <c r="R736" s="4"/>
      <c r="S736" s="4"/>
      <c r="T736" s="4"/>
      <c r="U736" s="4"/>
      <c r="V736" s="4"/>
      <c r="W736" s="4"/>
      <c r="X736" s="4"/>
      <c r="Y736" s="4"/>
    </row>
    <row r="737" spans="1:25" x14ac:dyDescent="0.2">
      <c r="A737" s="41"/>
      <c r="B737" s="5"/>
      <c r="C737" s="4"/>
      <c r="D737" s="4"/>
      <c r="E737" s="4"/>
      <c r="F737" s="4"/>
      <c r="G737" s="4"/>
      <c r="H737" s="4"/>
      <c r="I737" s="4"/>
      <c r="J737" s="4"/>
      <c r="K737" s="4"/>
      <c r="L737" s="4"/>
      <c r="M737" s="4"/>
      <c r="N737" s="4"/>
      <c r="O737" s="4"/>
      <c r="P737" s="4"/>
      <c r="Q737" s="4"/>
      <c r="R737" s="4"/>
      <c r="S737" s="4"/>
      <c r="T737" s="4"/>
      <c r="U737" s="4"/>
      <c r="V737" s="4"/>
      <c r="W737" s="4"/>
      <c r="X737" s="4"/>
      <c r="Y737" s="4"/>
    </row>
    <row r="738" spans="1:25" x14ac:dyDescent="0.2">
      <c r="A738" s="41"/>
      <c r="B738" s="5"/>
      <c r="C738" s="4"/>
      <c r="D738" s="4"/>
      <c r="E738" s="4"/>
      <c r="F738" s="4"/>
      <c r="G738" s="4"/>
      <c r="H738" s="4"/>
      <c r="I738" s="4"/>
      <c r="J738" s="4"/>
      <c r="K738" s="4"/>
      <c r="L738" s="4"/>
      <c r="M738" s="4"/>
      <c r="N738" s="4"/>
      <c r="O738" s="4"/>
      <c r="P738" s="4"/>
      <c r="Q738" s="4"/>
      <c r="R738" s="4"/>
      <c r="S738" s="4"/>
      <c r="T738" s="4"/>
      <c r="U738" s="4"/>
      <c r="V738" s="4"/>
      <c r="W738" s="4"/>
      <c r="X738" s="4"/>
      <c r="Y738" s="4"/>
    </row>
    <row r="739" spans="1:25" x14ac:dyDescent="0.2">
      <c r="A739" s="41"/>
      <c r="B739" s="5"/>
      <c r="C739" s="4"/>
      <c r="D739" s="4"/>
      <c r="E739" s="4"/>
      <c r="F739" s="4"/>
      <c r="G739" s="4"/>
      <c r="H739" s="4"/>
      <c r="I739" s="4"/>
      <c r="J739" s="4"/>
      <c r="K739" s="4"/>
      <c r="L739" s="4"/>
      <c r="M739" s="4"/>
      <c r="N739" s="4"/>
      <c r="O739" s="4"/>
      <c r="P739" s="4"/>
      <c r="Q739" s="4"/>
      <c r="R739" s="4"/>
      <c r="S739" s="4"/>
      <c r="T739" s="4"/>
      <c r="U739" s="4"/>
      <c r="V739" s="4"/>
      <c r="W739" s="4"/>
      <c r="X739" s="4"/>
      <c r="Y739" s="4"/>
    </row>
    <row r="740" spans="1:25" x14ac:dyDescent="0.2">
      <c r="A740" s="41"/>
      <c r="B740" s="5"/>
      <c r="C740" s="4"/>
      <c r="D740" s="4"/>
      <c r="E740" s="4"/>
      <c r="F740" s="4"/>
      <c r="G740" s="4"/>
      <c r="H740" s="4"/>
      <c r="I740" s="4"/>
      <c r="J740" s="4"/>
      <c r="K740" s="4"/>
      <c r="L740" s="4"/>
      <c r="M740" s="4"/>
      <c r="N740" s="4"/>
      <c r="O740" s="4"/>
      <c r="P740" s="4"/>
      <c r="Q740" s="4"/>
      <c r="R740" s="4"/>
      <c r="S740" s="4"/>
      <c r="T740" s="4"/>
      <c r="U740" s="4"/>
      <c r="V740" s="4"/>
      <c r="W740" s="4"/>
      <c r="X740" s="4"/>
      <c r="Y740" s="4"/>
    </row>
    <row r="741" spans="1:25" x14ac:dyDescent="0.2">
      <c r="A741" s="41"/>
      <c r="B741" s="5"/>
      <c r="C741" s="4"/>
      <c r="D741" s="4"/>
      <c r="E741" s="4"/>
      <c r="F741" s="4"/>
      <c r="G741" s="4"/>
      <c r="H741" s="4"/>
      <c r="I741" s="4"/>
      <c r="J741" s="4"/>
      <c r="K741" s="4"/>
      <c r="L741" s="4"/>
      <c r="M741" s="4"/>
      <c r="N741" s="4"/>
      <c r="O741" s="4"/>
      <c r="P741" s="4"/>
      <c r="Q741" s="4"/>
      <c r="R741" s="4"/>
      <c r="S741" s="4"/>
      <c r="T741" s="4"/>
      <c r="U741" s="4"/>
      <c r="V741" s="4"/>
      <c r="W741" s="4"/>
      <c r="X741" s="4"/>
      <c r="Y741" s="4"/>
    </row>
    <row r="742" spans="1:25" x14ac:dyDescent="0.2">
      <c r="A742" s="41"/>
      <c r="B742" s="5"/>
      <c r="C742" s="4"/>
      <c r="D742" s="4"/>
      <c r="E742" s="4"/>
      <c r="F742" s="4"/>
      <c r="G742" s="4"/>
      <c r="H742" s="4"/>
      <c r="I742" s="4"/>
      <c r="J742" s="4"/>
      <c r="K742" s="4"/>
      <c r="L742" s="4"/>
      <c r="M742" s="4"/>
      <c r="N742" s="4"/>
      <c r="O742" s="4"/>
      <c r="P742" s="4"/>
      <c r="Q742" s="4"/>
      <c r="R742" s="4"/>
      <c r="S742" s="4"/>
      <c r="T742" s="4"/>
      <c r="U742" s="4"/>
      <c r="V742" s="4"/>
      <c r="W742" s="4"/>
      <c r="X742" s="4"/>
      <c r="Y742" s="4"/>
    </row>
    <row r="743" spans="1:25" x14ac:dyDescent="0.2">
      <c r="A743" s="41"/>
      <c r="B743" s="5"/>
      <c r="C743" s="4"/>
      <c r="D743" s="4"/>
      <c r="E743" s="4"/>
      <c r="F743" s="4"/>
      <c r="G743" s="4"/>
      <c r="H743" s="4"/>
      <c r="I743" s="4"/>
      <c r="J743" s="4"/>
      <c r="K743" s="4"/>
      <c r="L743" s="4"/>
      <c r="M743" s="4"/>
      <c r="N743" s="4"/>
      <c r="O743" s="4"/>
      <c r="P743" s="4"/>
      <c r="Q743" s="4"/>
      <c r="R743" s="4"/>
      <c r="S743" s="4"/>
      <c r="T743" s="4"/>
      <c r="U743" s="4"/>
      <c r="V743" s="4"/>
      <c r="W743" s="4"/>
      <c r="X743" s="4"/>
      <c r="Y743" s="4"/>
    </row>
    <row r="744" spans="1:25" x14ac:dyDescent="0.2">
      <c r="A744" s="41"/>
      <c r="B744" s="5"/>
      <c r="C744" s="4"/>
      <c r="D744" s="4"/>
      <c r="E744" s="4"/>
      <c r="F744" s="4"/>
      <c r="G744" s="4"/>
      <c r="H744" s="4"/>
      <c r="I744" s="4"/>
      <c r="J744" s="4"/>
      <c r="K744" s="4"/>
      <c r="L744" s="4"/>
      <c r="M744" s="4"/>
      <c r="N744" s="4"/>
      <c r="O744" s="4"/>
      <c r="P744" s="4"/>
      <c r="Q744" s="4"/>
      <c r="R744" s="4"/>
      <c r="S744" s="4"/>
      <c r="T744" s="4"/>
      <c r="U744" s="4"/>
      <c r="V744" s="4"/>
      <c r="W744" s="4"/>
      <c r="X744" s="4"/>
      <c r="Y744" s="4"/>
    </row>
    <row r="745" spans="1:25" x14ac:dyDescent="0.2">
      <c r="A745" s="41"/>
      <c r="B745" s="5"/>
      <c r="C745" s="4"/>
      <c r="D745" s="4"/>
      <c r="E745" s="4"/>
      <c r="F745" s="4"/>
      <c r="G745" s="4"/>
      <c r="H745" s="4"/>
      <c r="I745" s="4"/>
      <c r="J745" s="4"/>
      <c r="K745" s="4"/>
      <c r="L745" s="4"/>
      <c r="M745" s="4"/>
      <c r="N745" s="4"/>
      <c r="O745" s="4"/>
      <c r="P745" s="4"/>
      <c r="Q745" s="4"/>
      <c r="R745" s="4"/>
      <c r="S745" s="4"/>
      <c r="T745" s="4"/>
      <c r="U745" s="4"/>
      <c r="V745" s="4"/>
      <c r="W745" s="4"/>
      <c r="X745" s="4"/>
      <c r="Y745" s="4"/>
    </row>
    <row r="746" spans="1:25" x14ac:dyDescent="0.2">
      <c r="A746" s="41"/>
      <c r="B746" s="5"/>
      <c r="C746" s="4"/>
      <c r="D746" s="4"/>
      <c r="E746" s="4"/>
      <c r="F746" s="4"/>
      <c r="G746" s="4"/>
      <c r="H746" s="4"/>
      <c r="I746" s="4"/>
      <c r="J746" s="4"/>
      <c r="K746" s="4"/>
      <c r="L746" s="4"/>
      <c r="M746" s="4"/>
      <c r="N746" s="4"/>
      <c r="O746" s="4"/>
      <c r="P746" s="4"/>
      <c r="Q746" s="4"/>
      <c r="R746" s="4"/>
      <c r="S746" s="4"/>
      <c r="T746" s="4"/>
      <c r="U746" s="4"/>
      <c r="V746" s="4"/>
      <c r="W746" s="4"/>
      <c r="X746" s="4"/>
      <c r="Y746" s="4"/>
    </row>
    <row r="747" spans="1:25" x14ac:dyDescent="0.2">
      <c r="A747" s="41"/>
      <c r="B747" s="5"/>
      <c r="C747" s="4"/>
      <c r="D747" s="4"/>
      <c r="E747" s="4"/>
      <c r="F747" s="4"/>
      <c r="G747" s="4"/>
      <c r="H747" s="4"/>
      <c r="I747" s="4"/>
      <c r="J747" s="4"/>
      <c r="K747" s="4"/>
      <c r="L747" s="4"/>
      <c r="M747" s="4"/>
      <c r="N747" s="4"/>
      <c r="O747" s="4"/>
      <c r="P747" s="4"/>
      <c r="Q747" s="4"/>
      <c r="R747" s="4"/>
      <c r="S747" s="4"/>
      <c r="T747" s="4"/>
      <c r="U747" s="4"/>
      <c r="V747" s="4"/>
      <c r="W747" s="4"/>
      <c r="X747" s="4"/>
      <c r="Y747" s="4"/>
    </row>
    <row r="748" spans="1:25" x14ac:dyDescent="0.2">
      <c r="A748" s="41"/>
      <c r="B748" s="5"/>
      <c r="C748" s="4"/>
      <c r="D748" s="4"/>
      <c r="E748" s="4"/>
      <c r="F748" s="4"/>
      <c r="G748" s="4"/>
      <c r="H748" s="4"/>
      <c r="I748" s="4"/>
      <c r="J748" s="4"/>
      <c r="K748" s="4"/>
      <c r="L748" s="4"/>
      <c r="M748" s="4"/>
      <c r="N748" s="4"/>
      <c r="O748" s="4"/>
      <c r="P748" s="4"/>
      <c r="Q748" s="4"/>
      <c r="R748" s="4"/>
      <c r="S748" s="4"/>
      <c r="T748" s="4"/>
      <c r="U748" s="4"/>
      <c r="V748" s="4"/>
      <c r="W748" s="4"/>
      <c r="X748" s="4"/>
      <c r="Y748" s="4"/>
    </row>
    <row r="749" spans="1:25" x14ac:dyDescent="0.2">
      <c r="A749" s="41"/>
      <c r="B749" s="5"/>
      <c r="C749" s="4"/>
      <c r="D749" s="4"/>
      <c r="E749" s="4"/>
      <c r="F749" s="4"/>
      <c r="G749" s="4"/>
      <c r="H749" s="4"/>
      <c r="I749" s="4"/>
      <c r="J749" s="4"/>
      <c r="K749" s="4"/>
      <c r="L749" s="4"/>
      <c r="M749" s="4"/>
      <c r="N749" s="4"/>
      <c r="O749" s="4"/>
      <c r="P749" s="4"/>
      <c r="Q749" s="4"/>
      <c r="R749" s="4"/>
      <c r="S749" s="4"/>
      <c r="T749" s="4"/>
      <c r="U749" s="4"/>
      <c r="V749" s="4"/>
      <c r="W749" s="4"/>
      <c r="X749" s="4"/>
      <c r="Y749" s="4"/>
    </row>
    <row r="750" spans="1:25" x14ac:dyDescent="0.2">
      <c r="A750" s="41"/>
      <c r="B750" s="5"/>
      <c r="C750" s="4"/>
      <c r="D750" s="4"/>
      <c r="E750" s="4"/>
      <c r="F750" s="4"/>
      <c r="G750" s="4"/>
      <c r="H750" s="4"/>
      <c r="I750" s="4"/>
      <c r="J750" s="4"/>
      <c r="K750" s="4"/>
      <c r="L750" s="4"/>
      <c r="M750" s="4"/>
      <c r="N750" s="4"/>
      <c r="O750" s="4"/>
      <c r="P750" s="4"/>
      <c r="Q750" s="4"/>
      <c r="R750" s="4"/>
      <c r="S750" s="4"/>
      <c r="T750" s="4"/>
      <c r="U750" s="4"/>
      <c r="V750" s="4"/>
      <c r="W750" s="4"/>
      <c r="X750" s="4"/>
      <c r="Y750" s="4"/>
    </row>
    <row r="751" spans="1:25" x14ac:dyDescent="0.2">
      <c r="A751" s="41"/>
      <c r="B751" s="5"/>
      <c r="C751" s="4"/>
      <c r="D751" s="4"/>
      <c r="E751" s="4"/>
      <c r="F751" s="4"/>
      <c r="G751" s="4"/>
      <c r="H751" s="4"/>
      <c r="I751" s="4"/>
      <c r="J751" s="4"/>
      <c r="K751" s="4"/>
      <c r="L751" s="4"/>
      <c r="M751" s="4"/>
      <c r="N751" s="4"/>
      <c r="O751" s="4"/>
      <c r="P751" s="4"/>
      <c r="Q751" s="4"/>
      <c r="R751" s="4"/>
      <c r="S751" s="4"/>
      <c r="T751" s="4"/>
      <c r="U751" s="4"/>
      <c r="V751" s="4"/>
      <c r="W751" s="4"/>
      <c r="X751" s="4"/>
      <c r="Y751" s="4"/>
    </row>
    <row r="752" spans="1:25" x14ac:dyDescent="0.2">
      <c r="A752" s="41"/>
      <c r="B752" s="5"/>
      <c r="C752" s="4"/>
      <c r="D752" s="4"/>
      <c r="E752" s="4"/>
      <c r="F752" s="4"/>
      <c r="G752" s="4"/>
      <c r="H752" s="4"/>
      <c r="I752" s="4"/>
      <c r="J752" s="4"/>
      <c r="K752" s="4"/>
      <c r="L752" s="4"/>
      <c r="M752" s="4"/>
      <c r="N752" s="4"/>
      <c r="O752" s="4"/>
      <c r="P752" s="4"/>
      <c r="Q752" s="4"/>
      <c r="R752" s="4"/>
      <c r="S752" s="4"/>
      <c r="T752" s="4"/>
      <c r="U752" s="4"/>
      <c r="V752" s="4"/>
      <c r="W752" s="4"/>
      <c r="X752" s="4"/>
      <c r="Y752" s="4"/>
    </row>
    <row r="753" spans="1:25" x14ac:dyDescent="0.2">
      <c r="A753" s="41"/>
      <c r="B753" s="5"/>
      <c r="C753" s="4"/>
      <c r="D753" s="4"/>
      <c r="E753" s="4"/>
      <c r="F753" s="4"/>
      <c r="G753" s="4"/>
      <c r="H753" s="4"/>
      <c r="I753" s="4"/>
      <c r="J753" s="4"/>
      <c r="K753" s="4"/>
      <c r="L753" s="4"/>
      <c r="M753" s="4"/>
      <c r="N753" s="4"/>
      <c r="O753" s="4"/>
      <c r="P753" s="4"/>
      <c r="Q753" s="4"/>
      <c r="R753" s="4"/>
      <c r="S753" s="4"/>
      <c r="T753" s="4"/>
      <c r="U753" s="4"/>
      <c r="V753" s="4"/>
      <c r="W753" s="4"/>
      <c r="X753" s="4"/>
      <c r="Y753" s="4"/>
    </row>
    <row r="754" spans="1:25" x14ac:dyDescent="0.2">
      <c r="A754" s="41"/>
      <c r="B754" s="5"/>
      <c r="C754" s="4"/>
      <c r="D754" s="4"/>
      <c r="E754" s="4"/>
      <c r="F754" s="4"/>
      <c r="G754" s="4"/>
      <c r="H754" s="4"/>
      <c r="I754" s="4"/>
      <c r="J754" s="4"/>
      <c r="K754" s="4"/>
      <c r="L754" s="4"/>
      <c r="M754" s="4"/>
      <c r="N754" s="4"/>
      <c r="O754" s="4"/>
      <c r="P754" s="4"/>
      <c r="Q754" s="4"/>
      <c r="R754" s="4"/>
      <c r="S754" s="4"/>
      <c r="T754" s="4"/>
      <c r="U754" s="4"/>
      <c r="V754" s="4"/>
      <c r="W754" s="4"/>
      <c r="X754" s="4"/>
      <c r="Y754" s="4"/>
    </row>
    <row r="755" spans="1:25" x14ac:dyDescent="0.2">
      <c r="A755" s="41"/>
      <c r="B755" s="5"/>
      <c r="C755" s="4"/>
      <c r="D755" s="4"/>
      <c r="E755" s="4"/>
      <c r="F755" s="4"/>
      <c r="G755" s="4"/>
      <c r="H755" s="4"/>
      <c r="I755" s="4"/>
      <c r="J755" s="4"/>
      <c r="K755" s="4"/>
      <c r="L755" s="4"/>
      <c r="M755" s="4"/>
      <c r="N755" s="4"/>
      <c r="O755" s="4"/>
      <c r="P755" s="4"/>
      <c r="Q755" s="4"/>
      <c r="R755" s="4"/>
      <c r="S755" s="4"/>
      <c r="T755" s="4"/>
      <c r="U755" s="4"/>
      <c r="V755" s="4"/>
      <c r="W755" s="4"/>
      <c r="X755" s="4"/>
      <c r="Y755" s="4"/>
    </row>
    <row r="756" spans="1:25" x14ac:dyDescent="0.2">
      <c r="A756" s="41"/>
      <c r="B756" s="5"/>
      <c r="C756" s="4"/>
      <c r="D756" s="4"/>
      <c r="E756" s="4"/>
      <c r="F756" s="4"/>
      <c r="G756" s="4"/>
      <c r="H756" s="4"/>
      <c r="I756" s="4"/>
      <c r="J756" s="4"/>
      <c r="K756" s="4"/>
      <c r="L756" s="4"/>
      <c r="M756" s="4"/>
      <c r="N756" s="4"/>
      <c r="O756" s="4"/>
      <c r="P756" s="4"/>
      <c r="Q756" s="4"/>
      <c r="R756" s="4"/>
      <c r="S756" s="4"/>
      <c r="T756" s="4"/>
      <c r="U756" s="4"/>
      <c r="V756" s="4"/>
      <c r="W756" s="4"/>
      <c r="X756" s="4"/>
      <c r="Y756" s="4"/>
    </row>
    <row r="757" spans="1:25" x14ac:dyDescent="0.2">
      <c r="A757" s="41"/>
      <c r="B757" s="5"/>
      <c r="C757" s="4"/>
      <c r="D757" s="4"/>
      <c r="E757" s="4"/>
      <c r="F757" s="4"/>
      <c r="G757" s="4"/>
      <c r="H757" s="4"/>
      <c r="I757" s="4"/>
      <c r="J757" s="4"/>
      <c r="K757" s="4"/>
      <c r="L757" s="4"/>
      <c r="M757" s="4"/>
      <c r="N757" s="4"/>
      <c r="O757" s="4"/>
      <c r="P757" s="4"/>
      <c r="Q757" s="4"/>
      <c r="R757" s="4"/>
      <c r="S757" s="4"/>
      <c r="T757" s="4"/>
      <c r="U757" s="4"/>
      <c r="V757" s="4"/>
      <c r="W757" s="4"/>
      <c r="X757" s="4"/>
      <c r="Y757" s="4"/>
    </row>
    <row r="758" spans="1:25" x14ac:dyDescent="0.2">
      <c r="A758" s="41"/>
      <c r="B758" s="5"/>
      <c r="C758" s="4"/>
      <c r="D758" s="4"/>
      <c r="E758" s="4"/>
      <c r="F758" s="4"/>
      <c r="G758" s="4"/>
      <c r="H758" s="4"/>
      <c r="I758" s="4"/>
      <c r="J758" s="4"/>
      <c r="K758" s="4"/>
      <c r="L758" s="4"/>
      <c r="M758" s="4"/>
      <c r="N758" s="4"/>
      <c r="O758" s="4"/>
      <c r="P758" s="4"/>
      <c r="Q758" s="4"/>
      <c r="R758" s="4"/>
      <c r="S758" s="4"/>
      <c r="T758" s="4"/>
      <c r="U758" s="4"/>
      <c r="V758" s="4"/>
      <c r="W758" s="4"/>
      <c r="X758" s="4"/>
      <c r="Y758" s="4"/>
    </row>
    <row r="759" spans="1:25" x14ac:dyDescent="0.2">
      <c r="A759" s="41"/>
      <c r="B759" s="5"/>
      <c r="C759" s="4"/>
      <c r="D759" s="4"/>
      <c r="E759" s="4"/>
      <c r="F759" s="4"/>
      <c r="G759" s="4"/>
      <c r="H759" s="4"/>
      <c r="I759" s="4"/>
      <c r="J759" s="4"/>
      <c r="K759" s="4"/>
      <c r="L759" s="4"/>
      <c r="M759" s="4"/>
      <c r="N759" s="4"/>
      <c r="O759" s="4"/>
      <c r="P759" s="4"/>
      <c r="Q759" s="4"/>
      <c r="R759" s="4"/>
      <c r="S759" s="4"/>
      <c r="T759" s="4"/>
      <c r="U759" s="4"/>
      <c r="V759" s="4"/>
      <c r="W759" s="4"/>
      <c r="X759" s="4"/>
      <c r="Y759" s="4"/>
    </row>
    <row r="760" spans="1:25" x14ac:dyDescent="0.2">
      <c r="A760" s="41"/>
      <c r="B760" s="5"/>
      <c r="C760" s="4"/>
      <c r="D760" s="4"/>
      <c r="E760" s="4"/>
      <c r="F760" s="4"/>
      <c r="G760" s="4"/>
      <c r="H760" s="4"/>
      <c r="I760" s="4"/>
      <c r="J760" s="4"/>
      <c r="K760" s="4"/>
      <c r="L760" s="4"/>
      <c r="M760" s="4"/>
      <c r="N760" s="4"/>
      <c r="O760" s="4"/>
      <c r="P760" s="4"/>
      <c r="Q760" s="4"/>
      <c r="R760" s="4"/>
      <c r="S760" s="4"/>
      <c r="T760" s="4"/>
      <c r="U760" s="4"/>
      <c r="V760" s="4"/>
      <c r="W760" s="4"/>
      <c r="X760" s="4"/>
      <c r="Y760" s="4"/>
    </row>
    <row r="761" spans="1:25" x14ac:dyDescent="0.2">
      <c r="A761" s="41"/>
      <c r="B761" s="5"/>
      <c r="C761" s="4"/>
      <c r="D761" s="4"/>
      <c r="E761" s="4"/>
      <c r="F761" s="4"/>
      <c r="G761" s="4"/>
      <c r="H761" s="4"/>
      <c r="I761" s="4"/>
      <c r="J761" s="4"/>
      <c r="K761" s="4"/>
      <c r="L761" s="4"/>
      <c r="M761" s="4"/>
      <c r="N761" s="4"/>
      <c r="O761" s="4"/>
      <c r="P761" s="4"/>
      <c r="Q761" s="4"/>
      <c r="R761" s="4"/>
      <c r="S761" s="4"/>
      <c r="T761" s="4"/>
      <c r="U761" s="4"/>
      <c r="V761" s="4"/>
      <c r="W761" s="4"/>
      <c r="X761" s="4"/>
      <c r="Y761" s="4"/>
    </row>
    <row r="762" spans="1:25" x14ac:dyDescent="0.2">
      <c r="A762" s="41"/>
      <c r="B762" s="5"/>
      <c r="C762" s="4"/>
      <c r="D762" s="4"/>
      <c r="E762" s="4"/>
      <c r="F762" s="4"/>
      <c r="G762" s="4"/>
      <c r="H762" s="4"/>
      <c r="I762" s="4"/>
      <c r="J762" s="4"/>
      <c r="K762" s="4"/>
      <c r="L762" s="4"/>
      <c r="M762" s="4"/>
      <c r="N762" s="4"/>
      <c r="O762" s="4"/>
      <c r="P762" s="4"/>
      <c r="Q762" s="4"/>
      <c r="R762" s="4"/>
      <c r="S762" s="4"/>
      <c r="T762" s="4"/>
      <c r="U762" s="4"/>
      <c r="V762" s="4"/>
      <c r="W762" s="4"/>
      <c r="X762" s="4"/>
      <c r="Y762" s="4"/>
    </row>
    <row r="763" spans="1:25" x14ac:dyDescent="0.2">
      <c r="A763" s="41"/>
      <c r="B763" s="5"/>
      <c r="C763" s="4"/>
      <c r="D763" s="4"/>
      <c r="E763" s="4"/>
      <c r="F763" s="4"/>
      <c r="G763" s="4"/>
      <c r="H763" s="4"/>
      <c r="I763" s="4"/>
      <c r="J763" s="4"/>
      <c r="K763" s="4"/>
      <c r="L763" s="4"/>
      <c r="M763" s="4"/>
      <c r="N763" s="4"/>
      <c r="O763" s="4"/>
      <c r="P763" s="4"/>
      <c r="Q763" s="4"/>
      <c r="R763" s="4"/>
      <c r="S763" s="4"/>
      <c r="T763" s="4"/>
      <c r="U763" s="4"/>
      <c r="V763" s="4"/>
      <c r="W763" s="4"/>
      <c r="X763" s="4"/>
      <c r="Y763" s="4"/>
    </row>
    <row r="764" spans="1:25" x14ac:dyDescent="0.2">
      <c r="A764" s="41"/>
      <c r="B764" s="5"/>
      <c r="C764" s="4"/>
      <c r="D764" s="4"/>
      <c r="E764" s="4"/>
      <c r="F764" s="4"/>
      <c r="G764" s="4"/>
      <c r="H764" s="4"/>
      <c r="I764" s="4"/>
      <c r="J764" s="4"/>
      <c r="K764" s="4"/>
      <c r="L764" s="4"/>
      <c r="M764" s="4"/>
      <c r="N764" s="4"/>
      <c r="O764" s="4"/>
      <c r="P764" s="4"/>
      <c r="Q764" s="4"/>
      <c r="R764" s="4"/>
      <c r="S764" s="4"/>
      <c r="T764" s="4"/>
      <c r="U764" s="4"/>
      <c r="V764" s="4"/>
      <c r="W764" s="4"/>
      <c r="X764" s="4"/>
      <c r="Y764" s="4"/>
    </row>
    <row r="765" spans="1:25" x14ac:dyDescent="0.2">
      <c r="A765" s="41"/>
      <c r="B765" s="5"/>
      <c r="C765" s="4"/>
      <c r="D765" s="4"/>
      <c r="E765" s="4"/>
      <c r="F765" s="4"/>
      <c r="G765" s="4"/>
      <c r="H765" s="4"/>
      <c r="I765" s="4"/>
      <c r="J765" s="4"/>
      <c r="K765" s="4"/>
      <c r="L765" s="4"/>
      <c r="M765" s="4"/>
      <c r="N765" s="4"/>
      <c r="O765" s="4"/>
      <c r="P765" s="4"/>
      <c r="Q765" s="4"/>
      <c r="R765" s="4"/>
      <c r="S765" s="4"/>
      <c r="T765" s="4"/>
      <c r="U765" s="4"/>
      <c r="V765" s="4"/>
      <c r="W765" s="4"/>
      <c r="X765" s="4"/>
      <c r="Y765" s="4"/>
    </row>
    <row r="766" spans="1:25" x14ac:dyDescent="0.2">
      <c r="A766" s="41"/>
      <c r="B766" s="5"/>
      <c r="C766" s="4"/>
      <c r="D766" s="4"/>
      <c r="E766" s="4"/>
      <c r="F766" s="4"/>
      <c r="G766" s="4"/>
      <c r="H766" s="4"/>
      <c r="I766" s="4"/>
      <c r="J766" s="4"/>
      <c r="K766" s="4"/>
      <c r="L766" s="4"/>
      <c r="M766" s="4"/>
      <c r="N766" s="4"/>
      <c r="O766" s="4"/>
      <c r="P766" s="4"/>
      <c r="Q766" s="4"/>
      <c r="R766" s="4"/>
      <c r="S766" s="4"/>
      <c r="T766" s="4"/>
      <c r="U766" s="4"/>
      <c r="V766" s="4"/>
      <c r="W766" s="4"/>
      <c r="X766" s="4"/>
      <c r="Y766" s="4"/>
    </row>
    <row r="767" spans="1:25" x14ac:dyDescent="0.2">
      <c r="A767" s="41"/>
      <c r="B767" s="5"/>
      <c r="C767" s="4"/>
      <c r="D767" s="4"/>
      <c r="E767" s="4"/>
      <c r="F767" s="4"/>
      <c r="G767" s="4"/>
      <c r="H767" s="4"/>
      <c r="I767" s="4"/>
      <c r="J767" s="4"/>
      <c r="K767" s="4"/>
      <c r="L767" s="4"/>
      <c r="M767" s="4"/>
      <c r="N767" s="4"/>
      <c r="O767" s="4"/>
      <c r="P767" s="4"/>
      <c r="Q767" s="4"/>
      <c r="R767" s="4"/>
      <c r="S767" s="4"/>
      <c r="T767" s="4"/>
      <c r="U767" s="4"/>
      <c r="V767" s="4"/>
      <c r="W767" s="4"/>
      <c r="X767" s="4"/>
      <c r="Y767" s="4"/>
    </row>
    <row r="768" spans="1:25" x14ac:dyDescent="0.2">
      <c r="A768" s="41"/>
      <c r="B768" s="5"/>
      <c r="C768" s="4"/>
      <c r="D768" s="4"/>
      <c r="E768" s="4"/>
      <c r="F768" s="4"/>
      <c r="G768" s="4"/>
      <c r="H768" s="4"/>
      <c r="I768" s="4"/>
      <c r="J768" s="4"/>
      <c r="K768" s="4"/>
      <c r="L768" s="4"/>
      <c r="M768" s="4"/>
      <c r="N768" s="4"/>
      <c r="O768" s="4"/>
      <c r="P768" s="4"/>
      <c r="Q768" s="4"/>
      <c r="R768" s="4"/>
      <c r="S768" s="4"/>
      <c r="T768" s="4"/>
      <c r="U768" s="4"/>
      <c r="V768" s="4"/>
      <c r="W768" s="4"/>
      <c r="X768" s="4"/>
      <c r="Y768" s="4"/>
    </row>
    <row r="769" spans="1:25" x14ac:dyDescent="0.2">
      <c r="A769" s="41"/>
      <c r="B769" s="5"/>
      <c r="C769" s="4"/>
      <c r="D769" s="4"/>
      <c r="E769" s="4"/>
      <c r="F769" s="4"/>
      <c r="G769" s="4"/>
      <c r="H769" s="4"/>
      <c r="I769" s="4"/>
      <c r="J769" s="4"/>
      <c r="K769" s="4"/>
      <c r="L769" s="4"/>
      <c r="M769" s="4"/>
      <c r="N769" s="4"/>
      <c r="O769" s="4"/>
      <c r="P769" s="4"/>
      <c r="Q769" s="4"/>
      <c r="R769" s="4"/>
      <c r="S769" s="4"/>
      <c r="T769" s="4"/>
      <c r="U769" s="4"/>
      <c r="V769" s="4"/>
      <c r="W769" s="4"/>
      <c r="X769" s="4"/>
      <c r="Y769" s="4"/>
    </row>
    <row r="770" spans="1:25" x14ac:dyDescent="0.2">
      <c r="A770" s="41"/>
      <c r="B770" s="5"/>
      <c r="C770" s="4"/>
      <c r="D770" s="4"/>
      <c r="E770" s="4"/>
      <c r="F770" s="4"/>
      <c r="G770" s="4"/>
      <c r="H770" s="4"/>
      <c r="I770" s="4"/>
      <c r="J770" s="4"/>
      <c r="K770" s="4"/>
      <c r="L770" s="4"/>
      <c r="M770" s="4"/>
      <c r="N770" s="4"/>
      <c r="O770" s="4"/>
      <c r="P770" s="4"/>
      <c r="Q770" s="4"/>
      <c r="R770" s="4"/>
      <c r="S770" s="4"/>
      <c r="T770" s="4"/>
      <c r="U770" s="4"/>
      <c r="V770" s="4"/>
      <c r="W770" s="4"/>
      <c r="X770" s="4"/>
      <c r="Y770" s="4"/>
    </row>
    <row r="771" spans="1:25" x14ac:dyDescent="0.2">
      <c r="A771" s="41"/>
      <c r="B771" s="5"/>
      <c r="C771" s="4"/>
      <c r="D771" s="4"/>
      <c r="E771" s="4"/>
      <c r="F771" s="4"/>
      <c r="G771" s="4"/>
      <c r="H771" s="4"/>
      <c r="I771" s="4"/>
      <c r="J771" s="4"/>
      <c r="K771" s="4"/>
      <c r="L771" s="4"/>
      <c r="M771" s="4"/>
      <c r="N771" s="4"/>
      <c r="O771" s="4"/>
      <c r="P771" s="4"/>
      <c r="Q771" s="4"/>
      <c r="R771" s="4"/>
      <c r="S771" s="4"/>
      <c r="T771" s="4"/>
      <c r="U771" s="4"/>
      <c r="V771" s="4"/>
      <c r="W771" s="4"/>
      <c r="X771" s="4"/>
      <c r="Y771" s="4"/>
    </row>
    <row r="772" spans="1:25" x14ac:dyDescent="0.2">
      <c r="A772" s="41"/>
      <c r="B772" s="5"/>
      <c r="C772" s="4"/>
      <c r="D772" s="4"/>
      <c r="E772" s="4"/>
      <c r="F772" s="4"/>
      <c r="G772" s="4"/>
      <c r="H772" s="4"/>
      <c r="I772" s="4"/>
      <c r="J772" s="4"/>
      <c r="K772" s="4"/>
      <c r="L772" s="4"/>
      <c r="M772" s="4"/>
      <c r="N772" s="4"/>
      <c r="O772" s="4"/>
      <c r="P772" s="4"/>
      <c r="Q772" s="4"/>
      <c r="R772" s="4"/>
      <c r="S772" s="4"/>
      <c r="T772" s="4"/>
      <c r="U772" s="4"/>
      <c r="V772" s="4"/>
      <c r="W772" s="4"/>
      <c r="X772" s="4"/>
      <c r="Y772" s="4"/>
    </row>
    <row r="773" spans="1:25" x14ac:dyDescent="0.2">
      <c r="A773" s="41"/>
      <c r="B773" s="5"/>
      <c r="C773" s="4"/>
      <c r="D773" s="4"/>
      <c r="E773" s="4"/>
      <c r="F773" s="4"/>
      <c r="G773" s="4"/>
      <c r="H773" s="4"/>
      <c r="I773" s="4"/>
      <c r="J773" s="4"/>
      <c r="K773" s="4"/>
      <c r="L773" s="4"/>
      <c r="M773" s="4"/>
      <c r="N773" s="4"/>
      <c r="O773" s="4"/>
      <c r="P773" s="4"/>
      <c r="Q773" s="4"/>
      <c r="R773" s="4"/>
      <c r="S773" s="4"/>
      <c r="T773" s="4"/>
      <c r="U773" s="4"/>
      <c r="V773" s="4"/>
      <c r="W773" s="4"/>
      <c r="X773" s="4"/>
      <c r="Y773" s="4"/>
    </row>
    <row r="774" spans="1:25" x14ac:dyDescent="0.2">
      <c r="A774" s="41"/>
      <c r="B774" s="5"/>
      <c r="C774" s="4"/>
      <c r="D774" s="4"/>
      <c r="E774" s="4"/>
      <c r="F774" s="4"/>
      <c r="G774" s="4"/>
      <c r="H774" s="4"/>
      <c r="I774" s="4"/>
      <c r="J774" s="4"/>
      <c r="K774" s="4"/>
      <c r="L774" s="4"/>
      <c r="M774" s="4"/>
      <c r="N774" s="4"/>
      <c r="O774" s="4"/>
      <c r="P774" s="4"/>
      <c r="Q774" s="4"/>
      <c r="R774" s="4"/>
      <c r="S774" s="4"/>
      <c r="T774" s="4"/>
      <c r="U774" s="4"/>
      <c r="V774" s="4"/>
      <c r="W774" s="4"/>
      <c r="X774" s="4"/>
      <c r="Y774" s="4"/>
    </row>
    <row r="775" spans="1:25" x14ac:dyDescent="0.2">
      <c r="A775" s="41"/>
      <c r="B775" s="5"/>
      <c r="C775" s="4"/>
      <c r="D775" s="4"/>
      <c r="E775" s="4"/>
      <c r="F775" s="4"/>
      <c r="G775" s="4"/>
      <c r="H775" s="4"/>
      <c r="I775" s="4"/>
      <c r="J775" s="4"/>
      <c r="K775" s="4"/>
      <c r="L775" s="4"/>
      <c r="M775" s="4"/>
      <c r="N775" s="4"/>
      <c r="O775" s="4"/>
      <c r="P775" s="4"/>
      <c r="Q775" s="4"/>
      <c r="R775" s="4"/>
      <c r="S775" s="4"/>
      <c r="T775" s="4"/>
      <c r="U775" s="4"/>
      <c r="V775" s="4"/>
      <c r="W775" s="4"/>
      <c r="X775" s="4"/>
      <c r="Y775" s="4"/>
    </row>
    <row r="776" spans="1:25" x14ac:dyDescent="0.2">
      <c r="A776" s="41"/>
      <c r="B776" s="5"/>
      <c r="C776" s="4"/>
      <c r="D776" s="4"/>
      <c r="E776" s="4"/>
      <c r="F776" s="4"/>
      <c r="G776" s="4"/>
      <c r="H776" s="4"/>
      <c r="I776" s="4"/>
      <c r="J776" s="4"/>
      <c r="K776" s="4"/>
      <c r="L776" s="4"/>
      <c r="M776" s="4"/>
      <c r="N776" s="4"/>
      <c r="O776" s="4"/>
      <c r="P776" s="4"/>
      <c r="Q776" s="4"/>
      <c r="R776" s="4"/>
      <c r="S776" s="4"/>
      <c r="T776" s="4"/>
      <c r="U776" s="4"/>
      <c r="V776" s="4"/>
      <c r="W776" s="4"/>
      <c r="X776" s="4"/>
      <c r="Y776" s="4"/>
    </row>
    <row r="777" spans="1:25" x14ac:dyDescent="0.2">
      <c r="A777" s="41"/>
      <c r="B777" s="5"/>
      <c r="C777" s="4"/>
      <c r="D777" s="4"/>
      <c r="E777" s="4"/>
      <c r="F777" s="4"/>
      <c r="G777" s="4"/>
      <c r="H777" s="4"/>
      <c r="I777" s="4"/>
      <c r="J777" s="4"/>
      <c r="K777" s="4"/>
      <c r="L777" s="4"/>
      <c r="M777" s="4"/>
      <c r="N777" s="4"/>
      <c r="O777" s="4"/>
      <c r="P777" s="4"/>
      <c r="Q777" s="4"/>
      <c r="R777" s="4"/>
      <c r="S777" s="4"/>
      <c r="T777" s="4"/>
      <c r="U777" s="4"/>
      <c r="V777" s="4"/>
      <c r="W777" s="4"/>
      <c r="X777" s="4"/>
      <c r="Y777" s="4"/>
    </row>
    <row r="778" spans="1:25" x14ac:dyDescent="0.2">
      <c r="A778" s="41"/>
      <c r="B778" s="5"/>
      <c r="C778" s="4"/>
      <c r="D778" s="4"/>
      <c r="E778" s="4"/>
      <c r="F778" s="4"/>
      <c r="G778" s="4"/>
      <c r="H778" s="4"/>
      <c r="I778" s="4"/>
      <c r="J778" s="4"/>
      <c r="K778" s="4"/>
      <c r="L778" s="4"/>
      <c r="M778" s="4"/>
      <c r="N778" s="4"/>
      <c r="O778" s="4"/>
      <c r="P778" s="4"/>
      <c r="Q778" s="4"/>
      <c r="R778" s="4"/>
      <c r="S778" s="4"/>
      <c r="T778" s="4"/>
      <c r="U778" s="4"/>
      <c r="V778" s="4"/>
      <c r="W778" s="4"/>
      <c r="X778" s="4"/>
      <c r="Y778" s="4"/>
    </row>
    <row r="779" spans="1:25" x14ac:dyDescent="0.2">
      <c r="A779" s="41"/>
      <c r="B779" s="5"/>
      <c r="C779" s="4"/>
      <c r="D779" s="4"/>
      <c r="E779" s="4"/>
      <c r="F779" s="4"/>
      <c r="G779" s="4"/>
      <c r="H779" s="4"/>
      <c r="I779" s="4"/>
      <c r="J779" s="4"/>
      <c r="K779" s="4"/>
      <c r="L779" s="4"/>
      <c r="M779" s="4"/>
      <c r="N779" s="4"/>
      <c r="O779" s="4"/>
      <c r="P779" s="4"/>
      <c r="Q779" s="4"/>
      <c r="R779" s="4"/>
      <c r="S779" s="4"/>
      <c r="T779" s="4"/>
      <c r="U779" s="4"/>
      <c r="V779" s="4"/>
      <c r="W779" s="4"/>
      <c r="X779" s="4"/>
      <c r="Y779" s="4"/>
    </row>
    <row r="780" spans="1:25" x14ac:dyDescent="0.2">
      <c r="A780" s="41"/>
      <c r="B780" s="5"/>
      <c r="C780" s="4"/>
      <c r="D780" s="4"/>
      <c r="E780" s="4"/>
      <c r="F780" s="4"/>
      <c r="G780" s="4"/>
      <c r="H780" s="4"/>
      <c r="I780" s="4"/>
      <c r="J780" s="4"/>
      <c r="K780" s="4"/>
      <c r="L780" s="4"/>
      <c r="M780" s="4"/>
      <c r="N780" s="4"/>
      <c r="O780" s="4"/>
      <c r="P780" s="4"/>
      <c r="Q780" s="4"/>
      <c r="R780" s="4"/>
      <c r="S780" s="4"/>
      <c r="T780" s="4"/>
      <c r="U780" s="4"/>
      <c r="V780" s="4"/>
      <c r="W780" s="4"/>
      <c r="X780" s="4"/>
      <c r="Y780" s="4"/>
    </row>
    <row r="781" spans="1:25" x14ac:dyDescent="0.2">
      <c r="A781" s="41"/>
      <c r="B781" s="5"/>
      <c r="C781" s="4"/>
      <c r="D781" s="4"/>
      <c r="E781" s="4"/>
      <c r="F781" s="4"/>
      <c r="G781" s="4"/>
      <c r="H781" s="4"/>
      <c r="I781" s="4"/>
      <c r="J781" s="4"/>
      <c r="K781" s="4"/>
      <c r="L781" s="4"/>
      <c r="M781" s="4"/>
      <c r="N781" s="4"/>
      <c r="O781" s="4"/>
      <c r="P781" s="4"/>
      <c r="Q781" s="4"/>
      <c r="R781" s="4"/>
      <c r="S781" s="4"/>
      <c r="T781" s="4"/>
      <c r="U781" s="4"/>
      <c r="V781" s="4"/>
      <c r="W781" s="4"/>
      <c r="X781" s="4"/>
      <c r="Y781" s="4"/>
    </row>
    <row r="782" spans="1:25" x14ac:dyDescent="0.2">
      <c r="A782" s="41"/>
      <c r="B782" s="5"/>
      <c r="C782" s="4"/>
      <c r="D782" s="4"/>
      <c r="E782" s="4"/>
      <c r="F782" s="4"/>
      <c r="G782" s="4"/>
      <c r="H782" s="4"/>
      <c r="I782" s="4"/>
      <c r="J782" s="4"/>
      <c r="K782" s="4"/>
      <c r="L782" s="4"/>
      <c r="M782" s="4"/>
      <c r="N782" s="4"/>
      <c r="O782" s="4"/>
      <c r="P782" s="4"/>
      <c r="Q782" s="4"/>
      <c r="R782" s="4"/>
      <c r="S782" s="4"/>
      <c r="T782" s="4"/>
      <c r="U782" s="4"/>
      <c r="V782" s="4"/>
      <c r="W782" s="4"/>
      <c r="X782" s="4"/>
      <c r="Y782" s="4"/>
    </row>
    <row r="783" spans="1:25" x14ac:dyDescent="0.2">
      <c r="A783" s="41"/>
      <c r="B783" s="5"/>
      <c r="C783" s="4"/>
      <c r="D783" s="4"/>
      <c r="E783" s="4"/>
      <c r="F783" s="4"/>
      <c r="G783" s="4"/>
      <c r="H783" s="4"/>
      <c r="I783" s="4"/>
      <c r="J783" s="4"/>
      <c r="K783" s="4"/>
      <c r="L783" s="4"/>
      <c r="M783" s="4"/>
      <c r="N783" s="4"/>
      <c r="O783" s="4"/>
      <c r="P783" s="4"/>
      <c r="Q783" s="4"/>
      <c r="R783" s="4"/>
      <c r="S783" s="4"/>
      <c r="T783" s="4"/>
      <c r="U783" s="4"/>
      <c r="V783" s="4"/>
      <c r="W783" s="4"/>
      <c r="X783" s="4"/>
      <c r="Y783" s="4"/>
    </row>
    <row r="784" spans="1:25" x14ac:dyDescent="0.2">
      <c r="A784" s="41"/>
      <c r="B784" s="5"/>
      <c r="C784" s="4"/>
      <c r="D784" s="4"/>
      <c r="E784" s="4"/>
      <c r="F784" s="4"/>
      <c r="G784" s="4"/>
      <c r="H784" s="4"/>
      <c r="I784" s="4"/>
      <c r="J784" s="4"/>
      <c r="K784" s="4"/>
      <c r="L784" s="4"/>
      <c r="M784" s="4"/>
      <c r="N784" s="4"/>
      <c r="O784" s="4"/>
      <c r="P784" s="4"/>
      <c r="Q784" s="4"/>
      <c r="R784" s="4"/>
      <c r="S784" s="4"/>
      <c r="T784" s="4"/>
      <c r="U784" s="4"/>
      <c r="V784" s="4"/>
      <c r="W784" s="4"/>
      <c r="X784" s="4"/>
      <c r="Y784" s="4"/>
    </row>
    <row r="785" spans="1:25" x14ac:dyDescent="0.2">
      <c r="A785" s="41"/>
      <c r="B785" s="5"/>
      <c r="C785" s="4"/>
      <c r="D785" s="4"/>
      <c r="E785" s="4"/>
      <c r="F785" s="4"/>
      <c r="G785" s="4"/>
      <c r="H785" s="4"/>
      <c r="I785" s="4"/>
      <c r="J785" s="4"/>
      <c r="K785" s="4"/>
      <c r="L785" s="4"/>
      <c r="M785" s="4"/>
      <c r="N785" s="4"/>
      <c r="O785" s="4"/>
      <c r="P785" s="4"/>
      <c r="Q785" s="4"/>
      <c r="R785" s="4"/>
      <c r="S785" s="4"/>
      <c r="T785" s="4"/>
      <c r="U785" s="4"/>
      <c r="V785" s="4"/>
      <c r="W785" s="4"/>
      <c r="X785" s="4"/>
      <c r="Y785" s="4"/>
    </row>
    <row r="786" spans="1:25" x14ac:dyDescent="0.2">
      <c r="A786" s="41"/>
      <c r="B786" s="5"/>
      <c r="C786" s="4"/>
      <c r="D786" s="4"/>
      <c r="E786" s="4"/>
      <c r="F786" s="4"/>
      <c r="G786" s="4"/>
      <c r="H786" s="4"/>
      <c r="I786" s="4"/>
      <c r="J786" s="4"/>
      <c r="K786" s="4"/>
      <c r="L786" s="4"/>
      <c r="M786" s="4"/>
      <c r="N786" s="4"/>
      <c r="O786" s="4"/>
      <c r="P786" s="4"/>
      <c r="Q786" s="4"/>
      <c r="R786" s="4"/>
      <c r="S786" s="4"/>
      <c r="T786" s="4"/>
      <c r="U786" s="4"/>
      <c r="V786" s="4"/>
      <c r="W786" s="4"/>
      <c r="X786" s="4"/>
      <c r="Y786" s="4"/>
    </row>
    <row r="787" spans="1:25" x14ac:dyDescent="0.2">
      <c r="A787" s="41"/>
      <c r="B787" s="5"/>
      <c r="C787" s="4"/>
      <c r="D787" s="4"/>
      <c r="E787" s="4"/>
      <c r="F787" s="4"/>
      <c r="G787" s="4"/>
      <c r="H787" s="4"/>
      <c r="I787" s="4"/>
      <c r="J787" s="4"/>
      <c r="K787" s="4"/>
      <c r="L787" s="4"/>
      <c r="M787" s="4"/>
      <c r="N787" s="4"/>
      <c r="O787" s="4"/>
      <c r="P787" s="4"/>
      <c r="Q787" s="4"/>
      <c r="R787" s="4"/>
      <c r="S787" s="4"/>
      <c r="T787" s="4"/>
      <c r="U787" s="4"/>
      <c r="V787" s="4"/>
      <c r="W787" s="4"/>
      <c r="X787" s="4"/>
      <c r="Y787" s="4"/>
    </row>
    <row r="788" spans="1:25" x14ac:dyDescent="0.2">
      <c r="A788" s="41"/>
      <c r="B788" s="5"/>
      <c r="C788" s="4"/>
      <c r="D788" s="4"/>
      <c r="E788" s="4"/>
      <c r="F788" s="4"/>
      <c r="G788" s="4"/>
      <c r="H788" s="4"/>
      <c r="I788" s="4"/>
      <c r="J788" s="4"/>
      <c r="K788" s="4"/>
      <c r="L788" s="4"/>
      <c r="M788" s="4"/>
      <c r="N788" s="4"/>
      <c r="O788" s="4"/>
      <c r="P788" s="4"/>
      <c r="Q788" s="4"/>
      <c r="R788" s="4"/>
      <c r="S788" s="4"/>
      <c r="T788" s="4"/>
      <c r="U788" s="4"/>
      <c r="V788" s="4"/>
      <c r="W788" s="4"/>
      <c r="X788" s="4"/>
      <c r="Y788" s="4"/>
    </row>
    <row r="789" spans="1:25" x14ac:dyDescent="0.2">
      <c r="A789" s="41"/>
      <c r="B789" s="5"/>
      <c r="C789" s="4"/>
      <c r="D789" s="4"/>
      <c r="E789" s="4"/>
      <c r="F789" s="4"/>
      <c r="G789" s="4"/>
      <c r="H789" s="4"/>
      <c r="I789" s="4"/>
      <c r="J789" s="4"/>
      <c r="K789" s="4"/>
      <c r="L789" s="4"/>
      <c r="M789" s="4"/>
      <c r="N789" s="4"/>
      <c r="O789" s="4"/>
      <c r="P789" s="4"/>
      <c r="Q789" s="4"/>
      <c r="R789" s="4"/>
      <c r="S789" s="4"/>
      <c r="T789" s="4"/>
      <c r="U789" s="4"/>
      <c r="V789" s="4"/>
      <c r="W789" s="4"/>
      <c r="X789" s="4"/>
      <c r="Y789" s="4"/>
    </row>
    <row r="790" spans="1:25" x14ac:dyDescent="0.2">
      <c r="A790" s="41"/>
      <c r="B790" s="5"/>
      <c r="C790" s="4"/>
      <c r="D790" s="4"/>
      <c r="E790" s="4"/>
      <c r="F790" s="4"/>
      <c r="G790" s="4"/>
      <c r="H790" s="4"/>
      <c r="I790" s="4"/>
      <c r="J790" s="4"/>
      <c r="K790" s="4"/>
      <c r="L790" s="4"/>
      <c r="M790" s="4"/>
      <c r="N790" s="4"/>
      <c r="O790" s="4"/>
      <c r="P790" s="4"/>
      <c r="Q790" s="4"/>
      <c r="R790" s="4"/>
      <c r="S790" s="4"/>
      <c r="T790" s="4"/>
      <c r="U790" s="4"/>
      <c r="V790" s="4"/>
      <c r="W790" s="4"/>
      <c r="X790" s="4"/>
      <c r="Y790" s="4"/>
    </row>
    <row r="791" spans="1:25" x14ac:dyDescent="0.2">
      <c r="A791" s="41"/>
      <c r="B791" s="5"/>
      <c r="C791" s="4"/>
      <c r="D791" s="4"/>
      <c r="E791" s="4"/>
      <c r="F791" s="4"/>
      <c r="G791" s="4"/>
      <c r="H791" s="4"/>
      <c r="I791" s="4"/>
      <c r="J791" s="4"/>
      <c r="K791" s="4"/>
      <c r="L791" s="4"/>
      <c r="M791" s="4"/>
      <c r="N791" s="4"/>
      <c r="O791" s="4"/>
      <c r="P791" s="4"/>
      <c r="Q791" s="4"/>
      <c r="R791" s="4"/>
      <c r="S791" s="4"/>
      <c r="T791" s="4"/>
      <c r="U791" s="4"/>
      <c r="V791" s="4"/>
      <c r="W791" s="4"/>
      <c r="X791" s="4"/>
      <c r="Y791" s="4"/>
    </row>
    <row r="792" spans="1:25" x14ac:dyDescent="0.2">
      <c r="A792" s="41"/>
      <c r="B792" s="5"/>
      <c r="C792" s="4"/>
      <c r="D792" s="4"/>
      <c r="E792" s="4"/>
      <c r="F792" s="4"/>
      <c r="G792" s="4"/>
      <c r="H792" s="4"/>
      <c r="I792" s="4"/>
      <c r="J792" s="4"/>
      <c r="K792" s="4"/>
      <c r="L792" s="4"/>
      <c r="M792" s="4"/>
      <c r="N792" s="4"/>
      <c r="O792" s="4"/>
      <c r="P792" s="4"/>
      <c r="Q792" s="4"/>
      <c r="R792" s="4"/>
      <c r="S792" s="4"/>
      <c r="T792" s="4"/>
      <c r="U792" s="4"/>
      <c r="V792" s="4"/>
      <c r="W792" s="4"/>
      <c r="X792" s="4"/>
      <c r="Y792" s="4"/>
    </row>
    <row r="793" spans="1:25" x14ac:dyDescent="0.2">
      <c r="A793" s="41"/>
      <c r="B793" s="5"/>
      <c r="C793" s="4"/>
      <c r="D793" s="4"/>
      <c r="E793" s="4"/>
      <c r="F793" s="4"/>
      <c r="G793" s="4"/>
      <c r="H793" s="4"/>
      <c r="I793" s="4"/>
      <c r="J793" s="4"/>
      <c r="K793" s="4"/>
      <c r="L793" s="4"/>
      <c r="M793" s="4"/>
      <c r="N793" s="4"/>
      <c r="O793" s="4"/>
      <c r="P793" s="4"/>
      <c r="Q793" s="4"/>
      <c r="R793" s="4"/>
      <c r="S793" s="4"/>
      <c r="T793" s="4"/>
      <c r="U793" s="4"/>
      <c r="V793" s="4"/>
      <c r="W793" s="4"/>
      <c r="X793" s="4"/>
      <c r="Y793" s="4"/>
    </row>
    <row r="794" spans="1:25" x14ac:dyDescent="0.2">
      <c r="A794" s="41"/>
      <c r="B794" s="5"/>
      <c r="C794" s="4"/>
      <c r="D794" s="4"/>
      <c r="E794" s="4"/>
      <c r="F794" s="4"/>
      <c r="G794" s="4"/>
      <c r="H794" s="4"/>
      <c r="I794" s="4"/>
      <c r="J794" s="4"/>
      <c r="K794" s="4"/>
      <c r="L794" s="4"/>
      <c r="M794" s="4"/>
      <c r="N794" s="4"/>
      <c r="O794" s="4"/>
      <c r="P794" s="4"/>
      <c r="Q794" s="4"/>
      <c r="R794" s="4"/>
      <c r="S794" s="4"/>
      <c r="T794" s="4"/>
      <c r="U794" s="4"/>
      <c r="V794" s="4"/>
      <c r="W794" s="4"/>
      <c r="X794" s="4"/>
      <c r="Y794" s="4"/>
    </row>
    <row r="795" spans="1:25" x14ac:dyDescent="0.2">
      <c r="A795" s="41"/>
      <c r="B795" s="5"/>
      <c r="C795" s="4"/>
      <c r="D795" s="4"/>
      <c r="E795" s="4"/>
      <c r="F795" s="4"/>
      <c r="G795" s="4"/>
      <c r="H795" s="4"/>
      <c r="I795" s="4"/>
      <c r="J795" s="4"/>
      <c r="K795" s="4"/>
      <c r="L795" s="4"/>
      <c r="M795" s="4"/>
      <c r="N795" s="4"/>
      <c r="O795" s="4"/>
      <c r="P795" s="4"/>
      <c r="Q795" s="4"/>
      <c r="R795" s="4"/>
      <c r="S795" s="4"/>
      <c r="T795" s="4"/>
      <c r="U795" s="4"/>
      <c r="V795" s="4"/>
      <c r="W795" s="4"/>
      <c r="X795" s="4"/>
      <c r="Y795" s="4"/>
    </row>
    <row r="796" spans="1:25" x14ac:dyDescent="0.2">
      <c r="A796" s="41"/>
      <c r="B796" s="5"/>
      <c r="C796" s="4"/>
      <c r="D796" s="4"/>
      <c r="E796" s="4"/>
      <c r="F796" s="4"/>
      <c r="G796" s="4"/>
      <c r="H796" s="4"/>
      <c r="I796" s="4"/>
      <c r="J796" s="4"/>
      <c r="K796" s="4"/>
      <c r="L796" s="4"/>
      <c r="M796" s="4"/>
      <c r="N796" s="4"/>
      <c r="O796" s="4"/>
      <c r="P796" s="4"/>
      <c r="Q796" s="4"/>
      <c r="R796" s="4"/>
      <c r="S796" s="4"/>
      <c r="T796" s="4"/>
      <c r="U796" s="4"/>
      <c r="V796" s="4"/>
      <c r="W796" s="4"/>
      <c r="X796" s="4"/>
      <c r="Y796" s="4"/>
    </row>
    <row r="797" spans="1:25" x14ac:dyDescent="0.2">
      <c r="A797" s="41"/>
      <c r="B797" s="5"/>
      <c r="C797" s="4"/>
      <c r="D797" s="4"/>
      <c r="E797" s="4"/>
      <c r="F797" s="4"/>
      <c r="G797" s="4"/>
      <c r="H797" s="4"/>
      <c r="I797" s="4"/>
      <c r="J797" s="4"/>
      <c r="K797" s="4"/>
      <c r="L797" s="4"/>
      <c r="M797" s="4"/>
      <c r="N797" s="4"/>
      <c r="O797" s="4"/>
      <c r="P797" s="4"/>
      <c r="Q797" s="4"/>
      <c r="R797" s="4"/>
      <c r="S797" s="4"/>
      <c r="T797" s="4"/>
      <c r="U797" s="4"/>
      <c r="V797" s="4"/>
      <c r="W797" s="4"/>
      <c r="X797" s="4"/>
      <c r="Y797" s="4"/>
    </row>
    <row r="798" spans="1:25" x14ac:dyDescent="0.2">
      <c r="A798" s="41"/>
      <c r="B798" s="5"/>
      <c r="C798" s="4"/>
      <c r="D798" s="4"/>
      <c r="E798" s="4"/>
      <c r="F798" s="4"/>
      <c r="G798" s="4"/>
      <c r="H798" s="4"/>
      <c r="I798" s="4"/>
      <c r="J798" s="4"/>
      <c r="K798" s="4"/>
      <c r="L798" s="4"/>
      <c r="M798" s="4"/>
      <c r="N798" s="4"/>
      <c r="O798" s="4"/>
      <c r="P798" s="4"/>
      <c r="Q798" s="4"/>
      <c r="R798" s="4"/>
      <c r="S798" s="4"/>
      <c r="T798" s="4"/>
      <c r="U798" s="4"/>
      <c r="V798" s="4"/>
      <c r="W798" s="4"/>
      <c r="X798" s="4"/>
      <c r="Y798" s="4"/>
    </row>
    <row r="799" spans="1:25" x14ac:dyDescent="0.2">
      <c r="A799" s="41"/>
      <c r="B799" s="5"/>
      <c r="C799" s="4"/>
      <c r="D799" s="4"/>
      <c r="E799" s="4"/>
      <c r="F799" s="4"/>
      <c r="G799" s="4"/>
      <c r="H799" s="4"/>
      <c r="I799" s="4"/>
      <c r="J799" s="4"/>
      <c r="K799" s="4"/>
      <c r="L799" s="4"/>
      <c r="M799" s="4"/>
      <c r="N799" s="4"/>
      <c r="O799" s="4"/>
      <c r="P799" s="4"/>
      <c r="Q799" s="4"/>
      <c r="R799" s="4"/>
      <c r="S799" s="4"/>
      <c r="T799" s="4"/>
      <c r="U799" s="4"/>
      <c r="V799" s="4"/>
      <c r="W799" s="4"/>
      <c r="X799" s="4"/>
      <c r="Y799" s="4"/>
    </row>
    <row r="800" spans="1:25" x14ac:dyDescent="0.2">
      <c r="A800" s="41"/>
      <c r="B800" s="5"/>
      <c r="C800" s="4"/>
      <c r="D800" s="4"/>
      <c r="E800" s="4"/>
      <c r="F800" s="4"/>
      <c r="G800" s="4"/>
      <c r="H800" s="4"/>
      <c r="I800" s="4"/>
      <c r="J800" s="4"/>
      <c r="K800" s="4"/>
      <c r="L800" s="4"/>
      <c r="M800" s="4"/>
      <c r="N800" s="4"/>
      <c r="O800" s="4"/>
      <c r="P800" s="4"/>
      <c r="Q800" s="4"/>
      <c r="R800" s="4"/>
      <c r="S800" s="4"/>
      <c r="T800" s="4"/>
      <c r="U800" s="4"/>
      <c r="V800" s="4"/>
      <c r="W800" s="4"/>
      <c r="X800" s="4"/>
      <c r="Y800" s="4"/>
    </row>
    <row r="801" spans="1:25" x14ac:dyDescent="0.2">
      <c r="A801" s="41"/>
      <c r="B801" s="5"/>
      <c r="C801" s="4"/>
      <c r="D801" s="4"/>
      <c r="E801" s="4"/>
      <c r="F801" s="4"/>
      <c r="G801" s="4"/>
      <c r="H801" s="4"/>
      <c r="I801" s="4"/>
      <c r="J801" s="4"/>
      <c r="K801" s="4"/>
      <c r="L801" s="4"/>
      <c r="M801" s="4"/>
      <c r="N801" s="4"/>
      <c r="O801" s="4"/>
      <c r="P801" s="4"/>
      <c r="Q801" s="4"/>
      <c r="R801" s="4"/>
      <c r="S801" s="4"/>
      <c r="T801" s="4"/>
      <c r="U801" s="4"/>
      <c r="V801" s="4"/>
      <c r="W801" s="4"/>
      <c r="X801" s="4"/>
      <c r="Y801" s="4"/>
    </row>
    <row r="802" spans="1:25" x14ac:dyDescent="0.2">
      <c r="A802" s="41"/>
      <c r="B802" s="5"/>
      <c r="C802" s="4"/>
      <c r="D802" s="4"/>
      <c r="E802" s="4"/>
      <c r="F802" s="4"/>
      <c r="G802" s="4"/>
      <c r="H802" s="4"/>
      <c r="I802" s="4"/>
      <c r="J802" s="4"/>
      <c r="K802" s="4"/>
      <c r="L802" s="4"/>
      <c r="M802" s="4"/>
      <c r="N802" s="4"/>
      <c r="O802" s="4"/>
      <c r="P802" s="4"/>
      <c r="Q802" s="4"/>
      <c r="R802" s="4"/>
      <c r="S802" s="4"/>
      <c r="T802" s="4"/>
      <c r="U802" s="4"/>
      <c r="V802" s="4"/>
      <c r="W802" s="4"/>
      <c r="X802" s="4"/>
      <c r="Y802" s="4"/>
    </row>
    <row r="803" spans="1:25" x14ac:dyDescent="0.2">
      <c r="A803" s="41"/>
      <c r="B803" s="5"/>
      <c r="C803" s="4"/>
      <c r="D803" s="4"/>
      <c r="E803" s="4"/>
      <c r="F803" s="4"/>
      <c r="G803" s="4"/>
      <c r="H803" s="4"/>
      <c r="I803" s="4"/>
      <c r="J803" s="4"/>
      <c r="K803" s="4"/>
      <c r="L803" s="4"/>
      <c r="M803" s="4"/>
      <c r="N803" s="4"/>
      <c r="O803" s="4"/>
      <c r="P803" s="4"/>
      <c r="Q803" s="4"/>
      <c r="R803" s="4"/>
      <c r="S803" s="4"/>
      <c r="T803" s="4"/>
      <c r="U803" s="4"/>
      <c r="V803" s="4"/>
      <c r="W803" s="4"/>
      <c r="X803" s="4"/>
      <c r="Y803" s="4"/>
    </row>
    <row r="804" spans="1:25" x14ac:dyDescent="0.2">
      <c r="A804" s="41"/>
      <c r="B804" s="5"/>
      <c r="C804" s="4"/>
      <c r="D804" s="4"/>
      <c r="E804" s="4"/>
      <c r="F804" s="4"/>
      <c r="G804" s="4"/>
      <c r="H804" s="4"/>
      <c r="I804" s="4"/>
      <c r="J804" s="4"/>
      <c r="K804" s="4"/>
      <c r="L804" s="4"/>
      <c r="M804" s="4"/>
      <c r="N804" s="4"/>
      <c r="O804" s="4"/>
      <c r="P804" s="4"/>
      <c r="Q804" s="4"/>
      <c r="R804" s="4"/>
      <c r="S804" s="4"/>
      <c r="T804" s="4"/>
      <c r="U804" s="4"/>
      <c r="V804" s="4"/>
      <c r="W804" s="4"/>
      <c r="X804" s="4"/>
      <c r="Y804" s="4"/>
    </row>
    <row r="805" spans="1:25" x14ac:dyDescent="0.2">
      <c r="A805" s="41"/>
      <c r="B805" s="5"/>
      <c r="C805" s="4"/>
      <c r="D805" s="4"/>
      <c r="E805" s="4"/>
      <c r="F805" s="4"/>
      <c r="G805" s="4"/>
      <c r="H805" s="4"/>
      <c r="I805" s="4"/>
      <c r="J805" s="4"/>
      <c r="K805" s="4"/>
      <c r="L805" s="4"/>
      <c r="M805" s="4"/>
      <c r="N805" s="4"/>
      <c r="O805" s="4"/>
      <c r="P805" s="4"/>
      <c r="Q805" s="4"/>
      <c r="R805" s="4"/>
      <c r="S805" s="4"/>
      <c r="T805" s="4"/>
      <c r="U805" s="4"/>
      <c r="V805" s="4"/>
      <c r="W805" s="4"/>
      <c r="X805" s="4"/>
      <c r="Y805" s="4"/>
    </row>
    <row r="806" spans="1:25" x14ac:dyDescent="0.2">
      <c r="A806" s="41"/>
      <c r="B806" s="5"/>
      <c r="C806" s="4"/>
      <c r="D806" s="4"/>
      <c r="E806" s="4"/>
      <c r="F806" s="4"/>
      <c r="G806" s="4"/>
      <c r="H806" s="4"/>
      <c r="I806" s="4"/>
      <c r="J806" s="4"/>
      <c r="K806" s="4"/>
      <c r="L806" s="4"/>
      <c r="M806" s="4"/>
      <c r="N806" s="4"/>
      <c r="O806" s="4"/>
      <c r="P806" s="4"/>
      <c r="Q806" s="4"/>
      <c r="R806" s="4"/>
      <c r="S806" s="4"/>
      <c r="T806" s="4"/>
      <c r="U806" s="4"/>
      <c r="V806" s="4"/>
      <c r="W806" s="4"/>
      <c r="X806" s="4"/>
      <c r="Y806" s="4"/>
    </row>
    <row r="807" spans="1:25" x14ac:dyDescent="0.2">
      <c r="A807" s="41"/>
      <c r="B807" s="5"/>
      <c r="C807" s="4"/>
      <c r="D807" s="4"/>
      <c r="E807" s="4"/>
      <c r="F807" s="4"/>
      <c r="G807" s="4"/>
      <c r="H807" s="4"/>
      <c r="I807" s="4"/>
      <c r="J807" s="4"/>
      <c r="K807" s="4"/>
      <c r="L807" s="4"/>
      <c r="M807" s="4"/>
      <c r="N807" s="4"/>
      <c r="O807" s="4"/>
      <c r="P807" s="4"/>
      <c r="Q807" s="4"/>
      <c r="R807" s="4"/>
      <c r="S807" s="4"/>
      <c r="T807" s="4"/>
      <c r="U807" s="4"/>
      <c r="V807" s="4"/>
      <c r="W807" s="4"/>
      <c r="X807" s="4"/>
      <c r="Y807" s="4"/>
    </row>
    <row r="808" spans="1:25" x14ac:dyDescent="0.2">
      <c r="A808" s="41"/>
      <c r="B808" s="5"/>
      <c r="C808" s="4"/>
      <c r="D808" s="4"/>
      <c r="E808" s="4"/>
      <c r="F808" s="4"/>
      <c r="G808" s="4"/>
      <c r="H808" s="4"/>
      <c r="I808" s="4"/>
      <c r="J808" s="4"/>
      <c r="K808" s="4"/>
      <c r="L808" s="4"/>
      <c r="M808" s="4"/>
      <c r="N808" s="4"/>
      <c r="O808" s="4"/>
      <c r="P808" s="4"/>
      <c r="Q808" s="4"/>
      <c r="R808" s="4"/>
      <c r="S808" s="4"/>
      <c r="T808" s="4"/>
      <c r="U808" s="4"/>
      <c r="V808" s="4"/>
      <c r="W808" s="4"/>
      <c r="X808" s="4"/>
      <c r="Y808" s="4"/>
    </row>
    <row r="809" spans="1:25" x14ac:dyDescent="0.2">
      <c r="A809" s="41"/>
      <c r="B809" s="5"/>
      <c r="C809" s="4"/>
      <c r="D809" s="4"/>
      <c r="E809" s="4"/>
      <c r="F809" s="4"/>
      <c r="G809" s="4"/>
      <c r="H809" s="4"/>
      <c r="I809" s="4"/>
      <c r="J809" s="4"/>
      <c r="K809" s="4"/>
      <c r="L809" s="4"/>
      <c r="M809" s="4"/>
      <c r="N809" s="4"/>
      <c r="O809" s="4"/>
      <c r="P809" s="4"/>
      <c r="Q809" s="4"/>
      <c r="R809" s="4"/>
      <c r="S809" s="4"/>
      <c r="T809" s="4"/>
      <c r="U809" s="4"/>
      <c r="V809" s="4"/>
      <c r="W809" s="4"/>
      <c r="X809" s="4"/>
      <c r="Y809" s="4"/>
    </row>
    <row r="810" spans="1:25" x14ac:dyDescent="0.2">
      <c r="A810" s="41"/>
      <c r="B810" s="5"/>
      <c r="C810" s="4"/>
      <c r="D810" s="4"/>
      <c r="E810" s="4"/>
      <c r="F810" s="4"/>
      <c r="G810" s="4"/>
      <c r="H810" s="4"/>
      <c r="I810" s="4"/>
      <c r="J810" s="4"/>
      <c r="K810" s="4"/>
      <c r="L810" s="4"/>
      <c r="M810" s="4"/>
      <c r="N810" s="4"/>
      <c r="O810" s="4"/>
      <c r="P810" s="4"/>
      <c r="Q810" s="4"/>
      <c r="R810" s="4"/>
      <c r="S810" s="4"/>
      <c r="T810" s="4"/>
      <c r="U810" s="4"/>
      <c r="V810" s="4"/>
      <c r="W810" s="4"/>
      <c r="X810" s="4"/>
      <c r="Y810" s="4"/>
    </row>
    <row r="811" spans="1:25" x14ac:dyDescent="0.2">
      <c r="A811" s="41"/>
      <c r="B811" s="5"/>
      <c r="C811" s="4"/>
      <c r="D811" s="4"/>
      <c r="E811" s="4"/>
      <c r="F811" s="4"/>
      <c r="G811" s="4"/>
      <c r="H811" s="4"/>
      <c r="I811" s="4"/>
      <c r="J811" s="4"/>
      <c r="K811" s="4"/>
      <c r="L811" s="4"/>
      <c r="M811" s="4"/>
      <c r="N811" s="4"/>
      <c r="O811" s="4"/>
      <c r="P811" s="4"/>
      <c r="Q811" s="4"/>
      <c r="R811" s="4"/>
      <c r="S811" s="4"/>
      <c r="T811" s="4"/>
      <c r="U811" s="4"/>
      <c r="V811" s="4"/>
      <c r="W811" s="4"/>
      <c r="X811" s="4"/>
      <c r="Y811" s="4"/>
    </row>
    <row r="812" spans="1:25" x14ac:dyDescent="0.2">
      <c r="A812" s="41"/>
      <c r="B812" s="5"/>
      <c r="C812" s="4"/>
      <c r="D812" s="4"/>
      <c r="E812" s="4"/>
      <c r="F812" s="4"/>
      <c r="G812" s="4"/>
      <c r="H812" s="4"/>
      <c r="I812" s="4"/>
      <c r="J812" s="4"/>
      <c r="K812" s="4"/>
      <c r="L812" s="4"/>
      <c r="M812" s="4"/>
      <c r="N812" s="4"/>
      <c r="O812" s="4"/>
      <c r="P812" s="4"/>
      <c r="Q812" s="4"/>
      <c r="R812" s="4"/>
      <c r="S812" s="4"/>
      <c r="T812" s="4"/>
      <c r="U812" s="4"/>
      <c r="V812" s="4"/>
      <c r="W812" s="4"/>
      <c r="X812" s="4"/>
      <c r="Y812" s="4"/>
    </row>
    <row r="813" spans="1:25" x14ac:dyDescent="0.2">
      <c r="A813" s="41"/>
      <c r="B813" s="5"/>
      <c r="C813" s="4"/>
      <c r="D813" s="4"/>
      <c r="E813" s="4"/>
      <c r="F813" s="4"/>
      <c r="G813" s="4"/>
      <c r="H813" s="4"/>
      <c r="I813" s="4"/>
      <c r="J813" s="4"/>
      <c r="K813" s="4"/>
      <c r="L813" s="4"/>
      <c r="M813" s="4"/>
      <c r="N813" s="4"/>
      <c r="O813" s="4"/>
      <c r="P813" s="4"/>
      <c r="Q813" s="4"/>
      <c r="R813" s="4"/>
      <c r="S813" s="4"/>
      <c r="T813" s="4"/>
      <c r="U813" s="4"/>
      <c r="V813" s="4"/>
      <c r="W813" s="4"/>
      <c r="X813" s="4"/>
      <c r="Y813" s="4"/>
    </row>
    <row r="814" spans="1:25" x14ac:dyDescent="0.2">
      <c r="A814" s="41"/>
      <c r="B814" s="5"/>
      <c r="C814" s="4"/>
      <c r="D814" s="4"/>
      <c r="E814" s="4"/>
      <c r="F814" s="4"/>
      <c r="G814" s="4"/>
      <c r="H814" s="4"/>
      <c r="I814" s="4"/>
      <c r="J814" s="4"/>
      <c r="K814" s="4"/>
      <c r="L814" s="4"/>
      <c r="M814" s="4"/>
      <c r="N814" s="4"/>
      <c r="O814" s="4"/>
      <c r="P814" s="4"/>
      <c r="Q814" s="4"/>
      <c r="R814" s="4"/>
      <c r="S814" s="4"/>
      <c r="T814" s="4"/>
      <c r="U814" s="4"/>
      <c r="V814" s="4"/>
      <c r="W814" s="4"/>
      <c r="X814" s="4"/>
      <c r="Y814" s="4"/>
    </row>
    <row r="815" spans="1:25" x14ac:dyDescent="0.2">
      <c r="A815" s="41"/>
      <c r="B815" s="5"/>
      <c r="C815" s="4"/>
      <c r="D815" s="4"/>
      <c r="E815" s="4"/>
      <c r="F815" s="4"/>
      <c r="G815" s="4"/>
      <c r="H815" s="4"/>
      <c r="I815" s="4"/>
      <c r="J815" s="4"/>
      <c r="K815" s="4"/>
      <c r="L815" s="4"/>
      <c r="M815" s="4"/>
      <c r="N815" s="4"/>
      <c r="O815" s="4"/>
      <c r="P815" s="4"/>
      <c r="Q815" s="4"/>
      <c r="R815" s="4"/>
      <c r="S815" s="4"/>
      <c r="T815" s="4"/>
      <c r="U815" s="4"/>
      <c r="V815" s="4"/>
      <c r="W815" s="4"/>
      <c r="X815" s="4"/>
      <c r="Y815" s="4"/>
    </row>
    <row r="816" spans="1:25" x14ac:dyDescent="0.2">
      <c r="A816" s="41"/>
      <c r="B816" s="5"/>
      <c r="C816" s="4"/>
      <c r="D816" s="4"/>
      <c r="E816" s="4"/>
      <c r="F816" s="4"/>
      <c r="G816" s="4"/>
      <c r="H816" s="4"/>
      <c r="I816" s="4"/>
      <c r="J816" s="4"/>
      <c r="K816" s="4"/>
      <c r="L816" s="4"/>
      <c r="M816" s="4"/>
      <c r="N816" s="4"/>
      <c r="O816" s="4"/>
      <c r="P816" s="4"/>
      <c r="Q816" s="4"/>
      <c r="R816" s="4"/>
      <c r="S816" s="4"/>
      <c r="T816" s="4"/>
      <c r="U816" s="4"/>
      <c r="V816" s="4"/>
      <c r="W816" s="4"/>
      <c r="X816" s="4"/>
      <c r="Y816" s="4"/>
    </row>
    <row r="817" spans="1:25" x14ac:dyDescent="0.2">
      <c r="A817" s="41"/>
      <c r="B817" s="5"/>
      <c r="C817" s="4"/>
      <c r="D817" s="4"/>
      <c r="E817" s="4"/>
      <c r="F817" s="4"/>
      <c r="G817" s="4"/>
      <c r="H817" s="4"/>
      <c r="I817" s="4"/>
      <c r="J817" s="4"/>
      <c r="K817" s="4"/>
      <c r="L817" s="4"/>
      <c r="M817" s="4"/>
      <c r="N817" s="4"/>
      <c r="O817" s="4"/>
      <c r="P817" s="4"/>
      <c r="Q817" s="4"/>
      <c r="R817" s="4"/>
      <c r="S817" s="4"/>
      <c r="T817" s="4"/>
      <c r="U817" s="4"/>
      <c r="V817" s="4"/>
      <c r="W817" s="4"/>
      <c r="X817" s="4"/>
      <c r="Y817" s="4"/>
    </row>
    <row r="818" spans="1:25" x14ac:dyDescent="0.2">
      <c r="A818" s="41"/>
      <c r="B818" s="5"/>
      <c r="C818" s="4"/>
      <c r="D818" s="4"/>
      <c r="E818" s="4"/>
      <c r="F818" s="4"/>
      <c r="G818" s="4"/>
      <c r="H818" s="4"/>
      <c r="I818" s="4"/>
      <c r="J818" s="4"/>
      <c r="K818" s="4"/>
      <c r="L818" s="4"/>
      <c r="M818" s="4"/>
      <c r="N818" s="4"/>
      <c r="O818" s="4"/>
      <c r="P818" s="4"/>
      <c r="Q818" s="4"/>
      <c r="R818" s="4"/>
      <c r="S818" s="4"/>
      <c r="T818" s="4"/>
      <c r="U818" s="4"/>
      <c r="V818" s="4"/>
      <c r="W818" s="4"/>
      <c r="X818" s="4"/>
      <c r="Y818" s="4"/>
    </row>
    <row r="819" spans="1:25" x14ac:dyDescent="0.2">
      <c r="A819" s="41"/>
      <c r="B819" s="5"/>
      <c r="C819" s="4"/>
      <c r="D819" s="4"/>
      <c r="E819" s="4"/>
      <c r="F819" s="4"/>
      <c r="G819" s="4"/>
      <c r="H819" s="4"/>
      <c r="I819" s="4"/>
      <c r="J819" s="4"/>
      <c r="K819" s="4"/>
      <c r="L819" s="4"/>
      <c r="M819" s="4"/>
      <c r="N819" s="4"/>
      <c r="O819" s="4"/>
      <c r="P819" s="4"/>
      <c r="Q819" s="4"/>
      <c r="R819" s="4"/>
      <c r="S819" s="4"/>
      <c r="T819" s="4"/>
      <c r="U819" s="4"/>
      <c r="V819" s="4"/>
      <c r="W819" s="4"/>
      <c r="X819" s="4"/>
      <c r="Y819" s="4"/>
    </row>
    <row r="820" spans="1:25" x14ac:dyDescent="0.2">
      <c r="A820" s="41"/>
      <c r="B820" s="5"/>
      <c r="C820" s="4"/>
      <c r="D820" s="4"/>
      <c r="E820" s="4"/>
      <c r="F820" s="4"/>
      <c r="G820" s="4"/>
      <c r="H820" s="4"/>
      <c r="I820" s="4"/>
      <c r="J820" s="4"/>
      <c r="K820" s="4"/>
      <c r="L820" s="4"/>
      <c r="M820" s="4"/>
      <c r="N820" s="4"/>
      <c r="O820" s="4"/>
      <c r="P820" s="4"/>
      <c r="Q820" s="4"/>
      <c r="R820" s="4"/>
      <c r="S820" s="4"/>
      <c r="T820" s="4"/>
      <c r="U820" s="4"/>
      <c r="V820" s="4"/>
      <c r="W820" s="4"/>
      <c r="X820" s="4"/>
      <c r="Y820" s="4"/>
    </row>
    <row r="821" spans="1:25" x14ac:dyDescent="0.2">
      <c r="A821" s="41"/>
      <c r="B821" s="5"/>
      <c r="C821" s="4"/>
      <c r="D821" s="4"/>
      <c r="E821" s="4"/>
      <c r="F821" s="4"/>
      <c r="G821" s="4"/>
      <c r="H821" s="4"/>
      <c r="I821" s="4"/>
      <c r="J821" s="4"/>
      <c r="K821" s="4"/>
      <c r="L821" s="4"/>
      <c r="M821" s="4"/>
      <c r="N821" s="4"/>
      <c r="O821" s="4"/>
      <c r="P821" s="4"/>
      <c r="Q821" s="4"/>
      <c r="R821" s="4"/>
      <c r="S821" s="4"/>
      <c r="T821" s="4"/>
      <c r="U821" s="4"/>
      <c r="V821" s="4"/>
      <c r="W821" s="4"/>
      <c r="X821" s="4"/>
      <c r="Y821" s="4"/>
    </row>
    <row r="822" spans="1:25" x14ac:dyDescent="0.2">
      <c r="A822" s="41"/>
      <c r="B822" s="5"/>
      <c r="C822" s="4"/>
      <c r="D822" s="4"/>
      <c r="E822" s="4"/>
      <c r="F822" s="4"/>
      <c r="G822" s="4"/>
      <c r="H822" s="4"/>
      <c r="I822" s="4"/>
      <c r="J822" s="4"/>
      <c r="K822" s="4"/>
      <c r="L822" s="4"/>
      <c r="M822" s="4"/>
      <c r="N822" s="4"/>
      <c r="O822" s="4"/>
      <c r="P822" s="4"/>
      <c r="Q822" s="4"/>
      <c r="R822" s="4"/>
      <c r="S822" s="4"/>
      <c r="T822" s="4"/>
      <c r="U822" s="4"/>
      <c r="V822" s="4"/>
      <c r="W822" s="4"/>
      <c r="X822" s="4"/>
      <c r="Y822" s="4"/>
    </row>
    <row r="823" spans="1:25" x14ac:dyDescent="0.2">
      <c r="A823" s="41"/>
      <c r="B823" s="5"/>
      <c r="C823" s="4"/>
      <c r="D823" s="4"/>
      <c r="E823" s="4"/>
      <c r="F823" s="4"/>
      <c r="G823" s="4"/>
      <c r="H823" s="4"/>
      <c r="I823" s="4"/>
      <c r="J823" s="4"/>
      <c r="K823" s="4"/>
      <c r="L823" s="4"/>
      <c r="M823" s="4"/>
      <c r="N823" s="4"/>
      <c r="O823" s="4"/>
      <c r="P823" s="4"/>
      <c r="Q823" s="4"/>
      <c r="R823" s="4"/>
      <c r="S823" s="4"/>
      <c r="T823" s="4"/>
      <c r="U823" s="4"/>
      <c r="V823" s="4"/>
      <c r="W823" s="4"/>
      <c r="X823" s="4"/>
      <c r="Y823" s="4"/>
    </row>
    <row r="824" spans="1:25" x14ac:dyDescent="0.2">
      <c r="A824" s="41"/>
      <c r="B824" s="5"/>
      <c r="C824" s="4"/>
      <c r="D824" s="4"/>
      <c r="E824" s="4"/>
      <c r="F824" s="4"/>
      <c r="G824" s="4"/>
      <c r="H824" s="4"/>
      <c r="I824" s="4"/>
      <c r="J824" s="4"/>
      <c r="K824" s="4"/>
      <c r="L824" s="4"/>
      <c r="M824" s="4"/>
      <c r="N824" s="4"/>
      <c r="O824" s="4"/>
      <c r="P824" s="4"/>
      <c r="Q824" s="4"/>
      <c r="R824" s="4"/>
      <c r="S824" s="4"/>
      <c r="T824" s="4"/>
      <c r="U824" s="4"/>
      <c r="V824" s="4"/>
      <c r="W824" s="4"/>
      <c r="X824" s="4"/>
      <c r="Y824" s="4"/>
    </row>
    <row r="825" spans="1:25" x14ac:dyDescent="0.2">
      <c r="A825" s="41"/>
      <c r="B825" s="5"/>
      <c r="C825" s="4"/>
      <c r="D825" s="4"/>
      <c r="E825" s="4"/>
      <c r="F825" s="4"/>
      <c r="G825" s="4"/>
      <c r="H825" s="4"/>
      <c r="I825" s="4"/>
      <c r="J825" s="4"/>
      <c r="K825" s="4"/>
      <c r="L825" s="4"/>
      <c r="M825" s="4"/>
      <c r="N825" s="4"/>
      <c r="O825" s="4"/>
      <c r="P825" s="4"/>
      <c r="Q825" s="4"/>
      <c r="R825" s="4"/>
      <c r="S825" s="4"/>
      <c r="T825" s="4"/>
      <c r="U825" s="4"/>
      <c r="V825" s="4"/>
      <c r="W825" s="4"/>
      <c r="X825" s="4"/>
      <c r="Y825" s="4"/>
    </row>
    <row r="826" spans="1:25" x14ac:dyDescent="0.2">
      <c r="A826" s="41"/>
      <c r="B826" s="5"/>
      <c r="C826" s="4"/>
      <c r="D826" s="4"/>
      <c r="E826" s="4"/>
      <c r="F826" s="4"/>
      <c r="G826" s="4"/>
      <c r="H826" s="4"/>
      <c r="I826" s="4"/>
      <c r="J826" s="4"/>
      <c r="K826" s="4"/>
      <c r="L826" s="4"/>
      <c r="M826" s="4"/>
      <c r="N826" s="4"/>
      <c r="O826" s="4"/>
      <c r="P826" s="4"/>
      <c r="Q826" s="4"/>
      <c r="R826" s="4"/>
      <c r="S826" s="4"/>
      <c r="T826" s="4"/>
      <c r="U826" s="4"/>
      <c r="V826" s="4"/>
      <c r="W826" s="4"/>
      <c r="X826" s="4"/>
      <c r="Y826" s="4"/>
    </row>
    <row r="827" spans="1:25" x14ac:dyDescent="0.2">
      <c r="A827" s="41"/>
      <c r="B827" s="5"/>
      <c r="C827" s="4"/>
      <c r="D827" s="4"/>
      <c r="E827" s="4"/>
      <c r="F827" s="4"/>
      <c r="G827" s="4"/>
      <c r="H827" s="4"/>
      <c r="I827" s="4"/>
      <c r="J827" s="4"/>
      <c r="K827" s="4"/>
      <c r="L827" s="4"/>
      <c r="M827" s="4"/>
      <c r="N827" s="4"/>
      <c r="O827" s="4"/>
      <c r="P827" s="4"/>
      <c r="Q827" s="4"/>
      <c r="R827" s="4"/>
      <c r="S827" s="4"/>
      <c r="T827" s="4"/>
      <c r="U827" s="4"/>
      <c r="V827" s="4"/>
      <c r="W827" s="4"/>
      <c r="X827" s="4"/>
      <c r="Y827" s="4"/>
    </row>
    <row r="828" spans="1:25" x14ac:dyDescent="0.2">
      <c r="A828" s="41"/>
      <c r="B828" s="5"/>
      <c r="C828" s="4"/>
      <c r="D828" s="4"/>
      <c r="E828" s="4"/>
      <c r="F828" s="4"/>
      <c r="G828" s="4"/>
      <c r="H828" s="4"/>
      <c r="I828" s="4"/>
      <c r="J828" s="4"/>
      <c r="K828" s="4"/>
      <c r="L828" s="4"/>
      <c r="M828" s="4"/>
      <c r="N828" s="4"/>
      <c r="O828" s="4"/>
      <c r="P828" s="4"/>
      <c r="Q828" s="4"/>
      <c r="R828" s="4"/>
      <c r="S828" s="4"/>
      <c r="T828" s="4"/>
      <c r="U828" s="4"/>
      <c r="V828" s="4"/>
      <c r="W828" s="4"/>
      <c r="X828" s="4"/>
      <c r="Y828" s="4"/>
    </row>
    <row r="829" spans="1:25" x14ac:dyDescent="0.2">
      <c r="A829" s="41"/>
      <c r="B829" s="5"/>
      <c r="C829" s="4"/>
      <c r="D829" s="4"/>
      <c r="E829" s="4"/>
      <c r="F829" s="4"/>
      <c r="G829" s="4"/>
      <c r="H829" s="4"/>
      <c r="I829" s="4"/>
      <c r="J829" s="4"/>
      <c r="K829" s="4"/>
      <c r="L829" s="4"/>
      <c r="M829" s="4"/>
      <c r="N829" s="4"/>
      <c r="O829" s="4"/>
      <c r="P829" s="4"/>
      <c r="Q829" s="4"/>
      <c r="R829" s="4"/>
      <c r="S829" s="4"/>
      <c r="T829" s="4"/>
      <c r="U829" s="4"/>
      <c r="V829" s="4"/>
      <c r="W829" s="4"/>
      <c r="X829" s="4"/>
      <c r="Y829" s="4"/>
    </row>
    <row r="830" spans="1:25" x14ac:dyDescent="0.2">
      <c r="A830" s="41"/>
      <c r="B830" s="5"/>
      <c r="C830" s="4"/>
      <c r="D830" s="4"/>
      <c r="E830" s="4"/>
      <c r="F830" s="4"/>
      <c r="G830" s="4"/>
      <c r="H830" s="4"/>
      <c r="I830" s="4"/>
      <c r="J830" s="4"/>
      <c r="K830" s="4"/>
      <c r="L830" s="4"/>
      <c r="M830" s="4"/>
      <c r="N830" s="4"/>
      <c r="O830" s="4"/>
      <c r="P830" s="4"/>
      <c r="Q830" s="4"/>
      <c r="R830" s="4"/>
      <c r="S830" s="4"/>
      <c r="T830" s="4"/>
      <c r="U830" s="4"/>
      <c r="V830" s="4"/>
      <c r="W830" s="4"/>
      <c r="X830" s="4"/>
      <c r="Y830" s="4"/>
    </row>
    <row r="831" spans="1:25" x14ac:dyDescent="0.2">
      <c r="A831" s="41"/>
      <c r="B831" s="5"/>
      <c r="C831" s="4"/>
      <c r="D831" s="4"/>
      <c r="E831" s="4"/>
      <c r="F831" s="4"/>
      <c r="G831" s="4"/>
      <c r="H831" s="4"/>
      <c r="I831" s="4"/>
      <c r="J831" s="4"/>
      <c r="K831" s="4"/>
      <c r="L831" s="4"/>
      <c r="M831" s="4"/>
      <c r="N831" s="4"/>
      <c r="O831" s="4"/>
      <c r="P831" s="4"/>
      <c r="Q831" s="4"/>
      <c r="R831" s="4"/>
      <c r="S831" s="4"/>
      <c r="T831" s="4"/>
      <c r="U831" s="4"/>
      <c r="V831" s="4"/>
      <c r="W831" s="4"/>
      <c r="X831" s="4"/>
      <c r="Y831" s="4"/>
    </row>
    <row r="832" spans="1:25" x14ac:dyDescent="0.2">
      <c r="A832" s="41"/>
      <c r="B832" s="5"/>
      <c r="C832" s="4"/>
      <c r="D832" s="4"/>
      <c r="E832" s="4"/>
      <c r="F832" s="4"/>
      <c r="G832" s="4"/>
      <c r="H832" s="4"/>
      <c r="I832" s="4"/>
      <c r="J832" s="4"/>
      <c r="K832" s="4"/>
      <c r="L832" s="4"/>
      <c r="M832" s="4"/>
      <c r="N832" s="4"/>
      <c r="O832" s="4"/>
      <c r="P832" s="4"/>
      <c r="Q832" s="4"/>
      <c r="R832" s="4"/>
      <c r="S832" s="4"/>
      <c r="T832" s="4"/>
      <c r="U832" s="4"/>
      <c r="V832" s="4"/>
      <c r="W832" s="4"/>
      <c r="X832" s="4"/>
      <c r="Y832" s="4"/>
    </row>
    <row r="833" spans="1:25" x14ac:dyDescent="0.2">
      <c r="A833" s="41"/>
      <c r="B833" s="5"/>
      <c r="C833" s="4"/>
      <c r="D833" s="4"/>
      <c r="E833" s="4"/>
      <c r="F833" s="4"/>
      <c r="G833" s="4"/>
      <c r="H833" s="4"/>
      <c r="I833" s="4"/>
      <c r="J833" s="4"/>
      <c r="K833" s="4"/>
      <c r="L833" s="4"/>
      <c r="M833" s="4"/>
      <c r="N833" s="4"/>
      <c r="O833" s="4"/>
      <c r="P833" s="4"/>
      <c r="Q833" s="4"/>
      <c r="R833" s="4"/>
      <c r="S833" s="4"/>
      <c r="T833" s="4"/>
      <c r="U833" s="4"/>
      <c r="V833" s="4"/>
      <c r="W833" s="4"/>
      <c r="X833" s="4"/>
      <c r="Y833" s="4"/>
    </row>
    <row r="834" spans="1:25" x14ac:dyDescent="0.2">
      <c r="A834" s="41"/>
      <c r="B834" s="5"/>
      <c r="C834" s="4"/>
      <c r="D834" s="4"/>
      <c r="E834" s="4"/>
      <c r="F834" s="4"/>
      <c r="G834" s="4"/>
      <c r="H834" s="4"/>
      <c r="I834" s="4"/>
      <c r="J834" s="4"/>
      <c r="K834" s="4"/>
      <c r="L834" s="4"/>
      <c r="M834" s="4"/>
      <c r="N834" s="4"/>
      <c r="O834" s="4"/>
      <c r="P834" s="4"/>
      <c r="Q834" s="4"/>
      <c r="R834" s="4"/>
      <c r="S834" s="4"/>
      <c r="T834" s="4"/>
      <c r="U834" s="4"/>
      <c r="V834" s="4"/>
      <c r="W834" s="4"/>
      <c r="X834" s="4"/>
      <c r="Y834" s="4"/>
    </row>
    <row r="835" spans="1:25" x14ac:dyDescent="0.2">
      <c r="A835" s="41"/>
      <c r="B835" s="5"/>
      <c r="C835" s="4"/>
      <c r="D835" s="4"/>
      <c r="E835" s="4"/>
      <c r="F835" s="4"/>
      <c r="G835" s="4"/>
      <c r="H835" s="4"/>
      <c r="I835" s="4"/>
      <c r="J835" s="4"/>
      <c r="K835" s="4"/>
      <c r="L835" s="4"/>
      <c r="M835" s="4"/>
      <c r="N835" s="4"/>
      <c r="O835" s="4"/>
      <c r="P835" s="4"/>
      <c r="Q835" s="4"/>
      <c r="R835" s="4"/>
      <c r="S835" s="4"/>
      <c r="T835" s="4"/>
      <c r="U835" s="4"/>
      <c r="V835" s="4"/>
      <c r="W835" s="4"/>
      <c r="X835" s="4"/>
      <c r="Y835" s="4"/>
    </row>
    <row r="836" spans="1:25" x14ac:dyDescent="0.2">
      <c r="A836" s="41"/>
      <c r="B836" s="5"/>
      <c r="C836" s="4"/>
      <c r="D836" s="4"/>
      <c r="E836" s="4"/>
      <c r="F836" s="4"/>
      <c r="G836" s="4"/>
      <c r="H836" s="4"/>
      <c r="I836" s="4"/>
      <c r="J836" s="4"/>
      <c r="K836" s="4"/>
      <c r="L836" s="4"/>
      <c r="M836" s="4"/>
      <c r="N836" s="4"/>
      <c r="O836" s="4"/>
      <c r="P836" s="4"/>
      <c r="Q836" s="4"/>
      <c r="R836" s="4"/>
      <c r="S836" s="4"/>
      <c r="T836" s="4"/>
      <c r="U836" s="4"/>
      <c r="V836" s="4"/>
      <c r="W836" s="4"/>
      <c r="X836" s="4"/>
      <c r="Y836" s="4"/>
    </row>
    <row r="837" spans="1:25" x14ac:dyDescent="0.2">
      <c r="A837" s="41"/>
      <c r="B837" s="5"/>
      <c r="C837" s="4"/>
      <c r="D837" s="4"/>
      <c r="E837" s="4"/>
      <c r="F837" s="4"/>
      <c r="G837" s="4"/>
      <c r="H837" s="4"/>
      <c r="I837" s="4"/>
      <c r="J837" s="4"/>
      <c r="K837" s="4"/>
      <c r="L837" s="4"/>
      <c r="M837" s="4"/>
      <c r="N837" s="4"/>
      <c r="O837" s="4"/>
      <c r="P837" s="4"/>
      <c r="Q837" s="4"/>
      <c r="R837" s="4"/>
      <c r="S837" s="4"/>
      <c r="T837" s="4"/>
      <c r="U837" s="4"/>
      <c r="V837" s="4"/>
      <c r="W837" s="4"/>
      <c r="X837" s="4"/>
      <c r="Y837" s="4"/>
    </row>
    <row r="838" spans="1:25" x14ac:dyDescent="0.2">
      <c r="A838" s="41"/>
      <c r="B838" s="5"/>
      <c r="C838" s="4"/>
      <c r="D838" s="4"/>
      <c r="E838" s="4"/>
      <c r="F838" s="4"/>
      <c r="G838" s="4"/>
      <c r="H838" s="4"/>
      <c r="I838" s="4"/>
      <c r="J838" s="4"/>
      <c r="K838" s="4"/>
      <c r="L838" s="4"/>
      <c r="M838" s="4"/>
      <c r="N838" s="4"/>
      <c r="O838" s="4"/>
      <c r="P838" s="4"/>
      <c r="Q838" s="4"/>
      <c r="R838" s="4"/>
      <c r="S838" s="4"/>
      <c r="T838" s="4"/>
      <c r="U838" s="4"/>
      <c r="V838" s="4"/>
      <c r="W838" s="4"/>
      <c r="X838" s="4"/>
      <c r="Y838" s="4"/>
    </row>
    <row r="839" spans="1:25" x14ac:dyDescent="0.2">
      <c r="A839" s="41"/>
      <c r="B839" s="5"/>
      <c r="C839" s="4"/>
      <c r="D839" s="4"/>
      <c r="E839" s="4"/>
      <c r="F839" s="4"/>
      <c r="G839" s="4"/>
      <c r="H839" s="4"/>
      <c r="I839" s="4"/>
      <c r="J839" s="4"/>
      <c r="K839" s="4"/>
      <c r="L839" s="4"/>
      <c r="M839" s="4"/>
      <c r="N839" s="4"/>
      <c r="O839" s="4"/>
      <c r="P839" s="4"/>
      <c r="Q839" s="4"/>
      <c r="R839" s="4"/>
      <c r="S839" s="4"/>
      <c r="T839" s="4"/>
      <c r="U839" s="4"/>
      <c r="V839" s="4"/>
      <c r="W839" s="4"/>
      <c r="X839" s="4"/>
      <c r="Y839" s="4"/>
    </row>
    <row r="840" spans="1:25" x14ac:dyDescent="0.2">
      <c r="A840" s="41"/>
      <c r="B840" s="5"/>
      <c r="C840" s="4"/>
      <c r="D840" s="4"/>
      <c r="E840" s="4"/>
      <c r="F840" s="4"/>
      <c r="G840" s="4"/>
      <c r="H840" s="4"/>
      <c r="I840" s="4"/>
      <c r="J840" s="4"/>
      <c r="K840" s="4"/>
      <c r="L840" s="4"/>
      <c r="M840" s="4"/>
      <c r="N840" s="4"/>
      <c r="O840" s="4"/>
      <c r="P840" s="4"/>
      <c r="Q840" s="4"/>
      <c r="R840" s="4"/>
      <c r="S840" s="4"/>
      <c r="T840" s="4"/>
      <c r="U840" s="4"/>
      <c r="V840" s="4"/>
      <c r="W840" s="4"/>
      <c r="X840" s="4"/>
      <c r="Y840" s="4"/>
    </row>
    <row r="841" spans="1:25" x14ac:dyDescent="0.2">
      <c r="A841" s="41"/>
      <c r="B841" s="5"/>
      <c r="C841" s="4"/>
      <c r="D841" s="4"/>
      <c r="E841" s="4"/>
      <c r="F841" s="4"/>
      <c r="G841" s="4"/>
      <c r="H841" s="4"/>
      <c r="I841" s="4"/>
      <c r="J841" s="4"/>
      <c r="K841" s="4"/>
      <c r="L841" s="4"/>
      <c r="M841" s="4"/>
      <c r="N841" s="4"/>
      <c r="O841" s="4"/>
      <c r="P841" s="4"/>
      <c r="Q841" s="4"/>
      <c r="R841" s="4"/>
      <c r="S841" s="4"/>
      <c r="T841" s="4"/>
      <c r="U841" s="4"/>
      <c r="V841" s="4"/>
      <c r="W841" s="4"/>
      <c r="X841" s="4"/>
      <c r="Y841" s="4"/>
    </row>
    <row r="842" spans="1:25" x14ac:dyDescent="0.2">
      <c r="A842" s="41"/>
      <c r="B842" s="5"/>
      <c r="C842" s="4"/>
      <c r="D842" s="4"/>
      <c r="E842" s="4"/>
      <c r="F842" s="4"/>
      <c r="G842" s="4"/>
      <c r="H842" s="4"/>
      <c r="I842" s="4"/>
      <c r="J842" s="4"/>
      <c r="K842" s="4"/>
      <c r="L842" s="4"/>
      <c r="M842" s="4"/>
      <c r="N842" s="4"/>
      <c r="O842" s="4"/>
      <c r="P842" s="4"/>
      <c r="Q842" s="4"/>
      <c r="R842" s="4"/>
      <c r="S842" s="4"/>
      <c r="T842" s="4"/>
      <c r="U842" s="4"/>
      <c r="V842" s="4"/>
      <c r="W842" s="4"/>
      <c r="X842" s="4"/>
      <c r="Y842" s="4"/>
    </row>
    <row r="843" spans="1:25" x14ac:dyDescent="0.2">
      <c r="A843" s="41"/>
      <c r="B843" s="5"/>
      <c r="C843" s="4"/>
      <c r="D843" s="4"/>
      <c r="E843" s="4"/>
      <c r="F843" s="4"/>
      <c r="G843" s="4"/>
      <c r="H843" s="4"/>
      <c r="I843" s="4"/>
      <c r="J843" s="4"/>
      <c r="K843" s="4"/>
      <c r="L843" s="4"/>
      <c r="M843" s="4"/>
      <c r="N843" s="4"/>
      <c r="O843" s="4"/>
      <c r="P843" s="4"/>
      <c r="Q843" s="4"/>
      <c r="R843" s="4"/>
      <c r="S843" s="4"/>
      <c r="T843" s="4"/>
      <c r="U843" s="4"/>
      <c r="V843" s="4"/>
      <c r="W843" s="4"/>
      <c r="X843" s="4"/>
      <c r="Y843" s="4"/>
    </row>
    <row r="844" spans="1:25" x14ac:dyDescent="0.2">
      <c r="A844" s="41"/>
      <c r="B844" s="5"/>
      <c r="C844" s="4"/>
      <c r="D844" s="4"/>
      <c r="E844" s="4"/>
      <c r="F844" s="4"/>
      <c r="G844" s="4"/>
      <c r="H844" s="4"/>
      <c r="I844" s="4"/>
      <c r="J844" s="4"/>
      <c r="K844" s="4"/>
      <c r="L844" s="4"/>
      <c r="M844" s="4"/>
      <c r="N844" s="4"/>
      <c r="O844" s="4"/>
      <c r="P844" s="4"/>
      <c r="Q844" s="4"/>
      <c r="R844" s="4"/>
      <c r="S844" s="4"/>
      <c r="T844" s="4"/>
      <c r="U844" s="4"/>
      <c r="V844" s="4"/>
      <c r="W844" s="4"/>
      <c r="X844" s="4"/>
      <c r="Y844" s="4"/>
    </row>
    <row r="845" spans="1:25" x14ac:dyDescent="0.2">
      <c r="A845" s="41"/>
      <c r="B845" s="5"/>
      <c r="C845" s="4"/>
      <c r="D845" s="4"/>
      <c r="E845" s="4"/>
      <c r="F845" s="4"/>
      <c r="G845" s="4"/>
      <c r="H845" s="4"/>
      <c r="I845" s="4"/>
      <c r="J845" s="4"/>
      <c r="K845" s="4"/>
      <c r="L845" s="4"/>
      <c r="M845" s="4"/>
      <c r="N845" s="4"/>
      <c r="O845" s="4"/>
      <c r="P845" s="4"/>
      <c r="Q845" s="4"/>
      <c r="R845" s="4"/>
      <c r="S845" s="4"/>
      <c r="T845" s="4"/>
      <c r="U845" s="4"/>
      <c r="V845" s="4"/>
      <c r="W845" s="4"/>
      <c r="X845" s="4"/>
      <c r="Y845" s="4"/>
    </row>
    <row r="846" spans="1:25" x14ac:dyDescent="0.2">
      <c r="A846" s="41"/>
      <c r="B846" s="5"/>
      <c r="C846" s="4"/>
      <c r="D846" s="4"/>
      <c r="E846" s="4"/>
      <c r="F846" s="4"/>
      <c r="G846" s="4"/>
      <c r="H846" s="4"/>
      <c r="I846" s="4"/>
      <c r="J846" s="4"/>
      <c r="K846" s="4"/>
      <c r="L846" s="4"/>
      <c r="M846" s="4"/>
      <c r="N846" s="4"/>
      <c r="O846" s="4"/>
      <c r="P846" s="4"/>
      <c r="Q846" s="4"/>
      <c r="R846" s="4"/>
      <c r="S846" s="4"/>
      <c r="T846" s="4"/>
      <c r="U846" s="4"/>
      <c r="V846" s="4"/>
      <c r="W846" s="4"/>
      <c r="X846" s="4"/>
      <c r="Y846" s="4"/>
    </row>
    <row r="847" spans="1:25" x14ac:dyDescent="0.2">
      <c r="A847" s="41"/>
      <c r="B847" s="5"/>
      <c r="C847" s="4"/>
      <c r="D847" s="4"/>
      <c r="E847" s="4"/>
      <c r="F847" s="4"/>
      <c r="G847" s="4"/>
      <c r="H847" s="4"/>
      <c r="I847" s="4"/>
      <c r="J847" s="4"/>
      <c r="K847" s="4"/>
      <c r="L847" s="4"/>
      <c r="M847" s="4"/>
      <c r="N847" s="4"/>
      <c r="O847" s="4"/>
      <c r="P847" s="4"/>
      <c r="Q847" s="4"/>
      <c r="R847" s="4"/>
      <c r="S847" s="4"/>
      <c r="T847" s="4"/>
      <c r="U847" s="4"/>
      <c r="V847" s="4"/>
      <c r="W847" s="4"/>
      <c r="X847" s="4"/>
      <c r="Y847" s="4"/>
    </row>
    <row r="848" spans="1:25" x14ac:dyDescent="0.2">
      <c r="A848" s="41"/>
      <c r="B848" s="5"/>
      <c r="C848" s="4"/>
      <c r="D848" s="4"/>
      <c r="E848" s="4"/>
      <c r="F848" s="4"/>
      <c r="G848" s="4"/>
      <c r="H848" s="4"/>
      <c r="I848" s="4"/>
      <c r="J848" s="4"/>
      <c r="K848" s="4"/>
      <c r="L848" s="4"/>
      <c r="M848" s="4"/>
      <c r="N848" s="4"/>
      <c r="O848" s="4"/>
      <c r="P848" s="4"/>
      <c r="Q848" s="4"/>
      <c r="R848" s="4"/>
      <c r="S848" s="4"/>
      <c r="T848" s="4"/>
      <c r="U848" s="4"/>
      <c r="V848" s="4"/>
      <c r="W848" s="4"/>
      <c r="X848" s="4"/>
      <c r="Y848" s="4"/>
    </row>
    <row r="849" spans="1:25" x14ac:dyDescent="0.2">
      <c r="A849" s="41"/>
      <c r="B849" s="5"/>
      <c r="C849" s="4"/>
      <c r="D849" s="4"/>
      <c r="E849" s="4"/>
      <c r="F849" s="4"/>
      <c r="G849" s="4"/>
      <c r="H849" s="4"/>
      <c r="I849" s="4"/>
      <c r="J849" s="4"/>
      <c r="K849" s="4"/>
      <c r="L849" s="4"/>
      <c r="M849" s="4"/>
      <c r="N849" s="4"/>
      <c r="O849" s="4"/>
      <c r="P849" s="4"/>
      <c r="Q849" s="4"/>
      <c r="R849" s="4"/>
      <c r="S849" s="4"/>
      <c r="T849" s="4"/>
      <c r="U849" s="4"/>
      <c r="V849" s="4"/>
      <c r="W849" s="4"/>
      <c r="X849" s="4"/>
      <c r="Y849" s="4"/>
    </row>
    <row r="850" spans="1:25" x14ac:dyDescent="0.2">
      <c r="A850" s="41"/>
      <c r="B850" s="5"/>
      <c r="C850" s="4"/>
      <c r="D850" s="4"/>
      <c r="E850" s="4"/>
      <c r="F850" s="4"/>
      <c r="G850" s="4"/>
      <c r="H850" s="4"/>
      <c r="I850" s="4"/>
      <c r="J850" s="4"/>
      <c r="K850" s="4"/>
      <c r="L850" s="4"/>
      <c r="M850" s="4"/>
      <c r="N850" s="4"/>
      <c r="O850" s="4"/>
      <c r="P850" s="4"/>
      <c r="Q850" s="4"/>
      <c r="R850" s="4"/>
      <c r="S850" s="4"/>
      <c r="T850" s="4"/>
      <c r="U850" s="4"/>
      <c r="V850" s="4"/>
      <c r="W850" s="4"/>
      <c r="X850" s="4"/>
      <c r="Y850" s="4"/>
    </row>
    <row r="851" spans="1:25" x14ac:dyDescent="0.2">
      <c r="A851" s="41"/>
      <c r="B851" s="5"/>
      <c r="C851" s="4"/>
      <c r="D851" s="4"/>
      <c r="E851" s="4"/>
      <c r="F851" s="4"/>
      <c r="G851" s="4"/>
      <c r="H851" s="4"/>
      <c r="I851" s="4"/>
      <c r="J851" s="4"/>
      <c r="K851" s="4"/>
      <c r="L851" s="4"/>
      <c r="M851" s="4"/>
      <c r="N851" s="4"/>
      <c r="O851" s="4"/>
      <c r="P851" s="4"/>
      <c r="Q851" s="4"/>
      <c r="R851" s="4"/>
      <c r="S851" s="4"/>
      <c r="T851" s="4"/>
      <c r="U851" s="4"/>
      <c r="V851" s="4"/>
      <c r="W851" s="4"/>
      <c r="X851" s="4"/>
      <c r="Y851" s="4"/>
    </row>
    <row r="852" spans="1:25" x14ac:dyDescent="0.2">
      <c r="A852" s="41"/>
      <c r="B852" s="5"/>
      <c r="C852" s="4"/>
      <c r="D852" s="4"/>
      <c r="E852" s="4"/>
      <c r="F852" s="4"/>
      <c r="G852" s="4"/>
      <c r="H852" s="4"/>
      <c r="I852" s="4"/>
      <c r="J852" s="4"/>
      <c r="K852" s="4"/>
      <c r="L852" s="4"/>
      <c r="M852" s="4"/>
      <c r="N852" s="4"/>
      <c r="O852" s="4"/>
      <c r="P852" s="4"/>
      <c r="Q852" s="4"/>
      <c r="R852" s="4"/>
      <c r="S852" s="4"/>
      <c r="T852" s="4"/>
      <c r="U852" s="4"/>
      <c r="V852" s="4"/>
      <c r="W852" s="4"/>
      <c r="X852" s="4"/>
      <c r="Y852" s="4"/>
    </row>
    <row r="853" spans="1:25" x14ac:dyDescent="0.2">
      <c r="A853" s="41"/>
      <c r="B853" s="5"/>
      <c r="C853" s="4"/>
      <c r="D853" s="4"/>
      <c r="E853" s="4"/>
      <c r="F853" s="4"/>
      <c r="G853" s="4"/>
      <c r="H853" s="4"/>
      <c r="I853" s="4"/>
      <c r="J853" s="4"/>
      <c r="K853" s="4"/>
      <c r="L853" s="4"/>
      <c r="M853" s="4"/>
      <c r="N853" s="4"/>
      <c r="O853" s="4"/>
      <c r="P853" s="4"/>
      <c r="Q853" s="4"/>
      <c r="R853" s="4"/>
      <c r="S853" s="4"/>
      <c r="T853" s="4"/>
      <c r="U853" s="4"/>
      <c r="V853" s="4"/>
      <c r="W853" s="4"/>
      <c r="X853" s="4"/>
      <c r="Y853" s="4"/>
    </row>
    <row r="854" spans="1:25" x14ac:dyDescent="0.2">
      <c r="A854" s="41"/>
      <c r="B854" s="5"/>
      <c r="C854" s="4"/>
      <c r="D854" s="4"/>
      <c r="E854" s="4"/>
      <c r="F854" s="4"/>
      <c r="G854" s="4"/>
      <c r="H854" s="4"/>
      <c r="I854" s="4"/>
      <c r="J854" s="4"/>
      <c r="K854" s="4"/>
      <c r="L854" s="4"/>
      <c r="M854" s="4"/>
      <c r="N854" s="4"/>
      <c r="O854" s="4"/>
      <c r="P854" s="4"/>
      <c r="Q854" s="4"/>
      <c r="R854" s="4"/>
      <c r="S854" s="4"/>
      <c r="T854" s="4"/>
      <c r="U854" s="4"/>
      <c r="V854" s="4"/>
      <c r="W854" s="4"/>
      <c r="X854" s="4"/>
      <c r="Y854" s="4"/>
    </row>
    <row r="855" spans="1:25" x14ac:dyDescent="0.2">
      <c r="A855" s="41"/>
      <c r="B855" s="5"/>
      <c r="C855" s="4"/>
      <c r="D855" s="4"/>
      <c r="E855" s="4"/>
      <c r="F855" s="4"/>
      <c r="G855" s="4"/>
      <c r="H855" s="4"/>
      <c r="I855" s="4"/>
      <c r="J855" s="4"/>
      <c r="K855" s="4"/>
      <c r="L855" s="4"/>
      <c r="M855" s="4"/>
      <c r="N855" s="4"/>
      <c r="O855" s="4"/>
      <c r="P855" s="4"/>
      <c r="Q855" s="4"/>
      <c r="R855" s="4"/>
      <c r="S855" s="4"/>
      <c r="T855" s="4"/>
      <c r="U855" s="4"/>
      <c r="V855" s="4"/>
      <c r="W855" s="4"/>
      <c r="X855" s="4"/>
      <c r="Y855" s="4"/>
    </row>
    <row r="856" spans="1:25" x14ac:dyDescent="0.2">
      <c r="A856" s="41"/>
      <c r="B856" s="5"/>
      <c r="C856" s="4"/>
      <c r="D856" s="4"/>
      <c r="E856" s="4"/>
      <c r="F856" s="4"/>
      <c r="G856" s="4"/>
      <c r="H856" s="4"/>
      <c r="I856" s="4"/>
      <c r="J856" s="4"/>
      <c r="K856" s="4"/>
      <c r="L856" s="4"/>
      <c r="M856" s="4"/>
      <c r="N856" s="4"/>
      <c r="O856" s="4"/>
      <c r="P856" s="4"/>
      <c r="Q856" s="4"/>
      <c r="R856" s="4"/>
      <c r="S856" s="4"/>
      <c r="T856" s="4"/>
      <c r="U856" s="4"/>
      <c r="V856" s="4"/>
      <c r="W856" s="4"/>
      <c r="X856" s="4"/>
      <c r="Y856" s="4"/>
    </row>
    <row r="857" spans="1:25" x14ac:dyDescent="0.2">
      <c r="A857" s="41"/>
      <c r="B857" s="5"/>
      <c r="C857" s="4"/>
      <c r="D857" s="4"/>
      <c r="E857" s="4"/>
      <c r="F857" s="4"/>
      <c r="G857" s="4"/>
      <c r="H857" s="4"/>
      <c r="I857" s="4"/>
      <c r="J857" s="4"/>
      <c r="K857" s="4"/>
      <c r="L857" s="4"/>
      <c r="M857" s="4"/>
      <c r="N857" s="4"/>
      <c r="O857" s="4"/>
      <c r="P857" s="4"/>
      <c r="Q857" s="4"/>
      <c r="R857" s="4"/>
      <c r="S857" s="4"/>
      <c r="T857" s="4"/>
      <c r="U857" s="4"/>
      <c r="V857" s="4"/>
      <c r="W857" s="4"/>
      <c r="X857" s="4"/>
      <c r="Y857" s="4"/>
    </row>
    <row r="858" spans="1:25" x14ac:dyDescent="0.2">
      <c r="A858" s="41"/>
      <c r="B858" s="5"/>
      <c r="C858" s="4"/>
      <c r="D858" s="4"/>
      <c r="E858" s="4"/>
      <c r="F858" s="4"/>
      <c r="G858" s="4"/>
      <c r="H858" s="4"/>
      <c r="I858" s="4"/>
      <c r="J858" s="4"/>
      <c r="K858" s="4"/>
      <c r="L858" s="4"/>
      <c r="M858" s="4"/>
      <c r="N858" s="4"/>
      <c r="O858" s="4"/>
      <c r="P858" s="4"/>
      <c r="Q858" s="4"/>
      <c r="R858" s="4"/>
      <c r="S858" s="4"/>
      <c r="T858" s="4"/>
      <c r="U858" s="4"/>
      <c r="V858" s="4"/>
      <c r="W858" s="4"/>
      <c r="X858" s="4"/>
      <c r="Y858" s="4"/>
    </row>
    <row r="859" spans="1:25" x14ac:dyDescent="0.2">
      <c r="A859" s="41"/>
      <c r="B859" s="5"/>
      <c r="C859" s="4"/>
      <c r="D859" s="4"/>
      <c r="E859" s="4"/>
      <c r="F859" s="4"/>
      <c r="G859" s="4"/>
      <c r="H859" s="4"/>
      <c r="I859" s="4"/>
      <c r="J859" s="4"/>
      <c r="K859" s="4"/>
      <c r="L859" s="4"/>
      <c r="M859" s="4"/>
      <c r="N859" s="4"/>
      <c r="O859" s="4"/>
      <c r="P859" s="4"/>
      <c r="Q859" s="4"/>
      <c r="R859" s="4"/>
      <c r="S859" s="4"/>
      <c r="T859" s="4"/>
      <c r="U859" s="4"/>
      <c r="V859" s="4"/>
      <c r="W859" s="4"/>
      <c r="X859" s="4"/>
      <c r="Y859" s="4"/>
    </row>
    <row r="860" spans="1:25" x14ac:dyDescent="0.2">
      <c r="A860" s="41"/>
      <c r="B860" s="5"/>
      <c r="C860" s="4"/>
      <c r="D860" s="4"/>
      <c r="E860" s="4"/>
      <c r="F860" s="4"/>
      <c r="G860" s="4"/>
      <c r="H860" s="4"/>
      <c r="I860" s="4"/>
      <c r="J860" s="4"/>
      <c r="K860" s="4"/>
      <c r="L860" s="4"/>
      <c r="M860" s="4"/>
      <c r="N860" s="4"/>
      <c r="O860" s="4"/>
      <c r="P860" s="4"/>
      <c r="Q860" s="4"/>
      <c r="R860" s="4"/>
      <c r="S860" s="4"/>
      <c r="T860" s="4"/>
      <c r="U860" s="4"/>
      <c r="V860" s="4"/>
      <c r="W860" s="4"/>
      <c r="X860" s="4"/>
      <c r="Y860" s="4"/>
    </row>
    <row r="861" spans="1:25" x14ac:dyDescent="0.2">
      <c r="A861" s="41"/>
      <c r="B861" s="5"/>
      <c r="C861" s="4"/>
      <c r="D861" s="4"/>
      <c r="E861" s="4"/>
      <c r="F861" s="4"/>
      <c r="G861" s="4"/>
      <c r="H861" s="4"/>
      <c r="I861" s="4"/>
      <c r="J861" s="4"/>
      <c r="K861" s="4"/>
      <c r="L861" s="4"/>
      <c r="M861" s="4"/>
      <c r="N861" s="4"/>
      <c r="O861" s="4"/>
      <c r="P861" s="4"/>
      <c r="Q861" s="4"/>
      <c r="R861" s="4"/>
      <c r="S861" s="4"/>
      <c r="T861" s="4"/>
      <c r="U861" s="4"/>
      <c r="V861" s="4"/>
      <c r="W861" s="4"/>
      <c r="X861" s="4"/>
      <c r="Y861" s="4"/>
    </row>
    <row r="862" spans="1:25" x14ac:dyDescent="0.2">
      <c r="A862" s="41"/>
      <c r="B862" s="5"/>
      <c r="C862" s="4"/>
      <c r="D862" s="4"/>
      <c r="E862" s="4"/>
      <c r="F862" s="4"/>
      <c r="G862" s="4"/>
      <c r="H862" s="4"/>
      <c r="I862" s="4"/>
      <c r="J862" s="4"/>
      <c r="K862" s="4"/>
      <c r="L862" s="4"/>
      <c r="M862" s="4"/>
      <c r="N862" s="4"/>
      <c r="O862" s="4"/>
      <c r="P862" s="4"/>
      <c r="Q862" s="4"/>
      <c r="R862" s="4"/>
      <c r="S862" s="4"/>
      <c r="T862" s="4"/>
      <c r="U862" s="4"/>
      <c r="V862" s="4"/>
      <c r="W862" s="4"/>
      <c r="X862" s="4"/>
      <c r="Y862" s="4"/>
    </row>
    <row r="863" spans="1:25" x14ac:dyDescent="0.2">
      <c r="A863" s="41"/>
      <c r="B863" s="5"/>
      <c r="C863" s="4"/>
      <c r="D863" s="4"/>
      <c r="E863" s="4"/>
      <c r="F863" s="4"/>
      <c r="G863" s="4"/>
      <c r="H863" s="4"/>
      <c r="I863" s="4"/>
      <c r="J863" s="4"/>
      <c r="K863" s="4"/>
      <c r="L863" s="4"/>
      <c r="M863" s="4"/>
      <c r="N863" s="4"/>
      <c r="O863" s="4"/>
      <c r="P863" s="4"/>
      <c r="Q863" s="4"/>
      <c r="R863" s="4"/>
      <c r="S863" s="4"/>
      <c r="T863" s="4"/>
      <c r="U863" s="4"/>
      <c r="V863" s="4"/>
      <c r="W863" s="4"/>
      <c r="X863" s="4"/>
      <c r="Y863" s="4"/>
    </row>
    <row r="864" spans="1:25" x14ac:dyDescent="0.2">
      <c r="A864" s="41"/>
      <c r="B864" s="5"/>
      <c r="C864" s="4"/>
      <c r="D864" s="4"/>
      <c r="E864" s="4"/>
      <c r="F864" s="4"/>
      <c r="G864" s="4"/>
      <c r="H864" s="4"/>
      <c r="I864" s="4"/>
      <c r="J864" s="4"/>
      <c r="K864" s="4"/>
      <c r="L864" s="4"/>
      <c r="M864" s="4"/>
      <c r="N864" s="4"/>
      <c r="O864" s="4"/>
      <c r="P864" s="4"/>
      <c r="Q864" s="4"/>
      <c r="R864" s="4"/>
      <c r="S864" s="4"/>
      <c r="T864" s="4"/>
      <c r="U864" s="4"/>
      <c r="V864" s="4"/>
      <c r="W864" s="4"/>
      <c r="X864" s="4"/>
      <c r="Y864" s="4"/>
    </row>
    <row r="865" spans="1:25" x14ac:dyDescent="0.2">
      <c r="A865" s="41"/>
      <c r="B865" s="5"/>
      <c r="C865" s="4"/>
      <c r="D865" s="4"/>
      <c r="E865" s="4"/>
      <c r="F865" s="4"/>
      <c r="G865" s="4"/>
      <c r="H865" s="4"/>
      <c r="I865" s="4"/>
      <c r="J865" s="4"/>
      <c r="K865" s="4"/>
      <c r="L865" s="4"/>
      <c r="M865" s="4"/>
      <c r="N865" s="4"/>
      <c r="O865" s="4"/>
      <c r="P865" s="4"/>
      <c r="Q865" s="4"/>
      <c r="R865" s="4"/>
      <c r="S865" s="4"/>
      <c r="T865" s="4"/>
      <c r="U865" s="4"/>
      <c r="V865" s="4"/>
      <c r="W865" s="4"/>
      <c r="X865" s="4"/>
      <c r="Y865" s="4"/>
    </row>
    <row r="866" spans="1:25" x14ac:dyDescent="0.2">
      <c r="A866" s="41"/>
      <c r="B866" s="5"/>
      <c r="C866" s="4"/>
      <c r="D866" s="4"/>
      <c r="E866" s="4"/>
      <c r="F866" s="4"/>
      <c r="G866" s="4"/>
      <c r="H866" s="4"/>
      <c r="I866" s="4"/>
      <c r="J866" s="4"/>
      <c r="K866" s="4"/>
      <c r="L866" s="4"/>
      <c r="M866" s="4"/>
      <c r="N866" s="4"/>
      <c r="O866" s="4"/>
      <c r="P866" s="4"/>
      <c r="Q866" s="4"/>
      <c r="R866" s="4"/>
      <c r="S866" s="4"/>
      <c r="T866" s="4"/>
      <c r="U866" s="4"/>
      <c r="V866" s="4"/>
      <c r="W866" s="4"/>
      <c r="X866" s="4"/>
      <c r="Y866" s="4"/>
    </row>
    <row r="867" spans="1:25" x14ac:dyDescent="0.2">
      <c r="A867" s="41"/>
      <c r="B867" s="5"/>
      <c r="C867" s="4"/>
      <c r="D867" s="4"/>
      <c r="E867" s="4"/>
      <c r="F867" s="4"/>
      <c r="G867" s="4"/>
      <c r="H867" s="4"/>
      <c r="I867" s="4"/>
      <c r="J867" s="4"/>
      <c r="K867" s="4"/>
      <c r="L867" s="4"/>
      <c r="M867" s="4"/>
      <c r="N867" s="4"/>
      <c r="O867" s="4"/>
      <c r="P867" s="4"/>
      <c r="Q867" s="4"/>
      <c r="R867" s="4"/>
      <c r="S867" s="4"/>
      <c r="T867" s="4"/>
      <c r="U867" s="4"/>
      <c r="V867" s="4"/>
      <c r="W867" s="4"/>
      <c r="X867" s="4"/>
      <c r="Y867" s="4"/>
    </row>
    <row r="868" spans="1:25" x14ac:dyDescent="0.2">
      <c r="A868" s="41"/>
      <c r="B868" s="5"/>
      <c r="C868" s="4"/>
      <c r="D868" s="4"/>
      <c r="E868" s="4"/>
      <c r="F868" s="4"/>
      <c r="G868" s="4"/>
      <c r="H868" s="4"/>
      <c r="I868" s="4"/>
      <c r="J868" s="4"/>
      <c r="K868" s="4"/>
      <c r="L868" s="4"/>
      <c r="M868" s="4"/>
      <c r="N868" s="4"/>
      <c r="O868" s="4"/>
      <c r="P868" s="4"/>
      <c r="Q868" s="4"/>
      <c r="R868" s="4"/>
      <c r="S868" s="4"/>
      <c r="T868" s="4"/>
      <c r="U868" s="4"/>
      <c r="V868" s="4"/>
      <c r="W868" s="4"/>
      <c r="X868" s="4"/>
      <c r="Y868" s="4"/>
    </row>
    <row r="869" spans="1:25" x14ac:dyDescent="0.2">
      <c r="A869" s="41"/>
      <c r="B869" s="5"/>
      <c r="C869" s="4"/>
      <c r="D869" s="4"/>
      <c r="E869" s="4"/>
      <c r="F869" s="4"/>
      <c r="G869" s="4"/>
      <c r="H869" s="4"/>
      <c r="I869" s="4"/>
      <c r="J869" s="4"/>
      <c r="K869" s="4"/>
      <c r="L869" s="4"/>
      <c r="M869" s="4"/>
      <c r="N869" s="4"/>
      <c r="O869" s="4"/>
      <c r="P869" s="4"/>
      <c r="Q869" s="4"/>
      <c r="R869" s="4"/>
      <c r="S869" s="4"/>
      <c r="T869" s="4"/>
      <c r="U869" s="4"/>
      <c r="V869" s="4"/>
      <c r="W869" s="4"/>
      <c r="X869" s="4"/>
      <c r="Y869" s="4"/>
    </row>
    <row r="870" spans="1:25" x14ac:dyDescent="0.2">
      <c r="A870" s="41"/>
      <c r="B870" s="5"/>
      <c r="C870" s="4"/>
      <c r="D870" s="4"/>
      <c r="E870" s="4"/>
      <c r="F870" s="4"/>
      <c r="G870" s="4"/>
      <c r="H870" s="4"/>
      <c r="I870" s="4"/>
      <c r="J870" s="4"/>
      <c r="K870" s="4"/>
      <c r="L870" s="4"/>
      <c r="M870" s="4"/>
      <c r="N870" s="4"/>
      <c r="O870" s="4"/>
      <c r="P870" s="4"/>
      <c r="Q870" s="4"/>
      <c r="R870" s="4"/>
      <c r="S870" s="4"/>
      <c r="T870" s="4"/>
      <c r="U870" s="4"/>
      <c r="V870" s="4"/>
      <c r="W870" s="4"/>
      <c r="X870" s="4"/>
      <c r="Y870" s="4"/>
    </row>
    <row r="871" spans="1:25" x14ac:dyDescent="0.2">
      <c r="A871" s="41"/>
      <c r="B871" s="5"/>
      <c r="C871" s="4"/>
      <c r="D871" s="4"/>
      <c r="E871" s="4"/>
      <c r="F871" s="4"/>
      <c r="G871" s="4"/>
      <c r="H871" s="4"/>
      <c r="I871" s="4"/>
      <c r="J871" s="4"/>
      <c r="K871" s="4"/>
      <c r="L871" s="4"/>
      <c r="M871" s="4"/>
      <c r="N871" s="4"/>
      <c r="O871" s="4"/>
      <c r="P871" s="4"/>
      <c r="Q871" s="4"/>
      <c r="R871" s="4"/>
      <c r="S871" s="4"/>
      <c r="T871" s="4"/>
      <c r="U871" s="4"/>
      <c r="V871" s="4"/>
      <c r="W871" s="4"/>
      <c r="X871" s="4"/>
      <c r="Y871" s="4"/>
    </row>
    <row r="872" spans="1:25" x14ac:dyDescent="0.2">
      <c r="A872" s="41"/>
      <c r="B872" s="5"/>
      <c r="C872" s="4"/>
      <c r="D872" s="4"/>
      <c r="E872" s="4"/>
      <c r="F872" s="4"/>
      <c r="G872" s="4"/>
      <c r="H872" s="4"/>
      <c r="I872" s="4"/>
      <c r="J872" s="4"/>
      <c r="K872" s="4"/>
      <c r="L872" s="4"/>
      <c r="M872" s="4"/>
      <c r="N872" s="4"/>
      <c r="O872" s="4"/>
      <c r="P872" s="4"/>
      <c r="Q872" s="4"/>
      <c r="R872" s="4"/>
      <c r="S872" s="4"/>
      <c r="T872" s="4"/>
      <c r="U872" s="4"/>
      <c r="V872" s="4"/>
      <c r="W872" s="4"/>
      <c r="X872" s="4"/>
      <c r="Y872" s="4"/>
    </row>
    <row r="873" spans="1:25" x14ac:dyDescent="0.2">
      <c r="A873" s="41"/>
      <c r="B873" s="5"/>
      <c r="C873" s="4"/>
      <c r="D873" s="4"/>
      <c r="E873" s="4"/>
      <c r="F873" s="4"/>
      <c r="G873" s="4"/>
      <c r="H873" s="4"/>
      <c r="I873" s="4"/>
      <c r="J873" s="4"/>
      <c r="K873" s="4"/>
      <c r="L873" s="4"/>
      <c r="M873" s="4"/>
      <c r="N873" s="4"/>
      <c r="O873" s="4"/>
      <c r="P873" s="4"/>
      <c r="Q873" s="4"/>
      <c r="R873" s="4"/>
      <c r="S873" s="4"/>
      <c r="T873" s="4"/>
      <c r="U873" s="4"/>
      <c r="V873" s="4"/>
      <c r="W873" s="4"/>
      <c r="X873" s="4"/>
      <c r="Y873" s="4"/>
    </row>
    <row r="874" spans="1:25" x14ac:dyDescent="0.2">
      <c r="A874" s="41"/>
      <c r="B874" s="5"/>
      <c r="C874" s="4"/>
      <c r="D874" s="4"/>
      <c r="E874" s="4"/>
      <c r="F874" s="4"/>
      <c r="G874" s="4"/>
      <c r="H874" s="4"/>
      <c r="I874" s="4"/>
      <c r="J874" s="4"/>
      <c r="K874" s="4"/>
      <c r="L874" s="4"/>
      <c r="M874" s="4"/>
      <c r="N874" s="4"/>
      <c r="O874" s="4"/>
      <c r="P874" s="4"/>
      <c r="Q874" s="4"/>
      <c r="R874" s="4"/>
      <c r="S874" s="4"/>
      <c r="T874" s="4"/>
      <c r="U874" s="4"/>
      <c r="V874" s="4"/>
      <c r="W874" s="4"/>
      <c r="X874" s="4"/>
      <c r="Y874" s="4"/>
    </row>
    <row r="875" spans="1:25" x14ac:dyDescent="0.2">
      <c r="A875" s="41"/>
      <c r="B875" s="5"/>
      <c r="C875" s="4"/>
      <c r="D875" s="4"/>
      <c r="E875" s="4"/>
      <c r="F875" s="4"/>
      <c r="G875" s="4"/>
      <c r="H875" s="4"/>
      <c r="I875" s="4"/>
      <c r="J875" s="4"/>
      <c r="K875" s="4"/>
      <c r="L875" s="4"/>
      <c r="M875" s="4"/>
      <c r="N875" s="4"/>
      <c r="O875" s="4"/>
      <c r="P875" s="4"/>
      <c r="Q875" s="4"/>
      <c r="R875" s="4"/>
      <c r="S875" s="4"/>
      <c r="T875" s="4"/>
      <c r="U875" s="4"/>
      <c r="V875" s="4"/>
      <c r="W875" s="4"/>
      <c r="X875" s="4"/>
      <c r="Y875" s="4"/>
    </row>
    <row r="876" spans="1:25" x14ac:dyDescent="0.2">
      <c r="A876" s="41"/>
      <c r="B876" s="5"/>
      <c r="C876" s="4"/>
      <c r="D876" s="4"/>
      <c r="E876" s="4"/>
      <c r="F876" s="4"/>
      <c r="G876" s="4"/>
      <c r="H876" s="4"/>
      <c r="I876" s="4"/>
      <c r="J876" s="4"/>
      <c r="K876" s="4"/>
      <c r="L876" s="4"/>
      <c r="M876" s="4"/>
      <c r="N876" s="4"/>
      <c r="O876" s="4"/>
      <c r="P876" s="4"/>
      <c r="Q876" s="4"/>
      <c r="R876" s="4"/>
      <c r="S876" s="4"/>
      <c r="T876" s="4"/>
      <c r="U876" s="4"/>
      <c r="V876" s="4"/>
      <c r="W876" s="4"/>
      <c r="X876" s="4"/>
      <c r="Y876" s="4"/>
    </row>
    <row r="877" spans="1:25" x14ac:dyDescent="0.2">
      <c r="A877" s="41"/>
      <c r="B877" s="5"/>
      <c r="C877" s="4"/>
      <c r="D877" s="4"/>
      <c r="E877" s="4"/>
      <c r="F877" s="4"/>
      <c r="G877" s="4"/>
      <c r="H877" s="4"/>
      <c r="I877" s="4"/>
      <c r="J877" s="4"/>
      <c r="K877" s="4"/>
      <c r="L877" s="4"/>
      <c r="M877" s="4"/>
      <c r="N877" s="4"/>
      <c r="O877" s="4"/>
      <c r="P877" s="4"/>
      <c r="Q877" s="4"/>
      <c r="R877" s="4"/>
      <c r="S877" s="4"/>
      <c r="T877" s="4"/>
      <c r="U877" s="4"/>
      <c r="V877" s="4"/>
      <c r="W877" s="4"/>
      <c r="X877" s="4"/>
      <c r="Y877" s="4"/>
    </row>
    <row r="878" spans="1:25" x14ac:dyDescent="0.2">
      <c r="A878" s="41"/>
      <c r="B878" s="5"/>
      <c r="C878" s="4"/>
      <c r="D878" s="4"/>
      <c r="E878" s="4"/>
      <c r="F878" s="4"/>
      <c r="G878" s="4"/>
      <c r="H878" s="4"/>
      <c r="I878" s="4"/>
      <c r="J878" s="4"/>
      <c r="K878" s="4"/>
      <c r="L878" s="4"/>
      <c r="M878" s="4"/>
      <c r="N878" s="4"/>
      <c r="O878" s="4"/>
      <c r="P878" s="4"/>
      <c r="Q878" s="4"/>
      <c r="R878" s="4"/>
      <c r="S878" s="4"/>
      <c r="T878" s="4"/>
      <c r="U878" s="4"/>
      <c r="V878" s="4"/>
      <c r="W878" s="4"/>
      <c r="X878" s="4"/>
      <c r="Y878" s="4"/>
    </row>
    <row r="879" spans="1:25" x14ac:dyDescent="0.2">
      <c r="A879" s="41"/>
      <c r="B879" s="5"/>
      <c r="C879" s="4"/>
      <c r="D879" s="4"/>
      <c r="E879" s="4"/>
      <c r="F879" s="4"/>
      <c r="G879" s="4"/>
      <c r="H879" s="4"/>
      <c r="I879" s="4"/>
      <c r="J879" s="4"/>
      <c r="K879" s="4"/>
      <c r="L879" s="4"/>
      <c r="M879" s="4"/>
      <c r="N879" s="4"/>
      <c r="O879" s="4"/>
      <c r="P879" s="4"/>
      <c r="Q879" s="4"/>
      <c r="R879" s="4"/>
      <c r="S879" s="4"/>
      <c r="T879" s="4"/>
      <c r="U879" s="4"/>
      <c r="V879" s="4"/>
      <c r="W879" s="4"/>
      <c r="X879" s="4"/>
      <c r="Y879" s="4"/>
    </row>
    <row r="880" spans="1:25" x14ac:dyDescent="0.2">
      <c r="A880" s="41"/>
      <c r="B880" s="5"/>
      <c r="C880" s="4"/>
      <c r="D880" s="4"/>
      <c r="E880" s="4"/>
      <c r="F880" s="4"/>
      <c r="G880" s="4"/>
      <c r="H880" s="4"/>
      <c r="I880" s="4"/>
      <c r="J880" s="4"/>
      <c r="K880" s="4"/>
      <c r="L880" s="4"/>
      <c r="M880" s="4"/>
      <c r="N880" s="4"/>
      <c r="O880" s="4"/>
      <c r="P880" s="4"/>
      <c r="Q880" s="4"/>
      <c r="R880" s="4"/>
      <c r="S880" s="4"/>
      <c r="T880" s="4"/>
      <c r="U880" s="4"/>
      <c r="V880" s="4"/>
      <c r="W880" s="4"/>
      <c r="X880" s="4"/>
      <c r="Y880" s="4"/>
    </row>
    <row r="881" spans="1:25" x14ac:dyDescent="0.2">
      <c r="A881" s="41"/>
      <c r="B881" s="5"/>
      <c r="C881" s="4"/>
      <c r="D881" s="4"/>
      <c r="E881" s="4"/>
      <c r="F881" s="4"/>
      <c r="G881" s="4"/>
      <c r="H881" s="4"/>
      <c r="I881" s="4"/>
      <c r="J881" s="4"/>
      <c r="K881" s="4"/>
      <c r="L881" s="4"/>
      <c r="M881" s="4"/>
      <c r="N881" s="4"/>
      <c r="O881" s="4"/>
      <c r="P881" s="4"/>
      <c r="Q881" s="4"/>
      <c r="R881" s="4"/>
      <c r="S881" s="4"/>
      <c r="T881" s="4"/>
      <c r="U881" s="4"/>
      <c r="V881" s="4"/>
      <c r="W881" s="4"/>
      <c r="X881" s="4"/>
      <c r="Y881" s="4"/>
    </row>
    <row r="882" spans="1:25" x14ac:dyDescent="0.2">
      <c r="A882" s="41"/>
      <c r="B882" s="5"/>
      <c r="C882" s="4"/>
      <c r="D882" s="4"/>
      <c r="E882" s="4"/>
      <c r="F882" s="4"/>
      <c r="G882" s="4"/>
      <c r="H882" s="4"/>
      <c r="I882" s="4"/>
      <c r="J882" s="4"/>
      <c r="K882" s="4"/>
      <c r="L882" s="4"/>
      <c r="M882" s="4"/>
      <c r="N882" s="4"/>
      <c r="O882" s="4"/>
      <c r="P882" s="4"/>
      <c r="Q882" s="4"/>
      <c r="R882" s="4"/>
      <c r="S882" s="4"/>
      <c r="T882" s="4"/>
      <c r="U882" s="4"/>
      <c r="V882" s="4"/>
      <c r="W882" s="4"/>
      <c r="X882" s="4"/>
      <c r="Y882" s="4"/>
    </row>
    <row r="883" spans="1:25" x14ac:dyDescent="0.2">
      <c r="A883" s="41"/>
      <c r="B883" s="5"/>
      <c r="C883" s="4"/>
      <c r="D883" s="4"/>
      <c r="E883" s="4"/>
      <c r="F883" s="4"/>
      <c r="G883" s="4"/>
      <c r="H883" s="4"/>
      <c r="I883" s="4"/>
      <c r="J883" s="4"/>
      <c r="K883" s="4"/>
      <c r="L883" s="4"/>
      <c r="M883" s="4"/>
      <c r="N883" s="4"/>
      <c r="O883" s="4"/>
      <c r="P883" s="4"/>
      <c r="Q883" s="4"/>
      <c r="R883" s="4"/>
      <c r="S883" s="4"/>
      <c r="T883" s="4"/>
      <c r="U883" s="4"/>
      <c r="V883" s="4"/>
      <c r="W883" s="4"/>
      <c r="X883" s="4"/>
      <c r="Y883" s="4"/>
    </row>
    <row r="884" spans="1:25" x14ac:dyDescent="0.2">
      <c r="A884" s="41"/>
      <c r="B884" s="5"/>
      <c r="C884" s="4"/>
      <c r="D884" s="4"/>
      <c r="E884" s="4"/>
      <c r="F884" s="4"/>
      <c r="G884" s="4"/>
      <c r="H884" s="4"/>
      <c r="I884" s="4"/>
      <c r="J884" s="4"/>
      <c r="K884" s="4"/>
      <c r="L884" s="4"/>
      <c r="M884" s="4"/>
      <c r="N884" s="4"/>
      <c r="O884" s="4"/>
      <c r="P884" s="4"/>
      <c r="Q884" s="4"/>
      <c r="R884" s="4"/>
      <c r="S884" s="4"/>
      <c r="T884" s="4"/>
      <c r="U884" s="4"/>
      <c r="V884" s="4"/>
      <c r="W884" s="4"/>
      <c r="X884" s="4"/>
      <c r="Y884" s="4"/>
    </row>
    <row r="885" spans="1:25" x14ac:dyDescent="0.2">
      <c r="A885" s="41"/>
      <c r="B885" s="5"/>
      <c r="C885" s="4"/>
      <c r="D885" s="4"/>
      <c r="E885" s="4"/>
      <c r="F885" s="4"/>
      <c r="G885" s="4"/>
      <c r="H885" s="4"/>
      <c r="I885" s="4"/>
      <c r="J885" s="4"/>
      <c r="K885" s="4"/>
      <c r="L885" s="4"/>
      <c r="M885" s="4"/>
      <c r="N885" s="4"/>
      <c r="O885" s="4"/>
      <c r="P885" s="4"/>
      <c r="Q885" s="4"/>
      <c r="R885" s="4"/>
      <c r="S885" s="4"/>
      <c r="T885" s="4"/>
      <c r="U885" s="4"/>
      <c r="V885" s="4"/>
      <c r="W885" s="4"/>
      <c r="X885" s="4"/>
      <c r="Y885" s="4"/>
    </row>
    <row r="886" spans="1:25" x14ac:dyDescent="0.2">
      <c r="A886" s="41"/>
      <c r="B886" s="5"/>
      <c r="C886" s="4"/>
      <c r="D886" s="4"/>
      <c r="E886" s="4"/>
      <c r="F886" s="4"/>
      <c r="G886" s="4"/>
      <c r="H886" s="4"/>
      <c r="I886" s="4"/>
      <c r="J886" s="4"/>
      <c r="K886" s="4"/>
      <c r="L886" s="4"/>
      <c r="M886" s="4"/>
      <c r="N886" s="4"/>
      <c r="O886" s="4"/>
      <c r="P886" s="4"/>
      <c r="Q886" s="4"/>
      <c r="R886" s="4"/>
      <c r="S886" s="4"/>
      <c r="T886" s="4"/>
      <c r="U886" s="4"/>
      <c r="V886" s="4"/>
      <c r="W886" s="4"/>
      <c r="X886" s="4"/>
      <c r="Y886" s="4"/>
    </row>
    <row r="887" spans="1:25" x14ac:dyDescent="0.2">
      <c r="A887" s="41"/>
      <c r="B887" s="5"/>
      <c r="C887" s="4"/>
      <c r="D887" s="4"/>
      <c r="E887" s="4"/>
      <c r="F887" s="4"/>
      <c r="G887" s="4"/>
      <c r="H887" s="4"/>
      <c r="I887" s="4"/>
      <c r="J887" s="4"/>
      <c r="K887" s="4"/>
      <c r="L887" s="4"/>
      <c r="M887" s="4"/>
      <c r="N887" s="4"/>
      <c r="O887" s="4"/>
      <c r="P887" s="4"/>
      <c r="Q887" s="4"/>
      <c r="R887" s="4"/>
      <c r="S887" s="4"/>
      <c r="T887" s="4"/>
      <c r="U887" s="4"/>
      <c r="V887" s="4"/>
      <c r="W887" s="4"/>
      <c r="X887" s="4"/>
      <c r="Y887" s="4"/>
    </row>
    <row r="888" spans="1:25" x14ac:dyDescent="0.2">
      <c r="A888" s="41"/>
      <c r="B888" s="5"/>
      <c r="C888" s="4"/>
      <c r="D888" s="4"/>
      <c r="E888" s="4"/>
      <c r="F888" s="4"/>
      <c r="G888" s="4"/>
      <c r="H888" s="4"/>
      <c r="I888" s="4"/>
      <c r="J888" s="4"/>
      <c r="K888" s="4"/>
      <c r="L888" s="4"/>
      <c r="M888" s="4"/>
      <c r="N888" s="4"/>
      <c r="O888" s="4"/>
      <c r="P888" s="4"/>
      <c r="Q888" s="4"/>
      <c r="R888" s="4"/>
      <c r="S888" s="4"/>
      <c r="T888" s="4"/>
      <c r="U888" s="4"/>
      <c r="V888" s="4"/>
      <c r="W888" s="4"/>
      <c r="X888" s="4"/>
      <c r="Y888" s="4"/>
    </row>
    <row r="889" spans="1:25" x14ac:dyDescent="0.2">
      <c r="A889" s="41"/>
      <c r="B889" s="5"/>
      <c r="C889" s="4"/>
      <c r="D889" s="4"/>
      <c r="E889" s="4"/>
      <c r="F889" s="4"/>
      <c r="G889" s="4"/>
      <c r="H889" s="4"/>
      <c r="I889" s="4"/>
      <c r="J889" s="4"/>
      <c r="K889" s="4"/>
      <c r="L889" s="4"/>
      <c r="M889" s="4"/>
      <c r="N889" s="4"/>
      <c r="O889" s="4"/>
      <c r="P889" s="4"/>
      <c r="Q889" s="4"/>
      <c r="R889" s="4"/>
      <c r="S889" s="4"/>
      <c r="T889" s="4"/>
      <c r="U889" s="4"/>
      <c r="V889" s="4"/>
      <c r="W889" s="4"/>
      <c r="X889" s="4"/>
      <c r="Y889" s="4"/>
    </row>
    <row r="890" spans="1:25" x14ac:dyDescent="0.2">
      <c r="A890" s="41"/>
      <c r="B890" s="5"/>
      <c r="C890" s="4"/>
      <c r="D890" s="4"/>
      <c r="E890" s="4"/>
      <c r="F890" s="4"/>
      <c r="G890" s="4"/>
      <c r="H890" s="4"/>
      <c r="I890" s="4"/>
      <c r="J890" s="4"/>
      <c r="K890" s="4"/>
      <c r="L890" s="4"/>
      <c r="M890" s="4"/>
      <c r="N890" s="4"/>
      <c r="O890" s="4"/>
      <c r="P890" s="4"/>
      <c r="Q890" s="4"/>
      <c r="R890" s="4"/>
      <c r="S890" s="4"/>
      <c r="T890" s="4"/>
      <c r="U890" s="4"/>
      <c r="V890" s="4"/>
      <c r="W890" s="4"/>
      <c r="X890" s="4"/>
      <c r="Y890" s="4"/>
    </row>
    <row r="891" spans="1:25" x14ac:dyDescent="0.2">
      <c r="A891" s="41"/>
      <c r="B891" s="5"/>
      <c r="C891" s="4"/>
      <c r="D891" s="4"/>
      <c r="E891" s="4"/>
      <c r="F891" s="4"/>
      <c r="G891" s="4"/>
      <c r="H891" s="4"/>
      <c r="I891" s="4"/>
      <c r="J891" s="4"/>
      <c r="K891" s="4"/>
      <c r="L891" s="4"/>
      <c r="M891" s="4"/>
      <c r="N891" s="4"/>
      <c r="O891" s="4"/>
      <c r="P891" s="4"/>
      <c r="Q891" s="4"/>
      <c r="R891" s="4"/>
      <c r="S891" s="4"/>
      <c r="T891" s="4"/>
      <c r="U891" s="4"/>
      <c r="V891" s="4"/>
      <c r="W891" s="4"/>
      <c r="X891" s="4"/>
      <c r="Y891" s="4"/>
    </row>
    <row r="892" spans="1:25" x14ac:dyDescent="0.2">
      <c r="A892" s="41"/>
      <c r="B892" s="5"/>
      <c r="C892" s="4"/>
      <c r="D892" s="4"/>
      <c r="E892" s="4"/>
      <c r="F892" s="4"/>
      <c r="G892" s="4"/>
      <c r="H892" s="4"/>
      <c r="I892" s="4"/>
      <c r="J892" s="4"/>
      <c r="K892" s="4"/>
      <c r="L892" s="4"/>
      <c r="M892" s="4"/>
      <c r="N892" s="4"/>
      <c r="O892" s="4"/>
      <c r="P892" s="4"/>
      <c r="Q892" s="4"/>
      <c r="R892" s="4"/>
      <c r="S892" s="4"/>
      <c r="T892" s="4"/>
      <c r="U892" s="4"/>
      <c r="V892" s="4"/>
      <c r="W892" s="4"/>
      <c r="X892" s="4"/>
      <c r="Y892" s="4"/>
    </row>
    <row r="893" spans="1:25" x14ac:dyDescent="0.2">
      <c r="A893" s="41"/>
      <c r="B893" s="5"/>
      <c r="C893" s="4"/>
      <c r="D893" s="4"/>
      <c r="E893" s="4"/>
      <c r="F893" s="4"/>
      <c r="G893" s="4"/>
      <c r="H893" s="4"/>
      <c r="I893" s="4"/>
      <c r="J893" s="4"/>
      <c r="K893" s="4"/>
      <c r="L893" s="4"/>
      <c r="M893" s="4"/>
      <c r="N893" s="4"/>
      <c r="O893" s="4"/>
      <c r="P893" s="4"/>
      <c r="Q893" s="4"/>
      <c r="R893" s="4"/>
      <c r="S893" s="4"/>
      <c r="T893" s="4"/>
      <c r="U893" s="4"/>
      <c r="V893" s="4"/>
      <c r="W893" s="4"/>
      <c r="X893" s="4"/>
      <c r="Y893" s="4"/>
    </row>
    <row r="894" spans="1:25" x14ac:dyDescent="0.2">
      <c r="A894" s="41"/>
      <c r="B894" s="5"/>
      <c r="C894" s="4"/>
      <c r="D894" s="4"/>
      <c r="E894" s="4"/>
      <c r="F894" s="4"/>
      <c r="G894" s="4"/>
      <c r="H894" s="4"/>
      <c r="I894" s="4"/>
      <c r="J894" s="4"/>
      <c r="K894" s="4"/>
      <c r="L894" s="4"/>
      <c r="M894" s="4"/>
      <c r="N894" s="4"/>
      <c r="O894" s="4"/>
      <c r="P894" s="4"/>
      <c r="Q894" s="4"/>
      <c r="R894" s="4"/>
      <c r="S894" s="4"/>
      <c r="T894" s="4"/>
      <c r="U894" s="4"/>
      <c r="V894" s="4"/>
      <c r="W894" s="4"/>
      <c r="X894" s="4"/>
      <c r="Y894" s="4"/>
    </row>
    <row r="895" spans="1:25" x14ac:dyDescent="0.2">
      <c r="A895" s="41"/>
      <c r="B895" s="5"/>
      <c r="C895" s="4"/>
      <c r="D895" s="4"/>
      <c r="E895" s="4"/>
      <c r="F895" s="4"/>
      <c r="G895" s="4"/>
      <c r="H895" s="4"/>
      <c r="I895" s="4"/>
      <c r="J895" s="4"/>
      <c r="K895" s="4"/>
      <c r="L895" s="4"/>
      <c r="M895" s="4"/>
      <c r="N895" s="4"/>
      <c r="O895" s="4"/>
      <c r="P895" s="4"/>
      <c r="Q895" s="4"/>
      <c r="R895" s="4"/>
      <c r="S895" s="4"/>
      <c r="T895" s="4"/>
      <c r="U895" s="4"/>
      <c r="V895" s="4"/>
      <c r="W895" s="4"/>
      <c r="X895" s="4"/>
      <c r="Y895" s="4"/>
    </row>
    <row r="896" spans="1:25" x14ac:dyDescent="0.2">
      <c r="A896" s="41"/>
      <c r="B896" s="5"/>
      <c r="C896" s="4"/>
      <c r="D896" s="4"/>
      <c r="E896" s="4"/>
      <c r="F896" s="4"/>
      <c r="G896" s="4"/>
      <c r="H896" s="4"/>
      <c r="I896" s="4"/>
      <c r="J896" s="4"/>
      <c r="K896" s="4"/>
      <c r="L896" s="4"/>
      <c r="M896" s="4"/>
      <c r="N896" s="4"/>
      <c r="O896" s="4"/>
      <c r="P896" s="4"/>
      <c r="Q896" s="4"/>
      <c r="R896" s="4"/>
      <c r="S896" s="4"/>
      <c r="T896" s="4"/>
      <c r="U896" s="4"/>
      <c r="V896" s="4"/>
      <c r="W896" s="4"/>
      <c r="X896" s="4"/>
      <c r="Y896" s="4"/>
    </row>
    <row r="897" spans="1:25" x14ac:dyDescent="0.2">
      <c r="A897" s="41"/>
      <c r="B897" s="5"/>
      <c r="C897" s="4"/>
      <c r="D897" s="4"/>
      <c r="E897" s="4"/>
      <c r="F897" s="4"/>
      <c r="G897" s="4"/>
      <c r="H897" s="4"/>
      <c r="I897" s="4"/>
      <c r="J897" s="4"/>
      <c r="K897" s="4"/>
      <c r="L897" s="4"/>
      <c r="M897" s="4"/>
      <c r="N897" s="4"/>
      <c r="O897" s="4"/>
      <c r="P897" s="4"/>
      <c r="Q897" s="4"/>
      <c r="R897" s="4"/>
      <c r="S897" s="4"/>
      <c r="T897" s="4"/>
      <c r="U897" s="4"/>
      <c r="V897" s="4"/>
      <c r="W897" s="4"/>
      <c r="X897" s="4"/>
      <c r="Y897" s="4"/>
    </row>
    <row r="898" spans="1:25" x14ac:dyDescent="0.2">
      <c r="A898" s="41"/>
      <c r="B898" s="5"/>
      <c r="C898" s="4"/>
      <c r="D898" s="4"/>
      <c r="E898" s="4"/>
      <c r="F898" s="4"/>
      <c r="G898" s="4"/>
      <c r="H898" s="4"/>
      <c r="I898" s="4"/>
      <c r="J898" s="4"/>
      <c r="K898" s="4"/>
      <c r="L898" s="4"/>
      <c r="M898" s="4"/>
      <c r="N898" s="4"/>
      <c r="O898" s="4"/>
      <c r="P898" s="4"/>
      <c r="Q898" s="4"/>
      <c r="R898" s="4"/>
      <c r="S898" s="4"/>
      <c r="T898" s="4"/>
      <c r="U898" s="4"/>
      <c r="V898" s="4"/>
      <c r="W898" s="4"/>
      <c r="X898" s="4"/>
      <c r="Y898" s="4"/>
    </row>
    <row r="899" spans="1:25" x14ac:dyDescent="0.2">
      <c r="A899" s="41"/>
      <c r="B899" s="5"/>
      <c r="C899" s="4"/>
      <c r="D899" s="4"/>
      <c r="E899" s="4"/>
      <c r="F899" s="4"/>
      <c r="G899" s="4"/>
      <c r="H899" s="4"/>
      <c r="I899" s="4"/>
      <c r="J899" s="4"/>
      <c r="K899" s="4"/>
      <c r="L899" s="4"/>
      <c r="M899" s="4"/>
      <c r="N899" s="4"/>
      <c r="O899" s="4"/>
      <c r="P899" s="4"/>
      <c r="Q899" s="4"/>
      <c r="R899" s="4"/>
      <c r="S899" s="4"/>
      <c r="T899" s="4"/>
      <c r="U899" s="4"/>
      <c r="V899" s="4"/>
      <c r="W899" s="4"/>
      <c r="X899" s="4"/>
      <c r="Y899" s="4"/>
    </row>
    <row r="900" spans="1:25" x14ac:dyDescent="0.2">
      <c r="A900" s="41"/>
      <c r="B900" s="5"/>
      <c r="C900" s="4"/>
      <c r="D900" s="4"/>
      <c r="E900" s="4"/>
      <c r="F900" s="4"/>
      <c r="G900" s="4"/>
      <c r="H900" s="4"/>
      <c r="I900" s="4"/>
      <c r="J900" s="4"/>
      <c r="K900" s="4"/>
      <c r="L900" s="4"/>
      <c r="M900" s="4"/>
      <c r="N900" s="4"/>
      <c r="O900" s="4"/>
      <c r="P900" s="4"/>
      <c r="Q900" s="4"/>
      <c r="R900" s="4"/>
      <c r="S900" s="4"/>
      <c r="T900" s="4"/>
      <c r="U900" s="4"/>
      <c r="V900" s="4"/>
      <c r="W900" s="4"/>
      <c r="X900" s="4"/>
      <c r="Y900" s="4"/>
    </row>
    <row r="901" spans="1:25" x14ac:dyDescent="0.2">
      <c r="A901" s="41"/>
      <c r="B901" s="5"/>
      <c r="C901" s="4"/>
      <c r="D901" s="4"/>
      <c r="E901" s="4"/>
      <c r="F901" s="4"/>
      <c r="G901" s="4"/>
      <c r="H901" s="4"/>
      <c r="I901" s="4"/>
      <c r="J901" s="4"/>
      <c r="K901" s="4"/>
      <c r="L901" s="4"/>
      <c r="M901" s="4"/>
      <c r="N901" s="4"/>
      <c r="O901" s="4"/>
      <c r="P901" s="4"/>
      <c r="Q901" s="4"/>
      <c r="R901" s="4"/>
      <c r="S901" s="4"/>
      <c r="T901" s="4"/>
      <c r="U901" s="4"/>
      <c r="V901" s="4"/>
      <c r="W901" s="4"/>
      <c r="X901" s="4"/>
      <c r="Y901" s="4"/>
    </row>
    <row r="902" spans="1:25" x14ac:dyDescent="0.2">
      <c r="A902" s="41"/>
      <c r="B902" s="5"/>
      <c r="C902" s="4"/>
      <c r="D902" s="4"/>
      <c r="E902" s="4"/>
      <c r="F902" s="4"/>
      <c r="G902" s="4"/>
      <c r="H902" s="4"/>
      <c r="I902" s="4"/>
      <c r="J902" s="4"/>
      <c r="K902" s="4"/>
      <c r="L902" s="4"/>
      <c r="M902" s="4"/>
      <c r="N902" s="4"/>
      <c r="O902" s="4"/>
      <c r="P902" s="4"/>
      <c r="Q902" s="4"/>
      <c r="R902" s="4"/>
      <c r="S902" s="4"/>
      <c r="T902" s="4"/>
      <c r="U902" s="4"/>
      <c r="V902" s="4"/>
      <c r="W902" s="4"/>
      <c r="X902" s="4"/>
      <c r="Y902" s="4"/>
    </row>
    <row r="903" spans="1:25" x14ac:dyDescent="0.2">
      <c r="A903" s="41"/>
      <c r="B903" s="5"/>
      <c r="C903" s="4"/>
      <c r="D903" s="4"/>
      <c r="E903" s="4"/>
      <c r="F903" s="4"/>
      <c r="G903" s="4"/>
      <c r="H903" s="4"/>
      <c r="I903" s="4"/>
      <c r="J903" s="4"/>
      <c r="K903" s="4"/>
      <c r="L903" s="4"/>
      <c r="M903" s="4"/>
      <c r="N903" s="4"/>
      <c r="O903" s="4"/>
      <c r="P903" s="4"/>
      <c r="Q903" s="4"/>
      <c r="R903" s="4"/>
      <c r="S903" s="4"/>
      <c r="T903" s="4"/>
      <c r="U903" s="4"/>
      <c r="V903" s="4"/>
      <c r="W903" s="4"/>
      <c r="X903" s="4"/>
      <c r="Y903" s="4"/>
    </row>
    <row r="904" spans="1:25" x14ac:dyDescent="0.2">
      <c r="A904" s="41"/>
      <c r="B904" s="5"/>
      <c r="C904" s="4"/>
      <c r="D904" s="4"/>
      <c r="E904" s="4"/>
      <c r="F904" s="4"/>
      <c r="G904" s="4"/>
      <c r="H904" s="4"/>
      <c r="I904" s="4"/>
      <c r="J904" s="4"/>
      <c r="K904" s="4"/>
      <c r="L904" s="4"/>
      <c r="M904" s="4"/>
      <c r="N904" s="4"/>
      <c r="O904" s="4"/>
      <c r="P904" s="4"/>
      <c r="Q904" s="4"/>
      <c r="R904" s="4"/>
      <c r="S904" s="4"/>
      <c r="T904" s="4"/>
      <c r="U904" s="4"/>
      <c r="V904" s="4"/>
      <c r="W904" s="4"/>
      <c r="X904" s="4"/>
      <c r="Y904" s="4"/>
    </row>
    <row r="905" spans="1:25" x14ac:dyDescent="0.2">
      <c r="A905" s="41"/>
      <c r="B905" s="5"/>
      <c r="C905" s="4"/>
      <c r="D905" s="4"/>
      <c r="E905" s="4"/>
      <c r="F905" s="4"/>
      <c r="G905" s="4"/>
      <c r="H905" s="4"/>
      <c r="I905" s="4"/>
      <c r="J905" s="4"/>
      <c r="K905" s="4"/>
      <c r="L905" s="4"/>
      <c r="M905" s="4"/>
      <c r="N905" s="4"/>
      <c r="O905" s="4"/>
      <c r="P905" s="4"/>
      <c r="Q905" s="4"/>
      <c r="R905" s="4"/>
      <c r="S905" s="4"/>
      <c r="T905" s="4"/>
      <c r="U905" s="4"/>
      <c r="V905" s="4"/>
      <c r="W905" s="4"/>
      <c r="X905" s="4"/>
      <c r="Y905" s="4"/>
    </row>
    <row r="906" spans="1:25" x14ac:dyDescent="0.2">
      <c r="A906" s="41"/>
      <c r="B906" s="5"/>
      <c r="C906" s="4"/>
      <c r="D906" s="4"/>
      <c r="E906" s="4"/>
      <c r="F906" s="4"/>
      <c r="G906" s="4"/>
      <c r="H906" s="4"/>
      <c r="I906" s="4"/>
      <c r="J906" s="4"/>
      <c r="K906" s="4"/>
      <c r="L906" s="4"/>
      <c r="M906" s="4"/>
      <c r="N906" s="4"/>
      <c r="O906" s="4"/>
      <c r="P906" s="4"/>
      <c r="Q906" s="4"/>
      <c r="R906" s="4"/>
      <c r="S906" s="4"/>
      <c r="T906" s="4"/>
      <c r="U906" s="4"/>
      <c r="V906" s="4"/>
      <c r="W906" s="4"/>
      <c r="X906" s="4"/>
      <c r="Y906" s="4"/>
    </row>
    <row r="907" spans="1:25" x14ac:dyDescent="0.2">
      <c r="A907" s="41"/>
      <c r="B907" s="5"/>
      <c r="C907" s="4"/>
      <c r="D907" s="4"/>
      <c r="E907" s="4"/>
      <c r="F907" s="4"/>
      <c r="G907" s="4"/>
      <c r="H907" s="4"/>
      <c r="I907" s="4"/>
      <c r="J907" s="4"/>
      <c r="K907" s="4"/>
      <c r="L907" s="4"/>
      <c r="M907" s="4"/>
      <c r="N907" s="4"/>
      <c r="O907" s="4"/>
      <c r="P907" s="4"/>
      <c r="Q907" s="4"/>
      <c r="R907" s="4"/>
      <c r="S907" s="4"/>
      <c r="T907" s="4"/>
      <c r="U907" s="4"/>
      <c r="V907" s="4"/>
      <c r="W907" s="4"/>
      <c r="X907" s="4"/>
      <c r="Y907" s="4"/>
    </row>
    <row r="908" spans="1:25" x14ac:dyDescent="0.2">
      <c r="A908" s="41"/>
      <c r="B908" s="5"/>
      <c r="C908" s="4"/>
      <c r="D908" s="4"/>
      <c r="E908" s="4"/>
      <c r="F908" s="4"/>
      <c r="G908" s="4"/>
      <c r="H908" s="4"/>
      <c r="I908" s="4"/>
      <c r="J908" s="4"/>
      <c r="K908" s="4"/>
      <c r="L908" s="4"/>
      <c r="M908" s="4"/>
      <c r="N908" s="4"/>
      <c r="O908" s="4"/>
      <c r="P908" s="4"/>
      <c r="Q908" s="4"/>
      <c r="R908" s="4"/>
      <c r="S908" s="4"/>
      <c r="T908" s="4"/>
      <c r="U908" s="4"/>
      <c r="V908" s="4"/>
      <c r="W908" s="4"/>
      <c r="X908" s="4"/>
      <c r="Y908" s="4"/>
    </row>
    <row r="909" spans="1:25" x14ac:dyDescent="0.2">
      <c r="A909" s="41"/>
      <c r="B909" s="5"/>
      <c r="C909" s="4"/>
      <c r="D909" s="4"/>
      <c r="E909" s="4"/>
      <c r="F909" s="4"/>
      <c r="G909" s="4"/>
      <c r="H909" s="4"/>
      <c r="I909" s="4"/>
      <c r="J909" s="4"/>
      <c r="K909" s="4"/>
      <c r="L909" s="4"/>
      <c r="M909" s="4"/>
      <c r="N909" s="4"/>
      <c r="O909" s="4"/>
      <c r="P909" s="4"/>
      <c r="Q909" s="4"/>
      <c r="R909" s="4"/>
      <c r="S909" s="4"/>
      <c r="T909" s="4"/>
      <c r="U909" s="4"/>
      <c r="V909" s="4"/>
      <c r="W909" s="4"/>
      <c r="X909" s="4"/>
      <c r="Y909" s="4"/>
    </row>
    <row r="910" spans="1:25" x14ac:dyDescent="0.2">
      <c r="A910" s="41"/>
      <c r="B910" s="5"/>
      <c r="C910" s="4"/>
      <c r="D910" s="4"/>
      <c r="E910" s="4"/>
      <c r="F910" s="4"/>
      <c r="G910" s="4"/>
      <c r="H910" s="4"/>
      <c r="I910" s="4"/>
      <c r="J910" s="4"/>
      <c r="K910" s="4"/>
      <c r="L910" s="4"/>
      <c r="M910" s="4"/>
      <c r="N910" s="4"/>
      <c r="O910" s="4"/>
      <c r="P910" s="4"/>
      <c r="Q910" s="4"/>
      <c r="R910" s="4"/>
      <c r="S910" s="4"/>
      <c r="T910" s="4"/>
      <c r="U910" s="4"/>
      <c r="V910" s="4"/>
      <c r="W910" s="4"/>
      <c r="X910" s="4"/>
      <c r="Y910" s="4"/>
    </row>
    <row r="911" spans="1:25" x14ac:dyDescent="0.2">
      <c r="A911" s="41"/>
      <c r="B911" s="5"/>
      <c r="C911" s="4"/>
      <c r="D911" s="4"/>
      <c r="E911" s="4"/>
      <c r="F911" s="4"/>
      <c r="G911" s="4"/>
      <c r="H911" s="4"/>
      <c r="I911" s="4"/>
      <c r="J911" s="4"/>
      <c r="K911" s="4"/>
      <c r="L911" s="4"/>
      <c r="M911" s="4"/>
      <c r="N911" s="4"/>
      <c r="O911" s="4"/>
      <c r="P911" s="4"/>
      <c r="Q911" s="4"/>
      <c r="R911" s="4"/>
      <c r="S911" s="4"/>
      <c r="T911" s="4"/>
      <c r="U911" s="4"/>
      <c r="V911" s="4"/>
      <c r="W911" s="4"/>
      <c r="X911" s="4"/>
      <c r="Y911" s="4"/>
    </row>
    <row r="912" spans="1:25" x14ac:dyDescent="0.2">
      <c r="A912" s="41"/>
      <c r="B912" s="5"/>
      <c r="C912" s="4"/>
      <c r="D912" s="4"/>
      <c r="E912" s="4"/>
      <c r="F912" s="4"/>
      <c r="G912" s="4"/>
      <c r="H912" s="4"/>
      <c r="I912" s="4"/>
      <c r="J912" s="4"/>
      <c r="K912" s="4"/>
      <c r="L912" s="4"/>
      <c r="M912" s="4"/>
      <c r="N912" s="4"/>
      <c r="O912" s="4"/>
      <c r="P912" s="4"/>
      <c r="Q912" s="4"/>
      <c r="R912" s="4"/>
      <c r="S912" s="4"/>
      <c r="T912" s="4"/>
      <c r="U912" s="4"/>
      <c r="V912" s="4"/>
      <c r="W912" s="4"/>
      <c r="X912" s="4"/>
      <c r="Y912" s="4"/>
    </row>
    <row r="913" spans="1:25" x14ac:dyDescent="0.2">
      <c r="A913" s="41"/>
      <c r="B913" s="5"/>
      <c r="C913" s="4"/>
      <c r="D913" s="4"/>
      <c r="E913" s="4"/>
      <c r="F913" s="4"/>
      <c r="G913" s="4"/>
      <c r="H913" s="4"/>
      <c r="I913" s="4"/>
      <c r="J913" s="4"/>
      <c r="K913" s="4"/>
      <c r="L913" s="4"/>
      <c r="M913" s="4"/>
      <c r="N913" s="4"/>
      <c r="O913" s="4"/>
      <c r="P913" s="4"/>
      <c r="Q913" s="4"/>
      <c r="R913" s="4"/>
      <c r="S913" s="4"/>
      <c r="T913" s="4"/>
      <c r="U913" s="4"/>
      <c r="V913" s="4"/>
      <c r="W913" s="4"/>
      <c r="X913" s="4"/>
      <c r="Y913" s="4"/>
    </row>
    <row r="914" spans="1:25" x14ac:dyDescent="0.2">
      <c r="A914" s="41"/>
      <c r="B914" s="5"/>
      <c r="C914" s="4"/>
      <c r="D914" s="4"/>
      <c r="E914" s="4"/>
      <c r="F914" s="4"/>
      <c r="G914" s="4"/>
      <c r="H914" s="4"/>
      <c r="I914" s="4"/>
      <c r="J914" s="4"/>
      <c r="K914" s="4"/>
      <c r="L914" s="4"/>
      <c r="M914" s="4"/>
      <c r="N914" s="4"/>
      <c r="O914" s="4"/>
      <c r="P914" s="4"/>
      <c r="Q914" s="4"/>
      <c r="R914" s="4"/>
      <c r="S914" s="4"/>
      <c r="T914" s="4"/>
      <c r="U914" s="4"/>
      <c r="V914" s="4"/>
      <c r="W914" s="4"/>
      <c r="X914" s="4"/>
      <c r="Y914" s="4"/>
    </row>
    <row r="915" spans="1:25" x14ac:dyDescent="0.2">
      <c r="A915" s="41"/>
      <c r="B915" s="5"/>
      <c r="C915" s="4"/>
      <c r="D915" s="4"/>
      <c r="E915" s="4"/>
      <c r="F915" s="4"/>
      <c r="G915" s="4"/>
      <c r="H915" s="4"/>
      <c r="I915" s="4"/>
      <c r="J915" s="4"/>
      <c r="K915" s="4"/>
      <c r="L915" s="4"/>
      <c r="M915" s="4"/>
      <c r="N915" s="4"/>
      <c r="O915" s="4"/>
      <c r="P915" s="4"/>
      <c r="Q915" s="4"/>
      <c r="R915" s="4"/>
      <c r="S915" s="4"/>
      <c r="T915" s="4"/>
      <c r="U915" s="4"/>
      <c r="V915" s="4"/>
      <c r="W915" s="4"/>
      <c r="X915" s="4"/>
      <c r="Y915" s="4"/>
    </row>
    <row r="916" spans="1:25" x14ac:dyDescent="0.2">
      <c r="A916" s="41"/>
      <c r="B916" s="5"/>
      <c r="C916" s="4"/>
      <c r="D916" s="4"/>
      <c r="E916" s="4"/>
      <c r="F916" s="4"/>
      <c r="G916" s="4"/>
      <c r="H916" s="4"/>
      <c r="I916" s="4"/>
      <c r="J916" s="4"/>
      <c r="K916" s="4"/>
      <c r="L916" s="4"/>
      <c r="M916" s="4"/>
      <c r="N916" s="4"/>
      <c r="O916" s="4"/>
      <c r="P916" s="4"/>
      <c r="Q916" s="4"/>
      <c r="R916" s="4"/>
      <c r="S916" s="4"/>
      <c r="T916" s="4"/>
      <c r="U916" s="4"/>
      <c r="V916" s="4"/>
      <c r="W916" s="4"/>
      <c r="X916" s="4"/>
      <c r="Y916" s="4"/>
    </row>
    <row r="917" spans="1:25" x14ac:dyDescent="0.2">
      <c r="A917" s="41"/>
      <c r="B917" s="5"/>
      <c r="C917" s="4"/>
      <c r="D917" s="4"/>
      <c r="E917" s="4"/>
      <c r="F917" s="4"/>
      <c r="G917" s="4"/>
      <c r="H917" s="4"/>
      <c r="I917" s="4"/>
      <c r="J917" s="4"/>
      <c r="K917" s="4"/>
      <c r="L917" s="4"/>
      <c r="M917" s="4"/>
      <c r="N917" s="4"/>
      <c r="O917" s="4"/>
      <c r="P917" s="4"/>
      <c r="Q917" s="4"/>
      <c r="R917" s="4"/>
      <c r="S917" s="4"/>
      <c r="T917" s="4"/>
      <c r="U917" s="4"/>
      <c r="V917" s="4"/>
      <c r="W917" s="4"/>
      <c r="X917" s="4"/>
      <c r="Y917" s="4"/>
    </row>
    <row r="918" spans="1:25" x14ac:dyDescent="0.2">
      <c r="A918" s="41"/>
      <c r="B918" s="5"/>
      <c r="C918" s="4"/>
      <c r="D918" s="4"/>
      <c r="E918" s="4"/>
      <c r="F918" s="4"/>
      <c r="G918" s="4"/>
      <c r="H918" s="4"/>
      <c r="I918" s="4"/>
      <c r="J918" s="4"/>
      <c r="K918" s="4"/>
      <c r="L918" s="4"/>
      <c r="M918" s="4"/>
      <c r="N918" s="4"/>
      <c r="O918" s="4"/>
      <c r="P918" s="4"/>
      <c r="Q918" s="4"/>
      <c r="R918" s="4"/>
      <c r="S918" s="4"/>
      <c r="T918" s="4"/>
      <c r="U918" s="4"/>
      <c r="V918" s="4"/>
      <c r="W918" s="4"/>
      <c r="X918" s="4"/>
      <c r="Y918" s="4"/>
    </row>
    <row r="919" spans="1:25" x14ac:dyDescent="0.2">
      <c r="A919" s="41"/>
      <c r="B919" s="5"/>
      <c r="C919" s="4"/>
      <c r="D919" s="4"/>
      <c r="E919" s="4"/>
      <c r="F919" s="4"/>
      <c r="G919" s="4"/>
      <c r="H919" s="4"/>
      <c r="I919" s="4"/>
      <c r="J919" s="4"/>
      <c r="K919" s="4"/>
      <c r="L919" s="4"/>
      <c r="M919" s="4"/>
      <c r="N919" s="4"/>
      <c r="O919" s="4"/>
      <c r="P919" s="4"/>
      <c r="Q919" s="4"/>
      <c r="R919" s="4"/>
      <c r="S919" s="4"/>
      <c r="T919" s="4"/>
      <c r="U919" s="4"/>
      <c r="V919" s="4"/>
      <c r="W919" s="4"/>
      <c r="X919" s="4"/>
      <c r="Y919" s="4"/>
    </row>
    <row r="920" spans="1:25" x14ac:dyDescent="0.2">
      <c r="A920" s="41"/>
      <c r="B920" s="5"/>
      <c r="C920" s="4"/>
      <c r="D920" s="4"/>
      <c r="E920" s="4"/>
      <c r="F920" s="4"/>
      <c r="G920" s="4"/>
      <c r="H920" s="4"/>
      <c r="I920" s="4"/>
      <c r="J920" s="4"/>
      <c r="K920" s="4"/>
      <c r="L920" s="4"/>
      <c r="M920" s="4"/>
      <c r="N920" s="4"/>
      <c r="O920" s="4"/>
      <c r="P920" s="4"/>
      <c r="Q920" s="4"/>
      <c r="R920" s="4"/>
      <c r="S920" s="4"/>
      <c r="T920" s="4"/>
      <c r="U920" s="4"/>
      <c r="V920" s="4"/>
      <c r="W920" s="4"/>
      <c r="X920" s="4"/>
      <c r="Y920" s="4"/>
    </row>
    <row r="921" spans="1:25" x14ac:dyDescent="0.2">
      <c r="A921" s="41"/>
      <c r="B921" s="5"/>
      <c r="C921" s="4"/>
      <c r="D921" s="4"/>
      <c r="E921" s="4"/>
      <c r="F921" s="4"/>
      <c r="G921" s="4"/>
      <c r="H921" s="4"/>
      <c r="I921" s="4"/>
      <c r="J921" s="4"/>
      <c r="K921" s="4"/>
      <c r="L921" s="4"/>
      <c r="M921" s="4"/>
      <c r="N921" s="4"/>
      <c r="O921" s="4"/>
      <c r="P921" s="4"/>
      <c r="Q921" s="4"/>
      <c r="R921" s="4"/>
      <c r="S921" s="4"/>
      <c r="T921" s="4"/>
      <c r="U921" s="4"/>
      <c r="V921" s="4"/>
      <c r="W921" s="4"/>
      <c r="X921" s="4"/>
      <c r="Y921" s="4"/>
    </row>
    <row r="922" spans="1:25" x14ac:dyDescent="0.2">
      <c r="A922" s="41"/>
      <c r="B922" s="5"/>
      <c r="C922" s="4"/>
      <c r="D922" s="4"/>
      <c r="E922" s="4"/>
      <c r="F922" s="4"/>
      <c r="G922" s="4"/>
      <c r="H922" s="4"/>
      <c r="I922" s="4"/>
      <c r="J922" s="4"/>
      <c r="K922" s="4"/>
      <c r="L922" s="4"/>
      <c r="M922" s="4"/>
      <c r="N922" s="4"/>
      <c r="O922" s="4"/>
      <c r="P922" s="4"/>
      <c r="Q922" s="4"/>
      <c r="R922" s="4"/>
      <c r="S922" s="4"/>
      <c r="T922" s="4"/>
      <c r="U922" s="4"/>
      <c r="V922" s="4"/>
      <c r="W922" s="4"/>
      <c r="X922" s="4"/>
      <c r="Y922" s="4"/>
    </row>
    <row r="923" spans="1:25" x14ac:dyDescent="0.2">
      <c r="A923" s="41"/>
      <c r="B923" s="5"/>
      <c r="C923" s="4"/>
      <c r="D923" s="4"/>
      <c r="E923" s="4"/>
      <c r="F923" s="4"/>
      <c r="G923" s="4"/>
      <c r="H923" s="4"/>
      <c r="I923" s="4"/>
      <c r="J923" s="4"/>
      <c r="K923" s="4"/>
      <c r="L923" s="4"/>
      <c r="M923" s="4"/>
      <c r="N923" s="4"/>
      <c r="O923" s="4"/>
      <c r="P923" s="4"/>
      <c r="Q923" s="4"/>
      <c r="R923" s="4"/>
      <c r="S923" s="4"/>
      <c r="T923" s="4"/>
      <c r="U923" s="4"/>
      <c r="V923" s="4"/>
      <c r="W923" s="4"/>
      <c r="X923" s="4"/>
      <c r="Y923" s="4"/>
    </row>
    <row r="924" spans="1:25" x14ac:dyDescent="0.2">
      <c r="A924" s="41"/>
      <c r="B924" s="5"/>
      <c r="C924" s="4"/>
      <c r="D924" s="4"/>
      <c r="E924" s="4"/>
      <c r="F924" s="4"/>
      <c r="G924" s="4"/>
      <c r="H924" s="4"/>
      <c r="I924" s="4"/>
      <c r="J924" s="4"/>
      <c r="K924" s="4"/>
      <c r="L924" s="4"/>
      <c r="M924" s="4"/>
      <c r="N924" s="4"/>
      <c r="O924" s="4"/>
      <c r="P924" s="4"/>
      <c r="Q924" s="4"/>
      <c r="R924" s="4"/>
      <c r="S924" s="4"/>
      <c r="T924" s="4"/>
      <c r="U924" s="4"/>
      <c r="V924" s="4"/>
      <c r="W924" s="4"/>
      <c r="X924" s="4"/>
      <c r="Y924" s="4"/>
    </row>
    <row r="925" spans="1:25" x14ac:dyDescent="0.2">
      <c r="A925" s="41"/>
      <c r="B925" s="5"/>
      <c r="C925" s="4"/>
      <c r="D925" s="4"/>
      <c r="E925" s="4"/>
      <c r="F925" s="4"/>
      <c r="G925" s="4"/>
      <c r="H925" s="4"/>
      <c r="I925" s="4"/>
      <c r="J925" s="4"/>
      <c r="K925" s="4"/>
      <c r="L925" s="4"/>
      <c r="M925" s="4"/>
      <c r="N925" s="4"/>
      <c r="O925" s="4"/>
      <c r="P925" s="4"/>
      <c r="Q925" s="4"/>
      <c r="R925" s="4"/>
      <c r="S925" s="4"/>
      <c r="T925" s="4"/>
      <c r="U925" s="4"/>
      <c r="V925" s="4"/>
      <c r="W925" s="4"/>
      <c r="X925" s="4"/>
      <c r="Y925" s="4"/>
    </row>
    <row r="926" spans="1:25" x14ac:dyDescent="0.2">
      <c r="A926" s="41"/>
      <c r="B926" s="5"/>
      <c r="C926" s="4"/>
      <c r="D926" s="4"/>
      <c r="E926" s="4"/>
      <c r="F926" s="4"/>
      <c r="G926" s="4"/>
      <c r="H926" s="4"/>
      <c r="I926" s="4"/>
      <c r="J926" s="4"/>
      <c r="K926" s="4"/>
      <c r="L926" s="4"/>
      <c r="M926" s="4"/>
      <c r="N926" s="4"/>
      <c r="O926" s="4"/>
      <c r="P926" s="4"/>
      <c r="Q926" s="4"/>
      <c r="R926" s="4"/>
      <c r="S926" s="4"/>
      <c r="T926" s="4"/>
      <c r="U926" s="4"/>
      <c r="V926" s="4"/>
      <c r="W926" s="4"/>
      <c r="X926" s="4"/>
      <c r="Y926" s="4"/>
    </row>
    <row r="927" spans="1:25" x14ac:dyDescent="0.2">
      <c r="A927" s="41"/>
      <c r="B927" s="5"/>
      <c r="C927" s="4"/>
      <c r="D927" s="4"/>
      <c r="E927" s="4"/>
      <c r="F927" s="4"/>
      <c r="G927" s="4"/>
      <c r="H927" s="4"/>
      <c r="I927" s="4"/>
      <c r="J927" s="4"/>
      <c r="K927" s="4"/>
      <c r="L927" s="4"/>
      <c r="M927" s="4"/>
      <c r="N927" s="4"/>
      <c r="O927" s="4"/>
      <c r="P927" s="4"/>
      <c r="Q927" s="4"/>
      <c r="R927" s="4"/>
      <c r="S927" s="4"/>
      <c r="T927" s="4"/>
      <c r="U927" s="4"/>
      <c r="V927" s="4"/>
      <c r="W927" s="4"/>
      <c r="X927" s="4"/>
      <c r="Y927" s="4"/>
    </row>
    <row r="928" spans="1:25" x14ac:dyDescent="0.2">
      <c r="A928" s="41"/>
      <c r="B928" s="5"/>
      <c r="C928" s="4"/>
      <c r="D928" s="4"/>
      <c r="E928" s="4"/>
      <c r="F928" s="4"/>
      <c r="G928" s="4"/>
      <c r="H928" s="4"/>
      <c r="I928" s="4"/>
      <c r="J928" s="4"/>
      <c r="K928" s="4"/>
      <c r="L928" s="4"/>
      <c r="M928" s="4"/>
      <c r="N928" s="4"/>
      <c r="O928" s="4"/>
      <c r="P928" s="4"/>
      <c r="Q928" s="4"/>
      <c r="R928" s="4"/>
      <c r="S928" s="4"/>
      <c r="T928" s="4"/>
      <c r="U928" s="4"/>
      <c r="V928" s="4"/>
      <c r="W928" s="4"/>
      <c r="X928" s="4"/>
      <c r="Y928" s="4"/>
    </row>
    <row r="929" spans="1:25" x14ac:dyDescent="0.2">
      <c r="A929" s="41"/>
      <c r="B929" s="5"/>
      <c r="C929" s="4"/>
      <c r="D929" s="4"/>
      <c r="E929" s="4"/>
      <c r="F929" s="4"/>
      <c r="G929" s="4"/>
      <c r="H929" s="4"/>
      <c r="I929" s="4"/>
      <c r="J929" s="4"/>
      <c r="K929" s="4"/>
      <c r="L929" s="4"/>
      <c r="M929" s="4"/>
      <c r="N929" s="4"/>
      <c r="O929" s="4"/>
      <c r="P929" s="4"/>
      <c r="Q929" s="4"/>
      <c r="R929" s="4"/>
      <c r="S929" s="4"/>
      <c r="T929" s="4"/>
      <c r="U929" s="4"/>
      <c r="V929" s="4"/>
      <c r="W929" s="4"/>
      <c r="X929" s="4"/>
      <c r="Y929" s="4"/>
    </row>
    <row r="930" spans="1:25" x14ac:dyDescent="0.2">
      <c r="A930" s="41"/>
      <c r="B930" s="5"/>
      <c r="C930" s="4"/>
      <c r="D930" s="4"/>
      <c r="E930" s="4"/>
      <c r="F930" s="4"/>
      <c r="G930" s="4"/>
      <c r="H930" s="4"/>
      <c r="I930" s="4"/>
      <c r="J930" s="4"/>
      <c r="K930" s="4"/>
      <c r="L930" s="4"/>
      <c r="M930" s="4"/>
      <c r="N930" s="4"/>
      <c r="O930" s="4"/>
      <c r="P930" s="4"/>
      <c r="Q930" s="4"/>
      <c r="R930" s="4"/>
      <c r="S930" s="4"/>
      <c r="T930" s="4"/>
      <c r="U930" s="4"/>
      <c r="V930" s="4"/>
      <c r="W930" s="4"/>
      <c r="X930" s="4"/>
      <c r="Y930" s="4"/>
    </row>
    <row r="931" spans="1:25" x14ac:dyDescent="0.2">
      <c r="A931" s="41"/>
      <c r="B931" s="5"/>
      <c r="C931" s="4"/>
      <c r="D931" s="4"/>
      <c r="E931" s="4"/>
      <c r="F931" s="4"/>
      <c r="G931" s="4"/>
      <c r="H931" s="4"/>
      <c r="I931" s="4"/>
      <c r="J931" s="4"/>
      <c r="K931" s="4"/>
      <c r="L931" s="4"/>
      <c r="M931" s="4"/>
      <c r="N931" s="4"/>
      <c r="O931" s="4"/>
      <c r="P931" s="4"/>
      <c r="Q931" s="4"/>
      <c r="R931" s="4"/>
      <c r="S931" s="4"/>
      <c r="T931" s="4"/>
      <c r="U931" s="4"/>
      <c r="V931" s="4"/>
      <c r="W931" s="4"/>
      <c r="X931" s="4"/>
      <c r="Y931" s="4"/>
    </row>
    <row r="932" spans="1:25" x14ac:dyDescent="0.2">
      <c r="A932" s="41"/>
      <c r="B932" s="5"/>
      <c r="C932" s="4"/>
      <c r="D932" s="4"/>
      <c r="E932" s="4"/>
      <c r="F932" s="4"/>
      <c r="G932" s="4"/>
      <c r="H932" s="4"/>
      <c r="I932" s="4"/>
      <c r="J932" s="4"/>
      <c r="K932" s="4"/>
      <c r="L932" s="4"/>
      <c r="M932" s="4"/>
      <c r="N932" s="4"/>
      <c r="O932" s="4"/>
      <c r="P932" s="4"/>
      <c r="Q932" s="4"/>
      <c r="R932" s="4"/>
      <c r="S932" s="4"/>
      <c r="T932" s="4"/>
      <c r="U932" s="4"/>
      <c r="V932" s="4"/>
      <c r="W932" s="4"/>
      <c r="X932" s="4"/>
      <c r="Y932" s="4"/>
    </row>
    <row r="933" spans="1:25" x14ac:dyDescent="0.2">
      <c r="A933" s="41"/>
      <c r="B933" s="5"/>
      <c r="C933" s="4"/>
      <c r="D933" s="4"/>
      <c r="E933" s="4"/>
      <c r="F933" s="4"/>
      <c r="G933" s="4"/>
      <c r="H933" s="4"/>
      <c r="I933" s="4"/>
      <c r="J933" s="4"/>
      <c r="K933" s="4"/>
      <c r="L933" s="4"/>
      <c r="M933" s="4"/>
      <c r="N933" s="4"/>
      <c r="O933" s="4"/>
      <c r="P933" s="4"/>
      <c r="Q933" s="4"/>
      <c r="R933" s="4"/>
      <c r="S933" s="4"/>
      <c r="T933" s="4"/>
      <c r="U933" s="4"/>
      <c r="V933" s="4"/>
      <c r="W933" s="4"/>
      <c r="X933" s="4"/>
      <c r="Y933" s="4"/>
    </row>
    <row r="934" spans="1:25" x14ac:dyDescent="0.2">
      <c r="A934" s="41"/>
      <c r="B934" s="5"/>
      <c r="C934" s="4"/>
      <c r="D934" s="4"/>
      <c r="E934" s="4"/>
      <c r="F934" s="4"/>
      <c r="G934" s="4"/>
      <c r="H934" s="4"/>
      <c r="I934" s="4"/>
      <c r="J934" s="4"/>
      <c r="K934" s="4"/>
      <c r="L934" s="4"/>
      <c r="M934" s="4"/>
      <c r="N934" s="4"/>
      <c r="O934" s="4"/>
      <c r="P934" s="4"/>
      <c r="Q934" s="4"/>
      <c r="R934" s="4"/>
      <c r="S934" s="4"/>
      <c r="T934" s="4"/>
      <c r="U934" s="4"/>
      <c r="V934" s="4"/>
      <c r="W934" s="4"/>
      <c r="X934" s="4"/>
      <c r="Y934" s="4"/>
    </row>
    <row r="935" spans="1:25" x14ac:dyDescent="0.2">
      <c r="A935" s="41"/>
      <c r="B935" s="5"/>
      <c r="C935" s="4"/>
      <c r="D935" s="4"/>
      <c r="E935" s="4"/>
      <c r="F935" s="4"/>
      <c r="G935" s="4"/>
      <c r="H935" s="4"/>
      <c r="I935" s="4"/>
      <c r="J935" s="4"/>
      <c r="K935" s="4"/>
      <c r="L935" s="4"/>
      <c r="M935" s="4"/>
      <c r="N935" s="4"/>
      <c r="O935" s="4"/>
      <c r="P935" s="4"/>
      <c r="Q935" s="4"/>
      <c r="R935" s="4"/>
      <c r="S935" s="4"/>
      <c r="T935" s="4"/>
      <c r="U935" s="4"/>
      <c r="V935" s="4"/>
      <c r="W935" s="4"/>
      <c r="X935" s="4"/>
      <c r="Y935" s="4"/>
    </row>
    <row r="936" spans="1:25" x14ac:dyDescent="0.2">
      <c r="A936" s="41"/>
      <c r="B936" s="5"/>
      <c r="C936" s="4"/>
      <c r="D936" s="4"/>
      <c r="E936" s="4"/>
      <c r="F936" s="4"/>
      <c r="G936" s="4"/>
      <c r="H936" s="4"/>
      <c r="I936" s="4"/>
      <c r="J936" s="4"/>
      <c r="K936" s="4"/>
      <c r="L936" s="4"/>
      <c r="M936" s="4"/>
      <c r="N936" s="4"/>
      <c r="O936" s="4"/>
      <c r="P936" s="4"/>
      <c r="Q936" s="4"/>
      <c r="R936" s="4"/>
      <c r="S936" s="4"/>
      <c r="T936" s="4"/>
      <c r="U936" s="4"/>
      <c r="V936" s="4"/>
      <c r="W936" s="4"/>
      <c r="X936" s="4"/>
      <c r="Y936" s="4"/>
    </row>
    <row r="937" spans="1:25" x14ac:dyDescent="0.2">
      <c r="A937" s="41"/>
      <c r="B937" s="5"/>
      <c r="C937" s="4"/>
      <c r="D937" s="4"/>
      <c r="E937" s="4"/>
      <c r="F937" s="4"/>
      <c r="G937" s="4"/>
      <c r="H937" s="4"/>
      <c r="I937" s="4"/>
      <c r="J937" s="4"/>
      <c r="K937" s="4"/>
      <c r="L937" s="4"/>
      <c r="M937" s="4"/>
      <c r="N937" s="4"/>
      <c r="O937" s="4"/>
      <c r="P937" s="4"/>
      <c r="Q937" s="4"/>
      <c r="R937" s="4"/>
      <c r="S937" s="4"/>
      <c r="T937" s="4"/>
      <c r="U937" s="4"/>
      <c r="V937" s="4"/>
      <c r="W937" s="4"/>
      <c r="X937" s="4"/>
      <c r="Y937" s="4"/>
    </row>
    <row r="938" spans="1:25" x14ac:dyDescent="0.2">
      <c r="A938" s="41"/>
      <c r="B938" s="5"/>
      <c r="C938" s="4"/>
      <c r="D938" s="4"/>
      <c r="E938" s="4"/>
      <c r="F938" s="4"/>
      <c r="G938" s="4"/>
      <c r="H938" s="4"/>
      <c r="I938" s="4"/>
      <c r="J938" s="4"/>
      <c r="K938" s="4"/>
      <c r="L938" s="4"/>
      <c r="M938" s="4"/>
      <c r="N938" s="4"/>
      <c r="O938" s="4"/>
      <c r="P938" s="4"/>
      <c r="Q938" s="4"/>
      <c r="R938" s="4"/>
      <c r="S938" s="4"/>
      <c r="T938" s="4"/>
      <c r="U938" s="4"/>
      <c r="V938" s="4"/>
      <c r="W938" s="4"/>
      <c r="X938" s="4"/>
      <c r="Y938" s="4"/>
    </row>
    <row r="939" spans="1:25" x14ac:dyDescent="0.2">
      <c r="A939" s="41"/>
      <c r="B939" s="5"/>
      <c r="C939" s="4"/>
      <c r="D939" s="4"/>
      <c r="E939" s="4"/>
      <c r="F939" s="4"/>
      <c r="G939" s="4"/>
      <c r="H939" s="4"/>
      <c r="I939" s="4"/>
      <c r="J939" s="4"/>
      <c r="K939" s="4"/>
      <c r="L939" s="4"/>
      <c r="M939" s="4"/>
      <c r="N939" s="4"/>
      <c r="O939" s="4"/>
      <c r="P939" s="4"/>
      <c r="Q939" s="4"/>
      <c r="R939" s="4"/>
      <c r="S939" s="4"/>
      <c r="T939" s="4"/>
      <c r="U939" s="4"/>
      <c r="V939" s="4"/>
      <c r="W939" s="4"/>
      <c r="X939" s="4"/>
      <c r="Y939" s="4"/>
    </row>
    <row r="940" spans="1:25" x14ac:dyDescent="0.2">
      <c r="A940" s="41"/>
      <c r="B940" s="5"/>
      <c r="C940" s="4"/>
      <c r="D940" s="4"/>
      <c r="E940" s="4"/>
      <c r="F940" s="4"/>
      <c r="G940" s="4"/>
      <c r="H940" s="4"/>
      <c r="I940" s="4"/>
      <c r="J940" s="4"/>
      <c r="K940" s="4"/>
      <c r="L940" s="4"/>
      <c r="M940" s="4"/>
      <c r="N940" s="4"/>
      <c r="O940" s="4"/>
      <c r="P940" s="4"/>
      <c r="Q940" s="4"/>
      <c r="R940" s="4"/>
      <c r="S940" s="4"/>
      <c r="T940" s="4"/>
      <c r="U940" s="4"/>
      <c r="V940" s="4"/>
      <c r="W940" s="4"/>
      <c r="X940" s="4"/>
      <c r="Y940" s="4"/>
    </row>
    <row r="941" spans="1:25" x14ac:dyDescent="0.2">
      <c r="A941" s="41"/>
      <c r="B941" s="5"/>
      <c r="C941" s="4"/>
      <c r="D941" s="4"/>
      <c r="E941" s="4"/>
      <c r="F941" s="4"/>
      <c r="G941" s="4"/>
      <c r="H941" s="4"/>
      <c r="I941" s="4"/>
      <c r="J941" s="4"/>
      <c r="K941" s="4"/>
      <c r="L941" s="4"/>
      <c r="M941" s="4"/>
      <c r="N941" s="4"/>
      <c r="O941" s="4"/>
      <c r="P941" s="4"/>
      <c r="Q941" s="4"/>
      <c r="R941" s="4"/>
      <c r="S941" s="4"/>
      <c r="T941" s="4"/>
      <c r="U941" s="4"/>
      <c r="V941" s="4"/>
      <c r="W941" s="4"/>
      <c r="X941" s="4"/>
      <c r="Y941" s="4"/>
    </row>
    <row r="942" spans="1:25" x14ac:dyDescent="0.2">
      <c r="A942" s="41"/>
      <c r="B942" s="5"/>
      <c r="C942" s="4"/>
      <c r="D942" s="4"/>
      <c r="E942" s="4"/>
      <c r="F942" s="4"/>
      <c r="G942" s="4"/>
      <c r="H942" s="4"/>
      <c r="I942" s="4"/>
      <c r="J942" s="4"/>
      <c r="K942" s="4"/>
      <c r="L942" s="4"/>
      <c r="M942" s="4"/>
      <c r="N942" s="4"/>
      <c r="O942" s="4"/>
      <c r="P942" s="4"/>
      <c r="Q942" s="4"/>
      <c r="R942" s="4"/>
      <c r="S942" s="4"/>
      <c r="T942" s="4"/>
      <c r="U942" s="4"/>
      <c r="V942" s="4"/>
      <c r="W942" s="4"/>
      <c r="X942" s="4"/>
      <c r="Y942" s="4"/>
    </row>
    <row r="943" spans="1:25" x14ac:dyDescent="0.2">
      <c r="A943" s="41"/>
      <c r="B943" s="5"/>
      <c r="C943" s="4"/>
      <c r="D943" s="4"/>
      <c r="E943" s="4"/>
      <c r="F943" s="4"/>
      <c r="G943" s="4"/>
      <c r="H943" s="4"/>
      <c r="I943" s="4"/>
      <c r="J943" s="4"/>
      <c r="K943" s="4"/>
      <c r="L943" s="4"/>
      <c r="M943" s="4"/>
      <c r="N943" s="4"/>
      <c r="O943" s="4"/>
      <c r="P943" s="4"/>
      <c r="Q943" s="4"/>
      <c r="R943" s="4"/>
      <c r="S943" s="4"/>
      <c r="T943" s="4"/>
      <c r="U943" s="4"/>
      <c r="V943" s="4"/>
      <c r="W943" s="4"/>
      <c r="X943" s="4"/>
      <c r="Y943" s="4"/>
    </row>
    <row r="944" spans="1:25" x14ac:dyDescent="0.2">
      <c r="A944" s="41"/>
      <c r="B944" s="5"/>
      <c r="C944" s="4"/>
      <c r="D944" s="4"/>
      <c r="E944" s="4"/>
      <c r="F944" s="4"/>
      <c r="G944" s="4"/>
      <c r="H944" s="4"/>
      <c r="I944" s="4"/>
      <c r="J944" s="4"/>
      <c r="K944" s="4"/>
      <c r="L944" s="4"/>
      <c r="M944" s="4"/>
      <c r="N944" s="4"/>
      <c r="O944" s="4"/>
      <c r="P944" s="4"/>
      <c r="Q944" s="4"/>
      <c r="R944" s="4"/>
      <c r="S944" s="4"/>
      <c r="T944" s="4"/>
      <c r="U944" s="4"/>
      <c r="V944" s="4"/>
      <c r="W944" s="4"/>
      <c r="X944" s="4"/>
      <c r="Y944" s="4"/>
    </row>
    <row r="945" spans="1:25" x14ac:dyDescent="0.2">
      <c r="A945" s="41"/>
      <c r="B945" s="5"/>
      <c r="C945" s="4"/>
      <c r="D945" s="4"/>
      <c r="E945" s="4"/>
      <c r="F945" s="4"/>
      <c r="G945" s="4"/>
      <c r="H945" s="4"/>
      <c r="I945" s="4"/>
      <c r="J945" s="4"/>
      <c r="K945" s="4"/>
      <c r="L945" s="4"/>
      <c r="M945" s="4"/>
      <c r="N945" s="4"/>
      <c r="O945" s="4"/>
      <c r="P945" s="4"/>
      <c r="Q945" s="4"/>
      <c r="R945" s="4"/>
      <c r="S945" s="4"/>
      <c r="T945" s="4"/>
      <c r="U945" s="4"/>
      <c r="V945" s="4"/>
      <c r="W945" s="4"/>
      <c r="X945" s="4"/>
      <c r="Y945" s="4"/>
    </row>
    <row r="946" spans="1:25" x14ac:dyDescent="0.2">
      <c r="A946" s="41"/>
      <c r="B946" s="5"/>
      <c r="C946" s="4"/>
      <c r="D946" s="4"/>
      <c r="E946" s="4"/>
      <c r="F946" s="4"/>
      <c r="G946" s="4"/>
      <c r="H946" s="4"/>
      <c r="I946" s="4"/>
      <c r="J946" s="4"/>
      <c r="K946" s="4"/>
      <c r="L946" s="4"/>
      <c r="M946" s="4"/>
      <c r="N946" s="4"/>
      <c r="O946" s="4"/>
      <c r="P946" s="4"/>
      <c r="Q946" s="4"/>
      <c r="R946" s="4"/>
      <c r="S946" s="4"/>
      <c r="T946" s="4"/>
      <c r="U946" s="4"/>
      <c r="V946" s="4"/>
      <c r="W946" s="4"/>
      <c r="X946" s="4"/>
      <c r="Y946" s="4"/>
    </row>
    <row r="947" spans="1:25" x14ac:dyDescent="0.2">
      <c r="A947" s="41"/>
      <c r="B947" s="5"/>
      <c r="C947" s="4"/>
      <c r="D947" s="4"/>
      <c r="E947" s="4"/>
      <c r="F947" s="4"/>
      <c r="G947" s="4"/>
      <c r="H947" s="4"/>
      <c r="I947" s="4"/>
      <c r="J947" s="4"/>
      <c r="K947" s="4"/>
      <c r="L947" s="4"/>
      <c r="M947" s="4"/>
      <c r="N947" s="4"/>
      <c r="O947" s="4"/>
      <c r="P947" s="4"/>
      <c r="Q947" s="4"/>
      <c r="R947" s="4"/>
      <c r="S947" s="4"/>
      <c r="T947" s="4"/>
      <c r="U947" s="4"/>
      <c r="V947" s="4"/>
      <c r="W947" s="4"/>
      <c r="X947" s="4"/>
      <c r="Y947" s="4"/>
    </row>
    <row r="948" spans="1:25" x14ac:dyDescent="0.2">
      <c r="A948" s="41"/>
      <c r="B948" s="5"/>
      <c r="C948" s="4"/>
      <c r="D948" s="4"/>
      <c r="E948" s="4"/>
      <c r="F948" s="4"/>
      <c r="G948" s="4"/>
      <c r="H948" s="4"/>
      <c r="I948" s="4"/>
      <c r="J948" s="4"/>
      <c r="K948" s="4"/>
      <c r="L948" s="4"/>
      <c r="M948" s="4"/>
      <c r="N948" s="4"/>
      <c r="O948" s="4"/>
      <c r="P948" s="4"/>
      <c r="Q948" s="4"/>
      <c r="R948" s="4"/>
      <c r="S948" s="4"/>
      <c r="T948" s="4"/>
      <c r="U948" s="4"/>
      <c r="V948" s="4"/>
      <c r="W948" s="4"/>
      <c r="X948" s="4"/>
      <c r="Y948" s="4"/>
    </row>
    <row r="949" spans="1:25" x14ac:dyDescent="0.2">
      <c r="A949" s="41"/>
      <c r="B949" s="5"/>
      <c r="C949" s="4"/>
      <c r="D949" s="4"/>
      <c r="E949" s="4"/>
      <c r="F949" s="4"/>
      <c r="G949" s="4"/>
      <c r="H949" s="4"/>
      <c r="I949" s="4"/>
      <c r="J949" s="4"/>
      <c r="K949" s="4"/>
      <c r="L949" s="4"/>
      <c r="M949" s="4"/>
      <c r="N949" s="4"/>
      <c r="O949" s="4"/>
      <c r="P949" s="4"/>
      <c r="Q949" s="4"/>
      <c r="R949" s="4"/>
      <c r="S949" s="4"/>
      <c r="T949" s="4"/>
      <c r="U949" s="4"/>
      <c r="V949" s="4"/>
      <c r="W949" s="4"/>
      <c r="X949" s="4"/>
      <c r="Y949" s="4"/>
    </row>
    <row r="950" spans="1:25" x14ac:dyDescent="0.2">
      <c r="A950" s="41"/>
      <c r="B950" s="5"/>
      <c r="C950" s="4"/>
      <c r="D950" s="4"/>
      <c r="E950" s="4"/>
      <c r="F950" s="4"/>
      <c r="G950" s="4"/>
      <c r="H950" s="4"/>
      <c r="I950" s="4"/>
      <c r="J950" s="4"/>
      <c r="K950" s="4"/>
      <c r="L950" s="4"/>
      <c r="M950" s="4"/>
      <c r="N950" s="4"/>
      <c r="O950" s="4"/>
      <c r="P950" s="4"/>
      <c r="Q950" s="4"/>
      <c r="R950" s="4"/>
      <c r="S950" s="4"/>
      <c r="T950" s="4"/>
      <c r="U950" s="4"/>
      <c r="V950" s="4"/>
      <c r="W950" s="4"/>
      <c r="X950" s="4"/>
      <c r="Y950" s="4"/>
    </row>
    <row r="951" spans="1:25" x14ac:dyDescent="0.2">
      <c r="A951" s="41"/>
      <c r="B951" s="5"/>
      <c r="C951" s="4"/>
      <c r="D951" s="4"/>
      <c r="E951" s="4"/>
      <c r="F951" s="4"/>
      <c r="G951" s="4"/>
      <c r="H951" s="4"/>
      <c r="I951" s="4"/>
      <c r="J951" s="4"/>
      <c r="K951" s="4"/>
      <c r="L951" s="4"/>
      <c r="M951" s="4"/>
      <c r="N951" s="4"/>
      <c r="O951" s="4"/>
      <c r="P951" s="4"/>
      <c r="Q951" s="4"/>
      <c r="R951" s="4"/>
      <c r="S951" s="4"/>
      <c r="T951" s="4"/>
      <c r="U951" s="4"/>
      <c r="V951" s="4"/>
      <c r="W951" s="4"/>
      <c r="X951" s="4"/>
      <c r="Y951" s="4"/>
    </row>
    <row r="952" spans="1:25" x14ac:dyDescent="0.2">
      <c r="A952" s="41"/>
      <c r="B952" s="5"/>
      <c r="C952" s="4"/>
      <c r="D952" s="4"/>
      <c r="E952" s="4"/>
      <c r="F952" s="4"/>
      <c r="G952" s="4"/>
      <c r="H952" s="4"/>
      <c r="I952" s="4"/>
      <c r="J952" s="4"/>
      <c r="K952" s="4"/>
      <c r="L952" s="4"/>
      <c r="M952" s="4"/>
      <c r="N952" s="4"/>
      <c r="O952" s="4"/>
      <c r="P952" s="4"/>
      <c r="Q952" s="4"/>
      <c r="R952" s="4"/>
      <c r="S952" s="4"/>
      <c r="T952" s="4"/>
      <c r="U952" s="4"/>
      <c r="V952" s="4"/>
      <c r="W952" s="4"/>
      <c r="X952" s="4"/>
      <c r="Y952" s="4"/>
    </row>
    <row r="953" spans="1:25" x14ac:dyDescent="0.2">
      <c r="A953" s="41"/>
      <c r="B953" s="5"/>
      <c r="C953" s="4"/>
      <c r="D953" s="4"/>
      <c r="E953" s="4"/>
      <c r="F953" s="4"/>
      <c r="G953" s="4"/>
      <c r="H953" s="4"/>
      <c r="I953" s="4"/>
      <c r="J953" s="4"/>
      <c r="K953" s="4"/>
      <c r="L953" s="4"/>
      <c r="M953" s="4"/>
      <c r="N953" s="4"/>
      <c r="O953" s="4"/>
      <c r="P953" s="4"/>
      <c r="Q953" s="4"/>
      <c r="R953" s="4"/>
      <c r="S953" s="4"/>
      <c r="T953" s="4"/>
      <c r="U953" s="4"/>
      <c r="V953" s="4"/>
      <c r="W953" s="4"/>
      <c r="X953" s="4"/>
      <c r="Y953" s="4"/>
    </row>
    <row r="954" spans="1:25" x14ac:dyDescent="0.2">
      <c r="A954" s="41"/>
      <c r="B954" s="5"/>
      <c r="C954" s="4"/>
      <c r="D954" s="4"/>
      <c r="E954" s="4"/>
      <c r="F954" s="4"/>
      <c r="G954" s="4"/>
      <c r="H954" s="4"/>
      <c r="I954" s="4"/>
      <c r="J954" s="4"/>
      <c r="K954" s="4"/>
      <c r="L954" s="4"/>
      <c r="M954" s="4"/>
      <c r="N954" s="4"/>
      <c r="O954" s="4"/>
      <c r="P954" s="4"/>
      <c r="Q954" s="4"/>
      <c r="R954" s="4"/>
      <c r="S954" s="4"/>
      <c r="T954" s="4"/>
      <c r="U954" s="4"/>
      <c r="V954" s="4"/>
      <c r="W954" s="4"/>
      <c r="X954" s="4"/>
      <c r="Y954" s="4"/>
    </row>
    <row r="955" spans="1:25" x14ac:dyDescent="0.2">
      <c r="A955" s="41"/>
      <c r="B955" s="5"/>
      <c r="C955" s="4"/>
      <c r="D955" s="4"/>
      <c r="E955" s="4"/>
      <c r="F955" s="4"/>
      <c r="G955" s="4"/>
      <c r="H955" s="4"/>
      <c r="I955" s="4"/>
      <c r="J955" s="4"/>
      <c r="K955" s="4"/>
      <c r="L955" s="4"/>
      <c r="M955" s="4"/>
      <c r="N955" s="4"/>
      <c r="O955" s="4"/>
      <c r="P955" s="4"/>
      <c r="Q955" s="4"/>
      <c r="R955" s="4"/>
      <c r="S955" s="4"/>
      <c r="T955" s="4"/>
      <c r="U955" s="4"/>
      <c r="V955" s="4"/>
      <c r="W955" s="4"/>
      <c r="X955" s="4"/>
      <c r="Y955" s="4"/>
    </row>
    <row r="956" spans="1:25" x14ac:dyDescent="0.2">
      <c r="A956" s="41"/>
      <c r="B956" s="5"/>
      <c r="C956" s="4"/>
      <c r="D956" s="4"/>
      <c r="E956" s="4"/>
      <c r="F956" s="4"/>
      <c r="G956" s="4"/>
      <c r="H956" s="4"/>
      <c r="I956" s="4"/>
      <c r="J956" s="4"/>
      <c r="K956" s="4"/>
      <c r="L956" s="4"/>
      <c r="M956" s="4"/>
      <c r="N956" s="4"/>
      <c r="O956" s="4"/>
      <c r="P956" s="4"/>
      <c r="Q956" s="4"/>
      <c r="R956" s="4"/>
      <c r="S956" s="4"/>
      <c r="T956" s="4"/>
      <c r="U956" s="4"/>
      <c r="V956" s="4"/>
      <c r="W956" s="4"/>
      <c r="X956" s="4"/>
      <c r="Y956" s="4"/>
    </row>
    <row r="957" spans="1:25" x14ac:dyDescent="0.2">
      <c r="A957" s="41"/>
      <c r="B957" s="5"/>
      <c r="C957" s="4"/>
      <c r="D957" s="4"/>
      <c r="E957" s="4"/>
      <c r="F957" s="4"/>
      <c r="G957" s="4"/>
      <c r="H957" s="4"/>
      <c r="I957" s="4"/>
      <c r="J957" s="4"/>
      <c r="K957" s="4"/>
      <c r="L957" s="4"/>
      <c r="M957" s="4"/>
      <c r="N957" s="4"/>
      <c r="O957" s="4"/>
      <c r="P957" s="4"/>
      <c r="Q957" s="4"/>
      <c r="R957" s="4"/>
      <c r="S957" s="4"/>
      <c r="T957" s="4"/>
      <c r="U957" s="4"/>
      <c r="V957" s="4"/>
      <c r="W957" s="4"/>
      <c r="X957" s="4"/>
      <c r="Y957" s="4"/>
    </row>
    <row r="958" spans="1:25" x14ac:dyDescent="0.2">
      <c r="A958" s="41"/>
      <c r="B958" s="5"/>
      <c r="C958" s="4"/>
      <c r="D958" s="4"/>
      <c r="E958" s="4"/>
      <c r="F958" s="4"/>
      <c r="G958" s="4"/>
      <c r="H958" s="4"/>
      <c r="I958" s="4"/>
      <c r="J958" s="4"/>
      <c r="K958" s="4"/>
      <c r="L958" s="4"/>
      <c r="M958" s="4"/>
      <c r="N958" s="4"/>
      <c r="O958" s="4"/>
      <c r="P958" s="4"/>
      <c r="Q958" s="4"/>
      <c r="R958" s="4"/>
      <c r="S958" s="4"/>
      <c r="T958" s="4"/>
      <c r="U958" s="4"/>
      <c r="V958" s="4"/>
      <c r="W958" s="4"/>
      <c r="X958" s="4"/>
      <c r="Y958" s="4"/>
    </row>
    <row r="959" spans="1:25" x14ac:dyDescent="0.2">
      <c r="A959" s="41"/>
      <c r="B959" s="5"/>
      <c r="C959" s="4"/>
      <c r="D959" s="4"/>
      <c r="E959" s="4"/>
      <c r="F959" s="4"/>
      <c r="G959" s="4"/>
      <c r="H959" s="4"/>
      <c r="I959" s="4"/>
      <c r="J959" s="4"/>
      <c r="K959" s="4"/>
      <c r="L959" s="4"/>
      <c r="M959" s="4"/>
      <c r="N959" s="4"/>
      <c r="O959" s="4"/>
      <c r="P959" s="4"/>
      <c r="Q959" s="4"/>
      <c r="R959" s="4"/>
      <c r="S959" s="4"/>
      <c r="T959" s="4"/>
      <c r="U959" s="4"/>
      <c r="V959" s="4"/>
      <c r="W959" s="4"/>
      <c r="X959" s="4"/>
      <c r="Y959" s="4"/>
    </row>
    <row r="960" spans="1:25" x14ac:dyDescent="0.2">
      <c r="A960" s="41"/>
      <c r="B960" s="5"/>
      <c r="C960" s="4"/>
      <c r="D960" s="4"/>
      <c r="E960" s="4"/>
      <c r="F960" s="4"/>
      <c r="G960" s="4"/>
      <c r="H960" s="4"/>
      <c r="I960" s="4"/>
      <c r="J960" s="4"/>
      <c r="K960" s="4"/>
      <c r="L960" s="4"/>
      <c r="M960" s="4"/>
      <c r="N960" s="4"/>
      <c r="O960" s="4"/>
      <c r="P960" s="4"/>
      <c r="Q960" s="4"/>
      <c r="R960" s="4"/>
      <c r="S960" s="4"/>
      <c r="T960" s="4"/>
      <c r="U960" s="4"/>
      <c r="V960" s="4"/>
      <c r="W960" s="4"/>
      <c r="X960" s="4"/>
      <c r="Y960" s="4"/>
    </row>
    <row r="961" spans="1:25" x14ac:dyDescent="0.2">
      <c r="A961" s="41"/>
      <c r="B961" s="5"/>
      <c r="C961" s="4"/>
      <c r="D961" s="4"/>
      <c r="E961" s="4"/>
      <c r="F961" s="4"/>
      <c r="G961" s="4"/>
      <c r="H961" s="4"/>
      <c r="I961" s="4"/>
      <c r="J961" s="4"/>
      <c r="K961" s="4"/>
      <c r="L961" s="4"/>
      <c r="M961" s="4"/>
      <c r="N961" s="4"/>
      <c r="O961" s="4"/>
      <c r="P961" s="4"/>
      <c r="Q961" s="4"/>
      <c r="R961" s="4"/>
      <c r="S961" s="4"/>
      <c r="T961" s="4"/>
      <c r="U961" s="4"/>
      <c r="V961" s="4"/>
      <c r="W961" s="4"/>
      <c r="X961" s="4"/>
      <c r="Y961" s="4"/>
    </row>
    <row r="962" spans="1:25" x14ac:dyDescent="0.2">
      <c r="A962" s="41"/>
      <c r="B962" s="5"/>
      <c r="C962" s="4"/>
      <c r="D962" s="4"/>
      <c r="E962" s="4"/>
      <c r="F962" s="4"/>
      <c r="G962" s="4"/>
      <c r="H962" s="4"/>
      <c r="I962" s="4"/>
      <c r="J962" s="4"/>
      <c r="K962" s="4"/>
      <c r="L962" s="4"/>
      <c r="M962" s="4"/>
      <c r="N962" s="4"/>
      <c r="O962" s="4"/>
      <c r="P962" s="4"/>
      <c r="Q962" s="4"/>
      <c r="R962" s="4"/>
      <c r="S962" s="4"/>
      <c r="T962" s="4"/>
      <c r="U962" s="4"/>
      <c r="V962" s="4"/>
      <c r="W962" s="4"/>
      <c r="X962" s="4"/>
      <c r="Y962" s="4"/>
    </row>
    <row r="963" spans="1:25" x14ac:dyDescent="0.2">
      <c r="A963" s="41"/>
      <c r="B963" s="5"/>
      <c r="C963" s="4"/>
      <c r="D963" s="4"/>
      <c r="E963" s="4"/>
      <c r="F963" s="4"/>
      <c r="G963" s="4"/>
      <c r="H963" s="4"/>
      <c r="I963" s="4"/>
      <c r="J963" s="4"/>
      <c r="K963" s="4"/>
      <c r="L963" s="4"/>
      <c r="M963" s="4"/>
      <c r="N963" s="4"/>
      <c r="O963" s="4"/>
      <c r="P963" s="4"/>
      <c r="Q963" s="4"/>
      <c r="R963" s="4"/>
      <c r="S963" s="4"/>
      <c r="T963" s="4"/>
      <c r="U963" s="4"/>
      <c r="V963" s="4"/>
      <c r="W963" s="4"/>
      <c r="X963" s="4"/>
      <c r="Y963" s="4"/>
    </row>
    <row r="964" spans="1:25" x14ac:dyDescent="0.2">
      <c r="A964" s="41"/>
      <c r="B964" s="5"/>
      <c r="C964" s="4"/>
      <c r="D964" s="4"/>
      <c r="E964" s="4"/>
      <c r="F964" s="4"/>
      <c r="G964" s="4"/>
      <c r="H964" s="4"/>
      <c r="I964" s="4"/>
      <c r="J964" s="4"/>
      <c r="K964" s="4"/>
      <c r="L964" s="4"/>
      <c r="M964" s="4"/>
      <c r="N964" s="4"/>
      <c r="O964" s="4"/>
      <c r="P964" s="4"/>
      <c r="Q964" s="4"/>
      <c r="R964" s="4"/>
      <c r="S964" s="4"/>
      <c r="T964" s="4"/>
      <c r="U964" s="4"/>
      <c r="V964" s="4"/>
      <c r="W964" s="4"/>
      <c r="X964" s="4"/>
      <c r="Y964" s="4"/>
    </row>
    <row r="965" spans="1:25" x14ac:dyDescent="0.2">
      <c r="A965" s="41"/>
      <c r="B965" s="5"/>
      <c r="C965" s="4"/>
      <c r="D965" s="4"/>
      <c r="E965" s="4"/>
      <c r="F965" s="4"/>
      <c r="G965" s="4"/>
      <c r="H965" s="4"/>
      <c r="I965" s="4"/>
      <c r="J965" s="4"/>
      <c r="K965" s="4"/>
      <c r="L965" s="4"/>
      <c r="M965" s="4"/>
      <c r="N965" s="4"/>
      <c r="O965" s="4"/>
      <c r="P965" s="4"/>
      <c r="Q965" s="4"/>
      <c r="R965" s="4"/>
      <c r="S965" s="4"/>
      <c r="T965" s="4"/>
      <c r="U965" s="4"/>
      <c r="V965" s="4"/>
      <c r="W965" s="4"/>
      <c r="X965" s="4"/>
      <c r="Y965" s="4"/>
    </row>
    <row r="966" spans="1:25" x14ac:dyDescent="0.2">
      <c r="A966" s="41"/>
      <c r="B966" s="5"/>
      <c r="C966" s="4"/>
      <c r="D966" s="4"/>
      <c r="E966" s="4"/>
      <c r="F966" s="4"/>
      <c r="G966" s="4"/>
      <c r="H966" s="4"/>
      <c r="I966" s="4"/>
      <c r="J966" s="4"/>
      <c r="K966" s="4"/>
      <c r="L966" s="4"/>
      <c r="M966" s="4"/>
      <c r="N966" s="4"/>
      <c r="O966" s="4"/>
      <c r="P966" s="4"/>
      <c r="Q966" s="4"/>
      <c r="R966" s="4"/>
      <c r="S966" s="4"/>
      <c r="T966" s="4"/>
      <c r="U966" s="4"/>
      <c r="V966" s="4"/>
      <c r="W966" s="4"/>
      <c r="X966" s="4"/>
      <c r="Y966" s="4"/>
    </row>
    <row r="967" spans="1:25" x14ac:dyDescent="0.2">
      <c r="A967" s="41"/>
      <c r="B967" s="5"/>
      <c r="C967" s="4"/>
      <c r="D967" s="4"/>
      <c r="E967" s="4"/>
      <c r="F967" s="4"/>
      <c r="G967" s="4"/>
      <c r="H967" s="4"/>
      <c r="I967" s="4"/>
      <c r="J967" s="4"/>
      <c r="K967" s="4"/>
      <c r="L967" s="4"/>
      <c r="M967" s="4"/>
      <c r="N967" s="4"/>
      <c r="O967" s="4"/>
      <c r="P967" s="4"/>
      <c r="Q967" s="4"/>
      <c r="R967" s="4"/>
      <c r="S967" s="4"/>
      <c r="T967" s="4"/>
      <c r="U967" s="4"/>
      <c r="V967" s="4"/>
      <c r="W967" s="4"/>
      <c r="X967" s="4"/>
      <c r="Y967" s="4"/>
    </row>
    <row r="968" spans="1:25" x14ac:dyDescent="0.2">
      <c r="A968" s="41"/>
      <c r="B968" s="5"/>
      <c r="C968" s="4"/>
      <c r="D968" s="4"/>
      <c r="E968" s="4"/>
      <c r="F968" s="4"/>
      <c r="G968" s="4"/>
      <c r="H968" s="4"/>
      <c r="I968" s="4"/>
      <c r="J968" s="4"/>
      <c r="K968" s="4"/>
      <c r="L968" s="4"/>
      <c r="M968" s="4"/>
      <c r="N968" s="4"/>
      <c r="O968" s="4"/>
      <c r="P968" s="4"/>
      <c r="Q968" s="4"/>
      <c r="R968" s="4"/>
      <c r="S968" s="4"/>
      <c r="T968" s="4"/>
      <c r="U968" s="4"/>
      <c r="V968" s="4"/>
      <c r="W968" s="4"/>
      <c r="X968" s="4"/>
      <c r="Y968" s="4"/>
    </row>
    <row r="969" spans="1:25" x14ac:dyDescent="0.2">
      <c r="A969" s="41"/>
      <c r="B969" s="5"/>
      <c r="C969" s="4"/>
      <c r="D969" s="4"/>
      <c r="E969" s="4"/>
      <c r="F969" s="4"/>
      <c r="G969" s="4"/>
      <c r="H969" s="4"/>
      <c r="I969" s="4"/>
      <c r="J969" s="4"/>
      <c r="K969" s="4"/>
      <c r="L969" s="4"/>
      <c r="M969" s="4"/>
      <c r="N969" s="4"/>
      <c r="O969" s="4"/>
      <c r="P969" s="4"/>
      <c r="Q969" s="4"/>
      <c r="R969" s="4"/>
      <c r="S969" s="4"/>
      <c r="T969" s="4"/>
      <c r="U969" s="4"/>
      <c r="V969" s="4"/>
      <c r="W969" s="4"/>
      <c r="X969" s="4"/>
      <c r="Y969" s="4"/>
    </row>
    <row r="970" spans="1:25" x14ac:dyDescent="0.2">
      <c r="A970" s="41"/>
      <c r="B970" s="5"/>
      <c r="C970" s="4"/>
      <c r="D970" s="4"/>
      <c r="E970" s="4"/>
      <c r="F970" s="4"/>
      <c r="G970" s="4"/>
      <c r="H970" s="4"/>
      <c r="I970" s="4"/>
      <c r="J970" s="4"/>
      <c r="K970" s="4"/>
      <c r="L970" s="4"/>
      <c r="M970" s="4"/>
      <c r="N970" s="4"/>
      <c r="O970" s="4"/>
      <c r="P970" s="4"/>
      <c r="Q970" s="4"/>
      <c r="R970" s="4"/>
      <c r="S970" s="4"/>
      <c r="T970" s="4"/>
      <c r="U970" s="4"/>
      <c r="V970" s="4"/>
      <c r="W970" s="4"/>
      <c r="X970" s="4"/>
      <c r="Y970" s="4"/>
    </row>
    <row r="971" spans="1:25" x14ac:dyDescent="0.2">
      <c r="A971" s="41"/>
      <c r="B971" s="5"/>
      <c r="C971" s="4"/>
      <c r="D971" s="4"/>
      <c r="E971" s="4"/>
      <c r="F971" s="4"/>
      <c r="G971" s="4"/>
      <c r="H971" s="4"/>
      <c r="I971" s="4"/>
      <c r="J971" s="4"/>
      <c r="K971" s="4"/>
      <c r="L971" s="4"/>
      <c r="M971" s="4"/>
      <c r="N971" s="4"/>
      <c r="O971" s="4"/>
      <c r="P971" s="4"/>
      <c r="Q971" s="4"/>
      <c r="R971" s="4"/>
      <c r="S971" s="4"/>
      <c r="T971" s="4"/>
      <c r="U971" s="4"/>
      <c r="V971" s="4"/>
      <c r="W971" s="4"/>
      <c r="X971" s="4"/>
      <c r="Y971" s="4"/>
    </row>
    <row r="972" spans="1:25" x14ac:dyDescent="0.2">
      <c r="A972" s="41"/>
      <c r="B972" s="5"/>
      <c r="C972" s="4"/>
      <c r="D972" s="4"/>
      <c r="E972" s="4"/>
      <c r="F972" s="4"/>
      <c r="G972" s="4"/>
      <c r="H972" s="4"/>
      <c r="I972" s="4"/>
      <c r="J972" s="4"/>
      <c r="K972" s="4"/>
      <c r="L972" s="4"/>
      <c r="M972" s="4"/>
      <c r="N972" s="4"/>
      <c r="O972" s="4"/>
      <c r="P972" s="4"/>
      <c r="Q972" s="4"/>
      <c r="R972" s="4"/>
      <c r="S972" s="4"/>
      <c r="T972" s="4"/>
      <c r="U972" s="4"/>
      <c r="V972" s="4"/>
      <c r="W972" s="4"/>
      <c r="X972" s="4"/>
      <c r="Y972" s="4"/>
    </row>
    <row r="973" spans="1:25" x14ac:dyDescent="0.2">
      <c r="A973" s="41"/>
      <c r="B973" s="5"/>
      <c r="C973" s="4"/>
      <c r="D973" s="4"/>
      <c r="E973" s="4"/>
      <c r="F973" s="4"/>
      <c r="G973" s="4"/>
      <c r="H973" s="4"/>
      <c r="I973" s="4"/>
      <c r="J973" s="4"/>
      <c r="K973" s="4"/>
      <c r="L973" s="4"/>
      <c r="M973" s="4"/>
      <c r="N973" s="4"/>
      <c r="O973" s="4"/>
      <c r="P973" s="4"/>
      <c r="Q973" s="4"/>
      <c r="R973" s="4"/>
      <c r="S973" s="4"/>
      <c r="T973" s="4"/>
      <c r="U973" s="4"/>
      <c r="V973" s="4"/>
      <c r="W973" s="4"/>
      <c r="X973" s="4"/>
      <c r="Y973" s="4"/>
    </row>
    <row r="974" spans="1:25" x14ac:dyDescent="0.2">
      <c r="A974" s="41"/>
      <c r="B974" s="5"/>
      <c r="C974" s="4"/>
      <c r="D974" s="4"/>
      <c r="E974" s="4"/>
      <c r="F974" s="4"/>
      <c r="G974" s="4"/>
      <c r="H974" s="4"/>
      <c r="I974" s="4"/>
      <c r="J974" s="4"/>
      <c r="K974" s="4"/>
      <c r="L974" s="4"/>
      <c r="M974" s="4"/>
      <c r="N974" s="4"/>
      <c r="O974" s="4"/>
      <c r="P974" s="4"/>
      <c r="Q974" s="4"/>
      <c r="R974" s="4"/>
      <c r="S974" s="4"/>
      <c r="T974" s="4"/>
      <c r="U974" s="4"/>
      <c r="V974" s="4"/>
      <c r="W974" s="4"/>
      <c r="X974" s="4"/>
      <c r="Y974" s="4"/>
    </row>
    <row r="975" spans="1:25" x14ac:dyDescent="0.2">
      <c r="A975" s="41"/>
      <c r="B975" s="5"/>
      <c r="C975" s="4"/>
      <c r="D975" s="4"/>
      <c r="E975" s="4"/>
      <c r="F975" s="4"/>
      <c r="G975" s="4"/>
      <c r="H975" s="4"/>
      <c r="I975" s="4"/>
      <c r="J975" s="4"/>
      <c r="K975" s="4"/>
      <c r="L975" s="4"/>
      <c r="M975" s="4"/>
      <c r="N975" s="4"/>
      <c r="O975" s="4"/>
      <c r="P975" s="4"/>
      <c r="Q975" s="4"/>
      <c r="R975" s="4"/>
      <c r="S975" s="4"/>
      <c r="T975" s="4"/>
      <c r="U975" s="4"/>
      <c r="V975" s="4"/>
      <c r="W975" s="4"/>
      <c r="X975" s="4"/>
      <c r="Y975" s="4"/>
    </row>
    <row r="976" spans="1:25" x14ac:dyDescent="0.2">
      <c r="A976" s="41"/>
      <c r="B976" s="5"/>
      <c r="C976" s="4"/>
      <c r="D976" s="4"/>
      <c r="E976" s="4"/>
      <c r="F976" s="4"/>
      <c r="G976" s="4"/>
      <c r="H976" s="4"/>
      <c r="I976" s="4"/>
      <c r="J976" s="4"/>
      <c r="K976" s="4"/>
      <c r="L976" s="4"/>
      <c r="M976" s="4"/>
      <c r="N976" s="4"/>
      <c r="O976" s="4"/>
      <c r="P976" s="4"/>
      <c r="Q976" s="4"/>
      <c r="R976" s="4"/>
      <c r="S976" s="4"/>
      <c r="T976" s="4"/>
      <c r="U976" s="4"/>
      <c r="V976" s="4"/>
      <c r="W976" s="4"/>
      <c r="X976" s="4"/>
      <c r="Y976" s="4"/>
    </row>
    <row r="977" spans="1:25" x14ac:dyDescent="0.2">
      <c r="A977" s="41"/>
      <c r="B977" s="5"/>
      <c r="C977" s="4"/>
      <c r="D977" s="4"/>
      <c r="E977" s="4"/>
      <c r="F977" s="4"/>
      <c r="G977" s="4"/>
      <c r="H977" s="4"/>
      <c r="I977" s="4"/>
      <c r="J977" s="4"/>
      <c r="K977" s="4"/>
      <c r="L977" s="4"/>
      <c r="M977" s="4"/>
      <c r="N977" s="4"/>
      <c r="O977" s="4"/>
      <c r="P977" s="4"/>
      <c r="Q977" s="4"/>
      <c r="R977" s="4"/>
      <c r="S977" s="4"/>
      <c r="T977" s="4"/>
      <c r="U977" s="4"/>
      <c r="V977" s="4"/>
      <c r="W977" s="4"/>
      <c r="X977" s="4"/>
      <c r="Y977" s="4"/>
    </row>
    <row r="978" spans="1:25" x14ac:dyDescent="0.2">
      <c r="A978" s="41"/>
      <c r="B978" s="5"/>
      <c r="C978" s="4"/>
      <c r="D978" s="4"/>
      <c r="E978" s="4"/>
      <c r="F978" s="4"/>
      <c r="G978" s="4"/>
      <c r="H978" s="4"/>
      <c r="I978" s="4"/>
      <c r="J978" s="4"/>
      <c r="K978" s="4"/>
      <c r="L978" s="4"/>
      <c r="M978" s="4"/>
      <c r="N978" s="4"/>
      <c r="O978" s="4"/>
      <c r="P978" s="4"/>
      <c r="Q978" s="4"/>
      <c r="R978" s="4"/>
      <c r="S978" s="4"/>
      <c r="T978" s="4"/>
      <c r="U978" s="4"/>
      <c r="V978" s="4"/>
      <c r="W978" s="4"/>
      <c r="X978" s="4"/>
      <c r="Y978" s="4"/>
    </row>
    <row r="979" spans="1:25" x14ac:dyDescent="0.2">
      <c r="A979" s="41"/>
      <c r="B979" s="5"/>
      <c r="C979" s="4"/>
      <c r="D979" s="4"/>
      <c r="E979" s="4"/>
      <c r="F979" s="4"/>
      <c r="G979" s="4"/>
      <c r="H979" s="4"/>
      <c r="I979" s="4"/>
      <c r="J979" s="4"/>
      <c r="K979" s="4"/>
      <c r="L979" s="4"/>
      <c r="M979" s="4"/>
      <c r="N979" s="4"/>
      <c r="O979" s="4"/>
      <c r="P979" s="4"/>
      <c r="Q979" s="4"/>
      <c r="R979" s="4"/>
      <c r="S979" s="4"/>
      <c r="T979" s="4"/>
      <c r="U979" s="4"/>
      <c r="V979" s="4"/>
      <c r="W979" s="4"/>
      <c r="X979" s="4"/>
      <c r="Y979" s="4"/>
    </row>
    <row r="980" spans="1:25" x14ac:dyDescent="0.2">
      <c r="A980" s="41"/>
      <c r="B980" s="5"/>
      <c r="C980" s="4"/>
      <c r="D980" s="4"/>
      <c r="E980" s="4"/>
      <c r="F980" s="4"/>
      <c r="G980" s="4"/>
      <c r="H980" s="4"/>
      <c r="I980" s="4"/>
      <c r="J980" s="4"/>
      <c r="K980" s="4"/>
      <c r="L980" s="4"/>
      <c r="M980" s="4"/>
      <c r="N980" s="4"/>
      <c r="O980" s="4"/>
      <c r="P980" s="4"/>
      <c r="Q980" s="4"/>
      <c r="R980" s="4"/>
      <c r="S980" s="4"/>
      <c r="T980" s="4"/>
      <c r="U980" s="4"/>
      <c r="V980" s="4"/>
      <c r="W980" s="4"/>
      <c r="X980" s="4"/>
      <c r="Y980" s="4"/>
    </row>
    <row r="981" spans="1:25" x14ac:dyDescent="0.2">
      <c r="A981" s="41"/>
      <c r="B981" s="5"/>
      <c r="C981" s="4"/>
      <c r="D981" s="4"/>
      <c r="E981" s="4"/>
      <c r="F981" s="4"/>
      <c r="G981" s="4"/>
      <c r="H981" s="4"/>
      <c r="I981" s="4"/>
      <c r="J981" s="4"/>
      <c r="K981" s="4"/>
      <c r="L981" s="4"/>
      <c r="M981" s="4"/>
      <c r="N981" s="4"/>
      <c r="O981" s="4"/>
      <c r="P981" s="4"/>
      <c r="Q981" s="4"/>
      <c r="R981" s="4"/>
      <c r="S981" s="4"/>
      <c r="T981" s="4"/>
      <c r="U981" s="4"/>
      <c r="V981" s="4"/>
      <c r="W981" s="4"/>
      <c r="X981" s="4"/>
      <c r="Y981" s="4"/>
    </row>
    <row r="982" spans="1:25" x14ac:dyDescent="0.2">
      <c r="A982" s="41"/>
      <c r="B982" s="5"/>
      <c r="C982" s="4"/>
      <c r="D982" s="4"/>
      <c r="E982" s="4"/>
      <c r="F982" s="4"/>
      <c r="G982" s="4"/>
      <c r="H982" s="4"/>
      <c r="I982" s="4"/>
      <c r="J982" s="4"/>
      <c r="K982" s="4"/>
      <c r="L982" s="4"/>
      <c r="M982" s="4"/>
      <c r="N982" s="4"/>
      <c r="O982" s="4"/>
      <c r="P982" s="4"/>
      <c r="Q982" s="4"/>
      <c r="R982" s="4"/>
      <c r="S982" s="4"/>
      <c r="T982" s="4"/>
      <c r="U982" s="4"/>
      <c r="V982" s="4"/>
      <c r="W982" s="4"/>
      <c r="X982" s="4"/>
      <c r="Y982" s="4"/>
    </row>
    <row r="983" spans="1:25" x14ac:dyDescent="0.2">
      <c r="A983" s="41"/>
      <c r="B983" s="5"/>
      <c r="C983" s="4"/>
      <c r="D983" s="4"/>
      <c r="E983" s="4"/>
      <c r="F983" s="4"/>
      <c r="G983" s="4"/>
      <c r="H983" s="4"/>
      <c r="I983" s="4"/>
      <c r="J983" s="4"/>
      <c r="K983" s="4"/>
      <c r="L983" s="4"/>
      <c r="M983" s="4"/>
      <c r="N983" s="4"/>
      <c r="O983" s="4"/>
      <c r="P983" s="4"/>
      <c r="Q983" s="4"/>
      <c r="R983" s="4"/>
      <c r="S983" s="4"/>
      <c r="T983" s="4"/>
      <c r="U983" s="4"/>
      <c r="V983" s="4"/>
      <c r="W983" s="4"/>
      <c r="X983" s="4"/>
      <c r="Y983" s="4"/>
    </row>
    <row r="984" spans="1:25" x14ac:dyDescent="0.2">
      <c r="A984" s="41"/>
      <c r="B984" s="5"/>
      <c r="C984" s="4"/>
      <c r="D984" s="4"/>
      <c r="E984" s="4"/>
      <c r="F984" s="4"/>
      <c r="G984" s="4"/>
      <c r="H984" s="4"/>
      <c r="I984" s="4"/>
      <c r="J984" s="4"/>
      <c r="K984" s="4"/>
      <c r="L984" s="4"/>
      <c r="M984" s="4"/>
      <c r="N984" s="4"/>
      <c r="O984" s="4"/>
      <c r="P984" s="4"/>
      <c r="Q984" s="4"/>
      <c r="R984" s="4"/>
      <c r="S984" s="4"/>
      <c r="T984" s="4"/>
      <c r="U984" s="4"/>
      <c r="V984" s="4"/>
      <c r="W984" s="4"/>
      <c r="X984" s="4"/>
      <c r="Y984" s="4"/>
    </row>
    <row r="985" spans="1:25" x14ac:dyDescent="0.2">
      <c r="A985" s="41"/>
      <c r="B985" s="5"/>
      <c r="C985" s="4"/>
      <c r="D985" s="4"/>
      <c r="E985" s="4"/>
      <c r="F985" s="4"/>
      <c r="G985" s="4"/>
      <c r="H985" s="4"/>
      <c r="I985" s="4"/>
      <c r="J985" s="4"/>
      <c r="K985" s="4"/>
      <c r="L985" s="4"/>
      <c r="M985" s="4"/>
      <c r="N985" s="4"/>
      <c r="O985" s="4"/>
      <c r="P985" s="4"/>
      <c r="Q985" s="4"/>
      <c r="R985" s="4"/>
      <c r="S985" s="4"/>
      <c r="T985" s="4"/>
      <c r="U985" s="4"/>
      <c r="V985" s="4"/>
      <c r="W985" s="4"/>
      <c r="X985" s="4"/>
      <c r="Y985" s="4"/>
    </row>
    <row r="986" spans="1:25" x14ac:dyDescent="0.2">
      <c r="A986" s="41"/>
      <c r="B986" s="5"/>
      <c r="C986" s="4"/>
      <c r="D986" s="4"/>
      <c r="E986" s="4"/>
      <c r="F986" s="4"/>
      <c r="G986" s="4"/>
      <c r="H986" s="4"/>
      <c r="I986" s="4"/>
      <c r="J986" s="4"/>
      <c r="K986" s="4"/>
      <c r="L986" s="4"/>
      <c r="M986" s="4"/>
      <c r="N986" s="4"/>
      <c r="O986" s="4"/>
      <c r="P986" s="4"/>
      <c r="Q986" s="4"/>
      <c r="R986" s="4"/>
      <c r="S986" s="4"/>
      <c r="T986" s="4"/>
      <c r="U986" s="4"/>
      <c r="V986" s="4"/>
      <c r="W986" s="4"/>
      <c r="X986" s="4"/>
      <c r="Y986" s="4"/>
    </row>
    <row r="987" spans="1:25" x14ac:dyDescent="0.2">
      <c r="A987" s="41"/>
      <c r="B987" s="5"/>
      <c r="C987" s="4"/>
      <c r="D987" s="4"/>
      <c r="E987" s="4"/>
      <c r="F987" s="4"/>
      <c r="G987" s="4"/>
      <c r="H987" s="4"/>
      <c r="I987" s="4"/>
      <c r="J987" s="4"/>
      <c r="K987" s="4"/>
      <c r="L987" s="4"/>
      <c r="M987" s="4"/>
      <c r="N987" s="4"/>
      <c r="O987" s="4"/>
      <c r="P987" s="4"/>
      <c r="Q987" s="4"/>
      <c r="R987" s="4"/>
      <c r="S987" s="4"/>
      <c r="T987" s="4"/>
      <c r="U987" s="4"/>
      <c r="V987" s="4"/>
      <c r="W987" s="4"/>
      <c r="X987" s="4"/>
      <c r="Y987" s="4"/>
    </row>
    <row r="988" spans="1:25" x14ac:dyDescent="0.2">
      <c r="A988" s="41"/>
      <c r="B988" s="5"/>
      <c r="C988" s="4"/>
      <c r="D988" s="4"/>
      <c r="E988" s="4"/>
      <c r="F988" s="4"/>
      <c r="G988" s="4"/>
      <c r="H988" s="4"/>
      <c r="I988" s="4"/>
      <c r="J988" s="4"/>
      <c r="K988" s="4"/>
      <c r="L988" s="4"/>
      <c r="M988" s="4"/>
      <c r="N988" s="4"/>
      <c r="O988" s="4"/>
      <c r="P988" s="4"/>
      <c r="Q988" s="4"/>
      <c r="R988" s="4"/>
      <c r="S988" s="4"/>
      <c r="T988" s="4"/>
      <c r="U988" s="4"/>
      <c r="V988" s="4"/>
      <c r="W988" s="4"/>
      <c r="X988" s="4"/>
      <c r="Y988" s="4"/>
    </row>
    <row r="989" spans="1:25" x14ac:dyDescent="0.2">
      <c r="A989" s="41"/>
      <c r="B989" s="5"/>
      <c r="C989" s="4"/>
      <c r="D989" s="4"/>
      <c r="E989" s="4"/>
      <c r="F989" s="4"/>
      <c r="G989" s="4"/>
      <c r="H989" s="4"/>
      <c r="I989" s="4"/>
      <c r="J989" s="4"/>
      <c r="K989" s="4"/>
      <c r="L989" s="4"/>
      <c r="M989" s="4"/>
      <c r="N989" s="4"/>
      <c r="O989" s="4"/>
      <c r="P989" s="4"/>
      <c r="Q989" s="4"/>
      <c r="R989" s="4"/>
      <c r="S989" s="4"/>
      <c r="T989" s="4"/>
      <c r="U989" s="4"/>
      <c r="V989" s="4"/>
      <c r="W989" s="4"/>
      <c r="X989" s="4"/>
      <c r="Y989" s="4"/>
    </row>
    <row r="990" spans="1:25" x14ac:dyDescent="0.2">
      <c r="A990" s="41"/>
      <c r="B990" s="5"/>
      <c r="C990" s="4"/>
      <c r="D990" s="4"/>
      <c r="E990" s="4"/>
      <c r="F990" s="4"/>
      <c r="G990" s="4"/>
      <c r="H990" s="4"/>
      <c r="I990" s="4"/>
      <c r="J990" s="4"/>
      <c r="K990" s="4"/>
      <c r="L990" s="4"/>
      <c r="M990" s="4"/>
      <c r="N990" s="4"/>
      <c r="O990" s="4"/>
      <c r="P990" s="4"/>
      <c r="Q990" s="4"/>
      <c r="R990" s="4"/>
      <c r="S990" s="4"/>
      <c r="T990" s="4"/>
      <c r="U990" s="4"/>
      <c r="V990" s="4"/>
      <c r="W990" s="4"/>
      <c r="X990" s="4"/>
      <c r="Y990" s="4"/>
    </row>
    <row r="991" spans="1:25" x14ac:dyDescent="0.2">
      <c r="A991" s="41"/>
      <c r="B991" s="5"/>
      <c r="C991" s="4"/>
      <c r="D991" s="4"/>
      <c r="E991" s="4"/>
      <c r="F991" s="4"/>
      <c r="G991" s="4"/>
      <c r="H991" s="4"/>
      <c r="I991" s="4"/>
      <c r="J991" s="4"/>
      <c r="K991" s="4"/>
      <c r="L991" s="4"/>
      <c r="M991" s="4"/>
      <c r="N991" s="4"/>
      <c r="O991" s="4"/>
      <c r="P991" s="4"/>
      <c r="Q991" s="4"/>
      <c r="R991" s="4"/>
      <c r="S991" s="4"/>
      <c r="T991" s="4"/>
      <c r="U991" s="4"/>
      <c r="V991" s="4"/>
      <c r="W991" s="4"/>
      <c r="X991" s="4"/>
      <c r="Y991" s="4"/>
    </row>
    <row r="992" spans="1:25" x14ac:dyDescent="0.2">
      <c r="A992" s="41"/>
      <c r="B992" s="5"/>
      <c r="C992" s="4"/>
      <c r="D992" s="4"/>
      <c r="E992" s="4"/>
      <c r="F992" s="4"/>
      <c r="G992" s="4"/>
      <c r="H992" s="4"/>
      <c r="I992" s="4"/>
      <c r="J992" s="4"/>
      <c r="K992" s="4"/>
      <c r="L992" s="4"/>
      <c r="M992" s="4"/>
      <c r="N992" s="4"/>
      <c r="O992" s="4"/>
      <c r="P992" s="4"/>
      <c r="Q992" s="4"/>
      <c r="R992" s="4"/>
      <c r="S992" s="4"/>
      <c r="T992" s="4"/>
      <c r="U992" s="4"/>
      <c r="V992" s="4"/>
      <c r="W992" s="4"/>
      <c r="X992" s="4"/>
      <c r="Y992" s="4"/>
    </row>
    <row r="993" spans="1:25" x14ac:dyDescent="0.2">
      <c r="A993" s="41"/>
      <c r="B993" s="5"/>
      <c r="C993" s="4"/>
      <c r="D993" s="4"/>
      <c r="E993" s="4"/>
      <c r="F993" s="4"/>
      <c r="G993" s="4"/>
      <c r="H993" s="4"/>
      <c r="I993" s="4"/>
      <c r="J993" s="4"/>
      <c r="K993" s="4"/>
      <c r="L993" s="4"/>
      <c r="M993" s="4"/>
      <c r="N993" s="4"/>
      <c r="O993" s="4"/>
      <c r="P993" s="4"/>
      <c r="Q993" s="4"/>
      <c r="R993" s="4"/>
      <c r="S993" s="4"/>
      <c r="T993" s="4"/>
      <c r="U993" s="4"/>
      <c r="V993" s="4"/>
      <c r="W993" s="4"/>
      <c r="X993" s="4"/>
      <c r="Y993" s="4"/>
    </row>
    <row r="994" spans="1:25" x14ac:dyDescent="0.2">
      <c r="A994" s="41"/>
      <c r="B994" s="5"/>
      <c r="C994" s="4"/>
      <c r="D994" s="4"/>
      <c r="E994" s="4"/>
      <c r="F994" s="4"/>
      <c r="G994" s="4"/>
      <c r="H994" s="4"/>
      <c r="I994" s="4"/>
      <c r="J994" s="4"/>
      <c r="K994" s="4"/>
      <c r="L994" s="4"/>
      <c r="M994" s="4"/>
      <c r="N994" s="4"/>
      <c r="O994" s="4"/>
      <c r="P994" s="4"/>
      <c r="Q994" s="4"/>
      <c r="R994" s="4"/>
      <c r="S994" s="4"/>
      <c r="T994" s="4"/>
      <c r="U994" s="4"/>
      <c r="V994" s="4"/>
      <c r="W994" s="4"/>
      <c r="X994" s="4"/>
      <c r="Y994" s="4"/>
    </row>
    <row r="995" spans="1:25" x14ac:dyDescent="0.2">
      <c r="A995" s="41"/>
      <c r="B995" s="5"/>
      <c r="C995" s="4"/>
      <c r="D995" s="4"/>
      <c r="E995" s="4"/>
      <c r="F995" s="4"/>
      <c r="G995" s="4"/>
      <c r="H995" s="4"/>
      <c r="I995" s="4"/>
      <c r="J995" s="4"/>
      <c r="K995" s="4"/>
      <c r="L995" s="4"/>
      <c r="M995" s="4"/>
      <c r="N995" s="4"/>
      <c r="O995" s="4"/>
      <c r="P995" s="4"/>
      <c r="Q995" s="4"/>
      <c r="R995" s="4"/>
      <c r="S995" s="4"/>
      <c r="T995" s="4"/>
      <c r="U995" s="4"/>
      <c r="V995" s="4"/>
      <c r="W995" s="4"/>
      <c r="X995" s="4"/>
      <c r="Y995" s="4"/>
    </row>
    <row r="996" spans="1:25" x14ac:dyDescent="0.2">
      <c r="A996" s="41"/>
      <c r="B996" s="5"/>
      <c r="C996" s="4"/>
      <c r="D996" s="4"/>
      <c r="E996" s="4"/>
      <c r="F996" s="4"/>
      <c r="G996" s="4"/>
      <c r="H996" s="4"/>
      <c r="I996" s="4"/>
      <c r="J996" s="4"/>
      <c r="K996" s="4"/>
      <c r="L996" s="4"/>
      <c r="M996" s="4"/>
      <c r="N996" s="4"/>
      <c r="O996" s="4"/>
      <c r="P996" s="4"/>
      <c r="Q996" s="4"/>
      <c r="R996" s="4"/>
      <c r="S996" s="4"/>
      <c r="T996" s="4"/>
      <c r="U996" s="4"/>
      <c r="V996" s="4"/>
      <c r="W996" s="4"/>
      <c r="X996" s="4"/>
      <c r="Y996" s="4"/>
    </row>
    <row r="997" spans="1:25" x14ac:dyDescent="0.2">
      <c r="A997" s="41"/>
      <c r="B997" s="5"/>
      <c r="C997" s="4"/>
      <c r="D997" s="4"/>
      <c r="E997" s="4"/>
      <c r="F997" s="4"/>
      <c r="G997" s="4"/>
      <c r="H997" s="4"/>
      <c r="I997" s="4"/>
      <c r="J997" s="4"/>
      <c r="K997" s="4"/>
      <c r="L997" s="4"/>
      <c r="M997" s="4"/>
      <c r="N997" s="4"/>
      <c r="O997" s="4"/>
      <c r="P997" s="4"/>
      <c r="Q997" s="4"/>
      <c r="R997" s="4"/>
      <c r="S997" s="4"/>
      <c r="T997" s="4"/>
      <c r="U997" s="4"/>
      <c r="V997" s="4"/>
      <c r="W997" s="4"/>
      <c r="X997" s="4"/>
      <c r="Y997" s="4"/>
    </row>
    <row r="998" spans="1:25" x14ac:dyDescent="0.2">
      <c r="A998" s="41"/>
      <c r="B998" s="5"/>
      <c r="C998" s="4"/>
      <c r="D998" s="4"/>
      <c r="E998" s="4"/>
      <c r="F998" s="4"/>
      <c r="G998" s="4"/>
      <c r="H998" s="4"/>
      <c r="I998" s="4"/>
      <c r="J998" s="4"/>
      <c r="K998" s="4"/>
      <c r="L998" s="4"/>
      <c r="M998" s="4"/>
      <c r="N998" s="4"/>
      <c r="O998" s="4"/>
      <c r="P998" s="4"/>
      <c r="Q998" s="4"/>
      <c r="R998" s="4"/>
      <c r="S998" s="4"/>
      <c r="T998" s="4"/>
      <c r="U998" s="4"/>
      <c r="V998" s="4"/>
      <c r="W998" s="4"/>
      <c r="X998" s="4"/>
      <c r="Y998" s="4"/>
    </row>
    <row r="999" spans="1:25" x14ac:dyDescent="0.2">
      <c r="A999" s="41"/>
      <c r="B999" s="5"/>
      <c r="C999" s="4"/>
      <c r="D999" s="4"/>
      <c r="E999" s="4"/>
      <c r="F999" s="4"/>
      <c r="G999" s="4"/>
      <c r="H999" s="4"/>
      <c r="I999" s="4"/>
      <c r="J999" s="4"/>
      <c r="K999" s="4"/>
      <c r="L999" s="4"/>
      <c r="M999" s="4"/>
      <c r="N999" s="4"/>
      <c r="O999" s="4"/>
      <c r="P999" s="4"/>
      <c r="Q999" s="4"/>
      <c r="R999" s="4"/>
      <c r="S999" s="4"/>
      <c r="T999" s="4"/>
      <c r="U999" s="4"/>
      <c r="V999" s="4"/>
      <c r="W999" s="4"/>
      <c r="X999" s="4"/>
      <c r="Y999" s="4"/>
    </row>
    <row r="1000" spans="1:25" x14ac:dyDescent="0.2">
      <c r="A1000" s="41"/>
      <c r="B1000" s="5"/>
      <c r="C1000" s="4"/>
      <c r="D1000" s="4"/>
      <c r="E1000" s="4"/>
      <c r="F1000" s="4"/>
      <c r="G1000" s="4"/>
      <c r="H1000" s="4"/>
      <c r="I1000" s="4"/>
      <c r="J1000" s="4"/>
      <c r="K1000" s="4"/>
      <c r="L1000" s="4"/>
      <c r="M1000" s="4"/>
      <c r="N1000" s="4"/>
      <c r="O1000" s="4"/>
      <c r="P1000" s="4"/>
      <c r="Q1000" s="4"/>
      <c r="R1000" s="4"/>
      <c r="S1000" s="4"/>
      <c r="T1000" s="4"/>
      <c r="U1000" s="4"/>
      <c r="V1000" s="4"/>
      <c r="W1000" s="4"/>
      <c r="X1000" s="4"/>
      <c r="Y1000" s="4"/>
    </row>
    <row r="1001" spans="1:25" x14ac:dyDescent="0.2">
      <c r="A1001" s="41"/>
      <c r="B1001" s="5"/>
      <c r="C1001" s="4"/>
      <c r="D1001" s="4"/>
      <c r="E1001" s="4"/>
      <c r="F1001" s="4"/>
      <c r="G1001" s="4"/>
      <c r="H1001" s="4"/>
      <c r="I1001" s="4"/>
      <c r="J1001" s="4"/>
      <c r="K1001" s="4"/>
      <c r="L1001" s="4"/>
      <c r="M1001" s="4"/>
      <c r="N1001" s="4"/>
      <c r="O1001" s="4"/>
      <c r="P1001" s="4"/>
      <c r="Q1001" s="4"/>
      <c r="R1001" s="4"/>
      <c r="S1001" s="4"/>
      <c r="T1001" s="4"/>
      <c r="U1001" s="4"/>
      <c r="V1001" s="4"/>
      <c r="W1001" s="4"/>
      <c r="X1001" s="4"/>
      <c r="Y1001" s="4"/>
    </row>
    <row r="1002" spans="1:25" x14ac:dyDescent="0.2">
      <c r="A1002" s="41"/>
      <c r="B1002" s="5"/>
      <c r="C1002" s="4"/>
      <c r="D1002" s="4"/>
      <c r="E1002" s="4"/>
      <c r="F1002" s="4"/>
      <c r="G1002" s="4"/>
      <c r="H1002" s="4"/>
      <c r="I1002" s="4"/>
      <c r="J1002" s="4"/>
      <c r="K1002" s="4"/>
      <c r="L1002" s="4"/>
      <c r="M1002" s="4"/>
      <c r="N1002" s="4"/>
      <c r="O1002" s="4"/>
      <c r="P1002" s="4"/>
      <c r="Q1002" s="4"/>
      <c r="R1002" s="4"/>
      <c r="S1002" s="4"/>
      <c r="T1002" s="4"/>
      <c r="U1002" s="4"/>
      <c r="V1002" s="4"/>
      <c r="W1002" s="4"/>
      <c r="X1002" s="4"/>
      <c r="Y1002" s="4"/>
    </row>
    <row r="1003" spans="1:25" x14ac:dyDescent="0.2">
      <c r="A1003" s="41"/>
      <c r="B1003" s="5"/>
      <c r="C1003" s="4"/>
      <c r="D1003" s="4"/>
      <c r="E1003" s="4"/>
      <c r="F1003" s="4"/>
      <c r="G1003" s="4"/>
      <c r="H1003" s="4"/>
      <c r="I1003" s="4"/>
      <c r="J1003" s="4"/>
      <c r="K1003" s="4"/>
      <c r="L1003" s="4"/>
      <c r="M1003" s="4"/>
      <c r="N1003" s="4"/>
      <c r="O1003" s="4"/>
      <c r="P1003" s="4"/>
      <c r="Q1003" s="4"/>
      <c r="R1003" s="4"/>
      <c r="S1003" s="4"/>
      <c r="T1003" s="4"/>
      <c r="U1003" s="4"/>
      <c r="V1003" s="4"/>
      <c r="W1003" s="4"/>
      <c r="X1003" s="4"/>
      <c r="Y1003" s="4"/>
    </row>
    <row r="1004" spans="1:25" x14ac:dyDescent="0.2">
      <c r="A1004" s="41"/>
      <c r="B1004" s="5"/>
      <c r="C1004" s="4"/>
      <c r="D1004" s="4"/>
      <c r="E1004" s="4"/>
      <c r="F1004" s="4"/>
      <c r="G1004" s="4"/>
      <c r="H1004" s="4"/>
      <c r="I1004" s="4"/>
      <c r="J1004" s="4"/>
      <c r="K1004" s="4"/>
      <c r="L1004" s="4"/>
      <c r="M1004" s="4"/>
      <c r="N1004" s="4"/>
      <c r="O1004" s="4"/>
      <c r="P1004" s="4"/>
      <c r="Q1004" s="4"/>
      <c r="R1004" s="4"/>
      <c r="S1004" s="4"/>
      <c r="T1004" s="4"/>
      <c r="U1004" s="4"/>
      <c r="V1004" s="4"/>
      <c r="W1004" s="4"/>
      <c r="X1004" s="4"/>
      <c r="Y1004" s="4"/>
    </row>
    <row r="1005" spans="1:25" x14ac:dyDescent="0.2">
      <c r="A1005" s="41"/>
      <c r="B1005" s="5"/>
      <c r="C1005" s="4"/>
      <c r="D1005" s="4"/>
      <c r="E1005" s="4"/>
      <c r="F1005" s="4"/>
      <c r="G1005" s="4"/>
      <c r="H1005" s="4"/>
      <c r="I1005" s="4"/>
      <c r="J1005" s="4"/>
      <c r="K1005" s="4"/>
      <c r="L1005" s="4"/>
      <c r="M1005" s="4"/>
      <c r="N1005" s="4"/>
      <c r="O1005" s="4"/>
      <c r="P1005" s="4"/>
      <c r="Q1005" s="4"/>
      <c r="R1005" s="4"/>
      <c r="S1005" s="4"/>
      <c r="T1005" s="4"/>
      <c r="U1005" s="4"/>
      <c r="V1005" s="4"/>
      <c r="W1005" s="4"/>
      <c r="X1005" s="4"/>
      <c r="Y1005" s="4"/>
    </row>
    <row r="1006" spans="1:25" x14ac:dyDescent="0.2">
      <c r="A1006" s="41"/>
      <c r="B1006" s="5"/>
      <c r="C1006" s="4"/>
      <c r="D1006" s="4"/>
      <c r="E1006" s="4"/>
      <c r="F1006" s="4"/>
      <c r="G1006" s="4"/>
      <c r="H1006" s="4"/>
      <c r="I1006" s="4"/>
      <c r="J1006" s="4"/>
      <c r="K1006" s="4"/>
      <c r="L1006" s="4"/>
      <c r="M1006" s="4"/>
      <c r="N1006" s="4"/>
      <c r="O1006" s="4"/>
      <c r="P1006" s="4"/>
      <c r="Q1006" s="4"/>
      <c r="R1006" s="4"/>
      <c r="S1006" s="4"/>
      <c r="T1006" s="4"/>
      <c r="U1006" s="4"/>
      <c r="V1006" s="4"/>
      <c r="W1006" s="4"/>
      <c r="X1006" s="4"/>
      <c r="Y1006" s="4"/>
    </row>
    <row r="1007" spans="1:25" x14ac:dyDescent="0.2">
      <c r="A1007" s="41"/>
      <c r="B1007" s="5"/>
      <c r="C1007" s="4"/>
      <c r="D1007" s="4"/>
      <c r="E1007" s="4"/>
      <c r="F1007" s="4"/>
      <c r="G1007" s="4"/>
      <c r="H1007" s="4"/>
      <c r="I1007" s="4"/>
      <c r="J1007" s="4"/>
      <c r="K1007" s="4"/>
      <c r="L1007" s="4"/>
      <c r="M1007" s="4"/>
      <c r="N1007" s="4"/>
      <c r="O1007" s="4"/>
      <c r="P1007" s="4"/>
      <c r="Q1007" s="4"/>
      <c r="R1007" s="4"/>
      <c r="S1007" s="4"/>
      <c r="T1007" s="4"/>
      <c r="U1007" s="4"/>
      <c r="V1007" s="4"/>
      <c r="W1007" s="4"/>
      <c r="X1007" s="4"/>
      <c r="Y1007" s="4"/>
    </row>
    <row r="1008" spans="1:25" x14ac:dyDescent="0.2">
      <c r="A1008" s="41"/>
      <c r="B1008" s="5"/>
      <c r="C1008" s="4"/>
      <c r="D1008" s="4"/>
      <c r="E1008" s="4"/>
      <c r="F1008" s="4"/>
      <c r="G1008" s="4"/>
      <c r="H1008" s="4"/>
      <c r="I1008" s="4"/>
      <c r="J1008" s="4"/>
      <c r="K1008" s="4"/>
      <c r="L1008" s="4"/>
      <c r="M1008" s="4"/>
      <c r="N1008" s="4"/>
      <c r="O1008" s="4"/>
      <c r="P1008" s="4"/>
      <c r="Q1008" s="4"/>
      <c r="R1008" s="4"/>
      <c r="S1008" s="4"/>
      <c r="T1008" s="4"/>
      <c r="U1008" s="4"/>
      <c r="V1008" s="4"/>
      <c r="W1008" s="4"/>
      <c r="X1008" s="4"/>
      <c r="Y1008" s="4"/>
    </row>
    <row r="1009" spans="1:25" x14ac:dyDescent="0.2">
      <c r="A1009" s="41"/>
      <c r="B1009" s="5"/>
      <c r="C1009" s="4"/>
      <c r="D1009" s="4"/>
      <c r="E1009" s="4"/>
      <c r="F1009" s="4"/>
      <c r="G1009" s="4"/>
      <c r="H1009" s="4"/>
      <c r="I1009" s="4"/>
      <c r="J1009" s="4"/>
      <c r="K1009" s="4"/>
      <c r="L1009" s="4"/>
      <c r="M1009" s="4"/>
      <c r="N1009" s="4"/>
      <c r="O1009" s="4"/>
      <c r="P1009" s="4"/>
      <c r="Q1009" s="4"/>
      <c r="R1009" s="4"/>
      <c r="S1009" s="4"/>
      <c r="T1009" s="4"/>
      <c r="U1009" s="4"/>
      <c r="V1009" s="4"/>
      <c r="W1009" s="4"/>
      <c r="X1009" s="4"/>
      <c r="Y1009" s="4"/>
    </row>
    <row r="1010" spans="1:25" x14ac:dyDescent="0.2">
      <c r="A1010" s="41"/>
      <c r="B1010" s="5"/>
      <c r="C1010" s="4"/>
      <c r="D1010" s="4"/>
      <c r="E1010" s="4"/>
      <c r="F1010" s="4"/>
      <c r="G1010" s="4"/>
      <c r="H1010" s="4"/>
      <c r="I1010" s="4"/>
      <c r="J1010" s="4"/>
      <c r="K1010" s="4"/>
      <c r="L1010" s="4"/>
      <c r="M1010" s="4"/>
      <c r="N1010" s="4"/>
      <c r="O1010" s="4"/>
      <c r="P1010" s="4"/>
      <c r="Q1010" s="4"/>
      <c r="R1010" s="4"/>
      <c r="S1010" s="4"/>
      <c r="T1010" s="4"/>
      <c r="U1010" s="4"/>
      <c r="V1010" s="4"/>
      <c r="W1010" s="4"/>
      <c r="X1010" s="4"/>
      <c r="Y1010" s="4"/>
    </row>
    <row r="1011" spans="1:25" x14ac:dyDescent="0.2">
      <c r="A1011" s="41"/>
      <c r="B1011" s="5"/>
      <c r="C1011" s="4"/>
      <c r="D1011" s="4"/>
      <c r="E1011" s="4"/>
      <c r="F1011" s="4"/>
      <c r="G1011" s="4"/>
      <c r="H1011" s="4"/>
      <c r="I1011" s="4"/>
      <c r="J1011" s="4"/>
      <c r="K1011" s="4"/>
      <c r="L1011" s="4"/>
      <c r="M1011" s="4"/>
      <c r="N1011" s="4"/>
      <c r="O1011" s="4"/>
      <c r="P1011" s="4"/>
      <c r="Q1011" s="4"/>
      <c r="R1011" s="4"/>
      <c r="S1011" s="4"/>
      <c r="T1011" s="4"/>
      <c r="U1011" s="4"/>
      <c r="V1011" s="4"/>
      <c r="W1011" s="4"/>
      <c r="X1011" s="4"/>
      <c r="Y1011" s="4"/>
    </row>
    <row r="1012" spans="1:25" x14ac:dyDescent="0.2">
      <c r="A1012" s="41"/>
      <c r="B1012" s="5"/>
      <c r="C1012" s="4"/>
      <c r="D1012" s="4"/>
      <c r="E1012" s="4"/>
      <c r="F1012" s="4"/>
      <c r="G1012" s="4"/>
      <c r="H1012" s="4"/>
      <c r="I1012" s="4"/>
      <c r="J1012" s="4"/>
      <c r="K1012" s="4"/>
      <c r="L1012" s="4"/>
      <c r="M1012" s="4"/>
      <c r="N1012" s="4"/>
      <c r="O1012" s="4"/>
      <c r="P1012" s="4"/>
      <c r="Q1012" s="4"/>
      <c r="R1012" s="4"/>
      <c r="S1012" s="4"/>
      <c r="T1012" s="4"/>
      <c r="U1012" s="4"/>
      <c r="V1012" s="4"/>
      <c r="W1012" s="4"/>
      <c r="X1012" s="4"/>
      <c r="Y1012" s="4"/>
    </row>
    <row r="1013" spans="1:25" x14ac:dyDescent="0.2">
      <c r="A1013" s="41"/>
      <c r="B1013" s="5"/>
      <c r="C1013" s="4"/>
      <c r="D1013" s="4"/>
      <c r="E1013" s="4"/>
      <c r="F1013" s="4"/>
      <c r="G1013" s="4"/>
      <c r="H1013" s="4"/>
      <c r="I1013" s="4"/>
      <c r="J1013" s="4"/>
      <c r="K1013" s="4"/>
      <c r="L1013" s="4"/>
      <c r="M1013" s="4"/>
      <c r="N1013" s="4"/>
      <c r="O1013" s="4"/>
      <c r="P1013" s="4"/>
      <c r="Q1013" s="4"/>
      <c r="R1013" s="4"/>
      <c r="S1013" s="4"/>
      <c r="T1013" s="4"/>
      <c r="U1013" s="4"/>
      <c r="V1013" s="4"/>
      <c r="W1013" s="4"/>
      <c r="X1013" s="4"/>
      <c r="Y1013" s="4"/>
    </row>
    <row r="1014" spans="1:25" x14ac:dyDescent="0.2">
      <c r="A1014" s="41"/>
      <c r="B1014" s="5"/>
      <c r="C1014" s="4"/>
      <c r="D1014" s="4"/>
      <c r="E1014" s="4"/>
      <c r="F1014" s="4"/>
      <c r="G1014" s="4"/>
      <c r="H1014" s="4"/>
      <c r="I1014" s="4"/>
      <c r="J1014" s="4"/>
      <c r="K1014" s="4"/>
      <c r="L1014" s="4"/>
      <c r="M1014" s="4"/>
      <c r="N1014" s="4"/>
      <c r="O1014" s="4"/>
      <c r="P1014" s="4"/>
      <c r="Q1014" s="4"/>
      <c r="R1014" s="4"/>
      <c r="S1014" s="4"/>
      <c r="T1014" s="4"/>
      <c r="U1014" s="4"/>
      <c r="V1014" s="4"/>
      <c r="W1014" s="4"/>
      <c r="X1014" s="4"/>
      <c r="Y1014" s="4"/>
    </row>
    <row r="1015" spans="1:25" x14ac:dyDescent="0.2">
      <c r="A1015" s="41"/>
      <c r="B1015" s="5"/>
      <c r="C1015" s="4"/>
      <c r="D1015" s="4"/>
      <c r="E1015" s="4"/>
      <c r="F1015" s="4"/>
      <c r="G1015" s="4"/>
      <c r="H1015" s="4"/>
      <c r="I1015" s="4"/>
      <c r="J1015" s="4"/>
      <c r="K1015" s="4"/>
      <c r="L1015" s="4"/>
      <c r="M1015" s="4"/>
      <c r="N1015" s="4"/>
      <c r="O1015" s="4"/>
      <c r="P1015" s="4"/>
      <c r="Q1015" s="4"/>
      <c r="R1015" s="4"/>
      <c r="S1015" s="4"/>
      <c r="T1015" s="4"/>
      <c r="U1015" s="4"/>
      <c r="V1015" s="4"/>
      <c r="W1015" s="4"/>
      <c r="X1015" s="4"/>
      <c r="Y1015" s="4"/>
    </row>
    <row r="1016" spans="1:25" x14ac:dyDescent="0.2">
      <c r="A1016" s="41"/>
      <c r="B1016" s="5"/>
      <c r="C1016" s="4"/>
      <c r="D1016" s="4"/>
      <c r="E1016" s="4"/>
      <c r="F1016" s="4"/>
      <c r="G1016" s="4"/>
      <c r="H1016" s="4"/>
      <c r="I1016" s="4"/>
      <c r="J1016" s="4"/>
      <c r="K1016" s="4"/>
      <c r="L1016" s="4"/>
      <c r="M1016" s="4"/>
      <c r="N1016" s="4"/>
      <c r="O1016" s="4"/>
      <c r="P1016" s="4"/>
      <c r="Q1016" s="4"/>
      <c r="R1016" s="4"/>
      <c r="S1016" s="4"/>
      <c r="T1016" s="4"/>
      <c r="U1016" s="4"/>
      <c r="V1016" s="4"/>
      <c r="W1016" s="4"/>
      <c r="X1016" s="4"/>
      <c r="Y1016" s="4"/>
    </row>
    <row r="1017" spans="1:25" x14ac:dyDescent="0.2">
      <c r="A1017" s="41"/>
      <c r="B1017" s="5"/>
      <c r="C1017" s="4"/>
      <c r="D1017" s="4"/>
      <c r="E1017" s="4"/>
      <c r="F1017" s="4"/>
      <c r="G1017" s="4"/>
      <c r="H1017" s="4"/>
      <c r="I1017" s="4"/>
      <c r="J1017" s="4"/>
      <c r="K1017" s="4"/>
      <c r="L1017" s="4"/>
      <c r="M1017" s="4"/>
      <c r="N1017" s="4"/>
      <c r="O1017" s="4"/>
      <c r="P1017" s="4"/>
      <c r="Q1017" s="4"/>
      <c r="R1017" s="4"/>
      <c r="S1017" s="4"/>
      <c r="T1017" s="4"/>
      <c r="U1017" s="4"/>
      <c r="V1017" s="4"/>
      <c r="W1017" s="4"/>
      <c r="X1017" s="4"/>
      <c r="Y1017" s="4"/>
    </row>
    <row r="1018" spans="1:25" x14ac:dyDescent="0.2">
      <c r="A1018" s="41"/>
      <c r="B1018" s="5"/>
      <c r="C1018" s="4"/>
      <c r="D1018" s="4"/>
      <c r="E1018" s="4"/>
      <c r="F1018" s="4"/>
      <c r="G1018" s="4"/>
      <c r="H1018" s="4"/>
      <c r="I1018" s="4"/>
      <c r="J1018" s="4"/>
      <c r="K1018" s="4"/>
      <c r="L1018" s="4"/>
      <c r="M1018" s="4"/>
      <c r="N1018" s="4"/>
      <c r="O1018" s="4"/>
      <c r="P1018" s="4"/>
      <c r="Q1018" s="4"/>
      <c r="R1018" s="4"/>
      <c r="S1018" s="4"/>
      <c r="T1018" s="4"/>
      <c r="U1018" s="4"/>
      <c r="V1018" s="4"/>
      <c r="W1018" s="4"/>
      <c r="X1018" s="4"/>
      <c r="Y1018" s="4"/>
    </row>
    <row r="1019" spans="1:25" x14ac:dyDescent="0.2">
      <c r="A1019" s="41"/>
      <c r="B1019" s="5"/>
      <c r="C1019" s="4"/>
      <c r="D1019" s="4"/>
      <c r="E1019" s="4"/>
      <c r="F1019" s="4"/>
      <c r="G1019" s="4"/>
      <c r="H1019" s="4"/>
      <c r="I1019" s="4"/>
      <c r="J1019" s="4"/>
      <c r="K1019" s="4"/>
      <c r="L1019" s="4"/>
      <c r="M1019" s="4"/>
      <c r="N1019" s="4"/>
      <c r="O1019" s="4"/>
      <c r="P1019" s="4"/>
      <c r="Q1019" s="4"/>
      <c r="R1019" s="4"/>
      <c r="S1019" s="4"/>
      <c r="T1019" s="4"/>
      <c r="U1019" s="4"/>
      <c r="V1019" s="4"/>
      <c r="W1019" s="4"/>
      <c r="X1019" s="4"/>
      <c r="Y1019" s="4"/>
    </row>
    <row r="1020" spans="1:25" x14ac:dyDescent="0.2">
      <c r="A1020" s="41"/>
      <c r="B1020" s="5"/>
      <c r="C1020" s="4"/>
      <c r="D1020" s="4"/>
      <c r="E1020" s="4"/>
      <c r="F1020" s="4"/>
      <c r="G1020" s="4"/>
      <c r="H1020" s="4"/>
      <c r="I1020" s="4"/>
      <c r="J1020" s="4"/>
      <c r="K1020" s="4"/>
      <c r="L1020" s="4"/>
      <c r="M1020" s="4"/>
      <c r="N1020" s="4"/>
      <c r="O1020" s="4"/>
      <c r="P1020" s="4"/>
      <c r="Q1020" s="4"/>
      <c r="R1020" s="4"/>
      <c r="S1020" s="4"/>
      <c r="T1020" s="4"/>
      <c r="U1020" s="4"/>
      <c r="V1020" s="4"/>
      <c r="W1020" s="4"/>
      <c r="X1020" s="4"/>
      <c r="Y1020" s="4"/>
    </row>
    <row r="1021" spans="1:25" x14ac:dyDescent="0.2">
      <c r="A1021" s="41"/>
      <c r="B1021" s="5"/>
      <c r="C1021" s="4"/>
      <c r="D1021" s="4"/>
      <c r="E1021" s="4"/>
      <c r="F1021" s="4"/>
      <c r="G1021" s="4"/>
      <c r="H1021" s="4"/>
      <c r="I1021" s="4"/>
      <c r="J1021" s="4"/>
      <c r="K1021" s="4"/>
      <c r="L1021" s="4"/>
      <c r="M1021" s="4"/>
      <c r="N1021" s="4"/>
      <c r="O1021" s="4"/>
      <c r="P1021" s="4"/>
      <c r="Q1021" s="4"/>
      <c r="R1021" s="4"/>
      <c r="S1021" s="4"/>
      <c r="T1021" s="4"/>
      <c r="U1021" s="4"/>
      <c r="V1021" s="4"/>
      <c r="W1021" s="4"/>
      <c r="X1021" s="4"/>
      <c r="Y1021" s="4"/>
    </row>
    <row r="1022" spans="1:25" x14ac:dyDescent="0.2">
      <c r="A1022" s="41"/>
      <c r="B1022" s="5"/>
      <c r="C1022" s="4"/>
      <c r="D1022" s="4"/>
      <c r="E1022" s="4"/>
      <c r="F1022" s="4"/>
      <c r="G1022" s="4"/>
      <c r="H1022" s="4"/>
      <c r="I1022" s="4"/>
      <c r="J1022" s="4"/>
      <c r="K1022" s="4"/>
      <c r="L1022" s="4"/>
      <c r="M1022" s="4"/>
      <c r="N1022" s="4"/>
      <c r="O1022" s="4"/>
      <c r="P1022" s="4"/>
      <c r="Q1022" s="4"/>
      <c r="R1022" s="4"/>
      <c r="S1022" s="4"/>
      <c r="T1022" s="4"/>
      <c r="U1022" s="4"/>
      <c r="V1022" s="4"/>
      <c r="W1022" s="4"/>
      <c r="X1022" s="4"/>
      <c r="Y1022" s="4"/>
    </row>
    <row r="1023" spans="1:25" x14ac:dyDescent="0.2">
      <c r="A1023" s="41"/>
      <c r="B1023" s="5"/>
      <c r="C1023" s="4"/>
      <c r="D1023" s="4"/>
      <c r="E1023" s="4"/>
      <c r="F1023" s="4"/>
      <c r="G1023" s="4"/>
      <c r="H1023" s="4"/>
      <c r="I1023" s="4"/>
      <c r="J1023" s="4"/>
      <c r="K1023" s="4"/>
      <c r="L1023" s="4"/>
      <c r="M1023" s="4"/>
      <c r="N1023" s="4"/>
      <c r="O1023" s="4"/>
      <c r="P1023" s="4"/>
      <c r="Q1023" s="4"/>
      <c r="R1023" s="4"/>
      <c r="S1023" s="4"/>
      <c r="T1023" s="4"/>
      <c r="U1023" s="4"/>
      <c r="V1023" s="4"/>
      <c r="W1023" s="4"/>
      <c r="X1023" s="4"/>
      <c r="Y1023" s="4"/>
    </row>
    <row r="1024" spans="1:25" x14ac:dyDescent="0.2">
      <c r="A1024" s="41"/>
      <c r="B1024" s="5"/>
      <c r="C1024" s="4"/>
      <c r="D1024" s="4"/>
      <c r="E1024" s="4"/>
      <c r="F1024" s="4"/>
      <c r="G1024" s="4"/>
      <c r="H1024" s="4"/>
      <c r="I1024" s="4"/>
      <c r="J1024" s="4"/>
      <c r="K1024" s="4"/>
      <c r="L1024" s="4"/>
      <c r="M1024" s="4"/>
      <c r="N1024" s="4"/>
      <c r="O1024" s="4"/>
      <c r="P1024" s="4"/>
      <c r="Q1024" s="4"/>
      <c r="R1024" s="4"/>
      <c r="S1024" s="4"/>
      <c r="T1024" s="4"/>
      <c r="U1024" s="4"/>
      <c r="V1024" s="4"/>
      <c r="W1024" s="4"/>
      <c r="X1024" s="4"/>
      <c r="Y1024" s="4"/>
    </row>
    <row r="1025" spans="1:25" x14ac:dyDescent="0.2">
      <c r="A1025" s="41"/>
      <c r="B1025" s="5"/>
      <c r="C1025" s="4"/>
      <c r="D1025" s="4"/>
      <c r="E1025" s="4"/>
      <c r="F1025" s="4"/>
      <c r="G1025" s="4"/>
      <c r="H1025" s="4"/>
      <c r="I1025" s="4"/>
      <c r="J1025" s="4"/>
      <c r="K1025" s="4"/>
      <c r="L1025" s="4"/>
      <c r="M1025" s="4"/>
      <c r="N1025" s="4"/>
      <c r="O1025" s="4"/>
      <c r="P1025" s="4"/>
      <c r="Q1025" s="4"/>
      <c r="R1025" s="4"/>
      <c r="S1025" s="4"/>
      <c r="T1025" s="4"/>
      <c r="U1025" s="4"/>
      <c r="V1025" s="4"/>
      <c r="W1025" s="4"/>
      <c r="X1025" s="4"/>
      <c r="Y1025" s="4"/>
    </row>
    <row r="1026" spans="1:25" x14ac:dyDescent="0.2">
      <c r="A1026" s="41"/>
      <c r="B1026" s="5"/>
      <c r="C1026" s="4"/>
      <c r="D1026" s="4"/>
      <c r="E1026" s="4"/>
      <c r="F1026" s="4"/>
      <c r="G1026" s="4"/>
      <c r="H1026" s="4"/>
      <c r="I1026" s="4"/>
      <c r="J1026" s="4"/>
      <c r="K1026" s="4"/>
      <c r="L1026" s="4"/>
      <c r="M1026" s="4"/>
      <c r="N1026" s="4"/>
      <c r="O1026" s="4"/>
      <c r="P1026" s="4"/>
      <c r="Q1026" s="4"/>
      <c r="R1026" s="4"/>
      <c r="S1026" s="4"/>
      <c r="T1026" s="4"/>
      <c r="U1026" s="4"/>
      <c r="V1026" s="4"/>
      <c r="W1026" s="4"/>
      <c r="X1026" s="4"/>
      <c r="Y1026" s="4"/>
    </row>
    <row r="1027" spans="1:25" x14ac:dyDescent="0.2">
      <c r="A1027" s="41"/>
      <c r="B1027" s="5"/>
      <c r="C1027" s="4"/>
      <c r="D1027" s="4"/>
      <c r="E1027" s="4"/>
      <c r="F1027" s="4"/>
      <c r="G1027" s="4"/>
      <c r="H1027" s="4"/>
      <c r="I1027" s="4"/>
      <c r="J1027" s="4"/>
      <c r="K1027" s="4"/>
      <c r="L1027" s="4"/>
      <c r="M1027" s="4"/>
      <c r="N1027" s="4"/>
      <c r="O1027" s="4"/>
      <c r="P1027" s="4"/>
      <c r="Q1027" s="4"/>
      <c r="R1027" s="4"/>
      <c r="S1027" s="4"/>
      <c r="T1027" s="4"/>
      <c r="U1027" s="4"/>
      <c r="V1027" s="4"/>
      <c r="W1027" s="4"/>
      <c r="X1027" s="4"/>
      <c r="Y1027" s="4"/>
    </row>
    <row r="1028" spans="1:25" x14ac:dyDescent="0.2">
      <c r="A1028" s="41"/>
      <c r="B1028" s="5"/>
      <c r="C1028" s="4"/>
      <c r="D1028" s="4"/>
      <c r="E1028" s="4"/>
      <c r="F1028" s="4"/>
      <c r="G1028" s="4"/>
      <c r="H1028" s="4"/>
      <c r="I1028" s="4"/>
      <c r="J1028" s="4"/>
      <c r="K1028" s="4"/>
      <c r="L1028" s="4"/>
      <c r="M1028" s="4"/>
      <c r="N1028" s="4"/>
      <c r="O1028" s="4"/>
      <c r="P1028" s="4"/>
      <c r="Q1028" s="4"/>
      <c r="R1028" s="4"/>
      <c r="S1028" s="4"/>
      <c r="T1028" s="4"/>
      <c r="U1028" s="4"/>
      <c r="V1028" s="4"/>
      <c r="W1028" s="4"/>
      <c r="X1028" s="4"/>
      <c r="Y1028" s="4"/>
    </row>
    <row r="1029" spans="1:25" x14ac:dyDescent="0.2">
      <c r="A1029" s="41"/>
      <c r="B1029" s="5"/>
      <c r="C1029" s="4"/>
      <c r="D1029" s="4"/>
      <c r="E1029" s="4"/>
      <c r="F1029" s="4"/>
      <c r="G1029" s="4"/>
      <c r="H1029" s="4"/>
      <c r="I1029" s="4"/>
      <c r="J1029" s="4"/>
      <c r="K1029" s="4"/>
      <c r="L1029" s="4"/>
      <c r="M1029" s="4"/>
      <c r="N1029" s="4"/>
      <c r="O1029" s="4"/>
      <c r="P1029" s="4"/>
      <c r="Q1029" s="4"/>
      <c r="R1029" s="4"/>
      <c r="S1029" s="4"/>
      <c r="T1029" s="4"/>
      <c r="U1029" s="4"/>
      <c r="V1029" s="4"/>
      <c r="W1029" s="4"/>
      <c r="X1029" s="4"/>
      <c r="Y1029" s="4"/>
    </row>
    <row r="1030" spans="1:25" x14ac:dyDescent="0.2">
      <c r="A1030" s="41"/>
      <c r="B1030" s="5"/>
      <c r="C1030" s="4"/>
      <c r="D1030" s="4"/>
      <c r="E1030" s="4"/>
      <c r="F1030" s="4"/>
      <c r="G1030" s="4"/>
      <c r="H1030" s="4"/>
      <c r="I1030" s="4"/>
      <c r="J1030" s="4"/>
      <c r="K1030" s="4"/>
      <c r="L1030" s="4"/>
      <c r="M1030" s="4"/>
      <c r="N1030" s="4"/>
      <c r="O1030" s="4"/>
      <c r="P1030" s="4"/>
      <c r="Q1030" s="4"/>
      <c r="R1030" s="4"/>
      <c r="S1030" s="4"/>
      <c r="T1030" s="4"/>
      <c r="U1030" s="4"/>
      <c r="V1030" s="4"/>
      <c r="W1030" s="4"/>
      <c r="X1030" s="4"/>
      <c r="Y1030" s="4"/>
    </row>
    <row r="1031" spans="1:25" x14ac:dyDescent="0.2">
      <c r="A1031" s="41"/>
      <c r="B1031" s="5"/>
      <c r="C1031" s="4"/>
      <c r="D1031" s="4"/>
      <c r="E1031" s="4"/>
      <c r="F1031" s="4"/>
      <c r="G1031" s="4"/>
      <c r="H1031" s="4"/>
      <c r="I1031" s="4"/>
      <c r="J1031" s="4"/>
      <c r="K1031" s="4"/>
      <c r="L1031" s="4"/>
      <c r="M1031" s="4"/>
      <c r="N1031" s="4"/>
      <c r="O1031" s="4"/>
      <c r="P1031" s="4"/>
      <c r="Q1031" s="4"/>
      <c r="R1031" s="4"/>
      <c r="S1031" s="4"/>
      <c r="T1031" s="4"/>
      <c r="U1031" s="4"/>
      <c r="V1031" s="4"/>
      <c r="W1031" s="4"/>
      <c r="X1031" s="4"/>
      <c r="Y1031" s="4"/>
    </row>
    <row r="1032" spans="1:25" x14ac:dyDescent="0.2">
      <c r="A1032" s="41"/>
      <c r="B1032" s="5"/>
      <c r="C1032" s="4"/>
      <c r="D1032" s="4"/>
      <c r="E1032" s="4"/>
      <c r="F1032" s="4"/>
      <c r="G1032" s="4"/>
      <c r="H1032" s="4"/>
      <c r="I1032" s="4"/>
      <c r="J1032" s="4"/>
      <c r="K1032" s="4"/>
      <c r="L1032" s="4"/>
      <c r="M1032" s="4"/>
      <c r="N1032" s="4"/>
      <c r="O1032" s="4"/>
      <c r="P1032" s="4"/>
      <c r="Q1032" s="4"/>
      <c r="R1032" s="4"/>
      <c r="S1032" s="4"/>
      <c r="T1032" s="4"/>
      <c r="U1032" s="4"/>
      <c r="V1032" s="4"/>
      <c r="W1032" s="4"/>
      <c r="X1032" s="4"/>
      <c r="Y1032" s="4"/>
    </row>
    <row r="1033" spans="1:25" x14ac:dyDescent="0.2">
      <c r="A1033" s="41"/>
      <c r="B1033" s="5"/>
      <c r="C1033" s="4"/>
      <c r="D1033" s="4"/>
      <c r="E1033" s="4"/>
      <c r="F1033" s="4"/>
      <c r="G1033" s="4"/>
      <c r="H1033" s="4"/>
      <c r="I1033" s="4"/>
      <c r="J1033" s="4"/>
      <c r="K1033" s="4"/>
      <c r="L1033" s="4"/>
      <c r="M1033" s="4"/>
      <c r="N1033" s="4"/>
      <c r="O1033" s="4"/>
      <c r="P1033" s="4"/>
      <c r="Q1033" s="4"/>
      <c r="R1033" s="4"/>
      <c r="S1033" s="4"/>
      <c r="T1033" s="4"/>
      <c r="U1033" s="4"/>
      <c r="V1033" s="4"/>
      <c r="W1033" s="4"/>
      <c r="X1033" s="4"/>
      <c r="Y1033" s="4"/>
    </row>
    <row r="1034" spans="1:25" x14ac:dyDescent="0.2">
      <c r="A1034" s="41"/>
      <c r="B1034" s="5"/>
      <c r="C1034" s="4"/>
      <c r="D1034" s="4"/>
      <c r="E1034" s="4"/>
      <c r="F1034" s="4"/>
      <c r="G1034" s="4"/>
      <c r="H1034" s="4"/>
      <c r="I1034" s="4"/>
      <c r="J1034" s="4"/>
      <c r="K1034" s="4"/>
      <c r="L1034" s="4"/>
      <c r="M1034" s="4"/>
      <c r="N1034" s="4"/>
      <c r="O1034" s="4"/>
      <c r="P1034" s="4"/>
      <c r="Q1034" s="4"/>
      <c r="R1034" s="4"/>
      <c r="S1034" s="4"/>
      <c r="T1034" s="4"/>
      <c r="U1034" s="4"/>
      <c r="V1034" s="4"/>
      <c r="W1034" s="4"/>
      <c r="X1034" s="4"/>
      <c r="Y1034" s="4"/>
    </row>
    <row r="1035" spans="1:25" x14ac:dyDescent="0.2">
      <c r="A1035" s="41"/>
      <c r="B1035" s="5"/>
      <c r="C1035" s="4"/>
      <c r="D1035" s="4"/>
      <c r="E1035" s="4"/>
      <c r="F1035" s="4"/>
      <c r="G1035" s="4"/>
      <c r="H1035" s="4"/>
      <c r="I1035" s="4"/>
      <c r="J1035" s="4"/>
      <c r="K1035" s="4"/>
      <c r="L1035" s="4"/>
      <c r="M1035" s="4"/>
      <c r="N1035" s="4"/>
      <c r="O1035" s="4"/>
      <c r="P1035" s="4"/>
      <c r="Q1035" s="4"/>
      <c r="R1035" s="4"/>
      <c r="S1035" s="4"/>
      <c r="T1035" s="4"/>
      <c r="U1035" s="4"/>
      <c r="V1035" s="4"/>
      <c r="W1035" s="4"/>
      <c r="X1035" s="4"/>
      <c r="Y1035" s="4"/>
    </row>
    <row r="1036" spans="1:25" x14ac:dyDescent="0.2">
      <c r="A1036" s="41"/>
      <c r="B1036" s="5"/>
      <c r="C1036" s="4"/>
      <c r="D1036" s="4"/>
      <c r="E1036" s="4"/>
      <c r="F1036" s="4"/>
      <c r="G1036" s="4"/>
      <c r="H1036" s="4"/>
      <c r="I1036" s="4"/>
      <c r="J1036" s="4"/>
      <c r="K1036" s="4"/>
      <c r="L1036" s="4"/>
      <c r="M1036" s="4"/>
      <c r="N1036" s="4"/>
      <c r="O1036" s="4"/>
      <c r="P1036" s="4"/>
      <c r="Q1036" s="4"/>
      <c r="R1036" s="4"/>
      <c r="S1036" s="4"/>
      <c r="T1036" s="4"/>
      <c r="U1036" s="4"/>
      <c r="V1036" s="4"/>
      <c r="W1036" s="4"/>
      <c r="X1036" s="4"/>
      <c r="Y1036" s="4"/>
    </row>
    <row r="1037" spans="1:25" x14ac:dyDescent="0.2">
      <c r="A1037" s="41"/>
      <c r="B1037" s="5"/>
      <c r="C1037" s="4"/>
      <c r="D1037" s="4"/>
      <c r="E1037" s="4"/>
      <c r="F1037" s="4"/>
      <c r="G1037" s="4"/>
      <c r="H1037" s="4"/>
      <c r="I1037" s="4"/>
      <c r="J1037" s="4"/>
      <c r="K1037" s="4"/>
      <c r="L1037" s="4"/>
      <c r="M1037" s="4"/>
      <c r="N1037" s="4"/>
      <c r="O1037" s="4"/>
      <c r="P1037" s="4"/>
      <c r="Q1037" s="4"/>
      <c r="R1037" s="4"/>
      <c r="S1037" s="4"/>
      <c r="T1037" s="4"/>
      <c r="U1037" s="4"/>
      <c r="V1037" s="4"/>
      <c r="W1037" s="4"/>
      <c r="X1037" s="4"/>
      <c r="Y1037" s="4"/>
    </row>
    <row r="1038" spans="1:25" x14ac:dyDescent="0.2">
      <c r="A1038" s="41"/>
      <c r="B1038" s="5"/>
      <c r="C1038" s="4"/>
      <c r="D1038" s="4"/>
      <c r="E1038" s="4"/>
      <c r="F1038" s="4"/>
      <c r="G1038" s="4"/>
      <c r="H1038" s="4"/>
      <c r="I1038" s="4"/>
      <c r="J1038" s="4"/>
      <c r="K1038" s="4"/>
      <c r="L1038" s="4"/>
      <c r="M1038" s="4"/>
      <c r="N1038" s="4"/>
      <c r="O1038" s="4"/>
      <c r="P1038" s="4"/>
      <c r="Q1038" s="4"/>
      <c r="R1038" s="4"/>
      <c r="S1038" s="4"/>
      <c r="T1038" s="4"/>
      <c r="U1038" s="4"/>
      <c r="V1038" s="4"/>
      <c r="W1038" s="4"/>
      <c r="X1038" s="4"/>
      <c r="Y1038" s="4"/>
    </row>
    <row r="1039" spans="1:25" x14ac:dyDescent="0.2">
      <c r="A1039" s="41"/>
      <c r="B1039" s="5"/>
      <c r="C1039" s="4"/>
      <c r="D1039" s="4"/>
      <c r="E1039" s="4"/>
      <c r="F1039" s="4"/>
      <c r="G1039" s="4"/>
      <c r="H1039" s="4"/>
      <c r="I1039" s="4"/>
      <c r="J1039" s="4"/>
      <c r="K1039" s="4"/>
      <c r="L1039" s="4"/>
      <c r="M1039" s="4"/>
      <c r="N1039" s="4"/>
      <c r="O1039" s="4"/>
      <c r="P1039" s="4"/>
      <c r="Q1039" s="4"/>
      <c r="R1039" s="4"/>
      <c r="S1039" s="4"/>
      <c r="T1039" s="4"/>
      <c r="U1039" s="4"/>
      <c r="V1039" s="4"/>
      <c r="W1039" s="4"/>
      <c r="X1039" s="4"/>
      <c r="Y1039" s="4"/>
    </row>
    <row r="1040" spans="1:25" x14ac:dyDescent="0.2">
      <c r="A1040" s="41"/>
      <c r="B1040" s="5"/>
      <c r="C1040" s="4"/>
      <c r="D1040" s="4"/>
      <c r="E1040" s="4"/>
      <c r="F1040" s="4"/>
      <c r="G1040" s="4"/>
      <c r="H1040" s="4"/>
      <c r="I1040" s="4"/>
      <c r="J1040" s="4"/>
      <c r="K1040" s="4"/>
      <c r="L1040" s="4"/>
      <c r="M1040" s="4"/>
      <c r="N1040" s="4"/>
      <c r="O1040" s="4"/>
      <c r="P1040" s="4"/>
      <c r="Q1040" s="4"/>
      <c r="R1040" s="4"/>
      <c r="S1040" s="4"/>
      <c r="T1040" s="4"/>
      <c r="U1040" s="4"/>
      <c r="V1040" s="4"/>
      <c r="W1040" s="4"/>
      <c r="X1040" s="4"/>
      <c r="Y1040" s="4"/>
    </row>
  </sheetData>
  <sheetProtection password="CA9F" sheet="1" objects="1" scenarios="1"/>
  <mergeCells count="14">
    <mergeCell ref="A8:A10"/>
    <mergeCell ref="B8:B10"/>
    <mergeCell ref="C8:C10"/>
    <mergeCell ref="D8:J8"/>
    <mergeCell ref="K8:K10"/>
    <mergeCell ref="D9:D10"/>
    <mergeCell ref="E9:I9"/>
    <mergeCell ref="J9:J10"/>
    <mergeCell ref="M6:P6"/>
    <mergeCell ref="J7:K7"/>
    <mergeCell ref="F1:K3"/>
    <mergeCell ref="A4:K4"/>
    <mergeCell ref="A6:D6"/>
    <mergeCell ref="I6:K6"/>
  </mergeCells>
  <dataValidations count="1">
    <dataValidation type="decimal" allowBlank="1" showInputMessage="1" showErrorMessage="1" sqref="C12:K73" xr:uid="{831EE1F1-C2B5-4839-9B19-2D3486E4EB42}">
      <formula1>0</formula1>
      <formula2>1E+38</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3"/>
  <sheetViews>
    <sheetView zoomScaleNormal="100" zoomScalePageLayoutView="60" workbookViewId="0">
      <selection activeCell="J66" sqref="J66"/>
    </sheetView>
  </sheetViews>
  <sheetFormatPr defaultRowHeight="12.75" x14ac:dyDescent="0.2"/>
  <cols>
    <col min="1" max="1" width="11.5703125" style="286"/>
    <col min="2" max="2" width="45.28515625" style="286" customWidth="1"/>
    <col min="3" max="11" width="25.5703125" style="286" customWidth="1"/>
    <col min="12" max="12" width="11.5703125" style="286"/>
    <col min="13" max="13" width="2.140625" style="286"/>
    <col min="14" max="1025" width="11.5703125" style="286"/>
    <col min="1026" max="16384" width="9.140625" style="286"/>
  </cols>
  <sheetData>
    <row r="1" spans="1:13" x14ac:dyDescent="0.2">
      <c r="A1" s="41"/>
      <c r="B1" s="5"/>
      <c r="C1" s="4"/>
      <c r="D1" s="4"/>
      <c r="E1" s="4"/>
      <c r="F1" s="592" t="s">
        <v>439</v>
      </c>
      <c r="G1" s="611"/>
      <c r="H1" s="611"/>
      <c r="I1" s="611"/>
      <c r="J1" s="611"/>
      <c r="K1" s="611"/>
      <c r="L1" s="293"/>
      <c r="M1" s="293"/>
    </row>
    <row r="2" spans="1:13" x14ac:dyDescent="0.2">
      <c r="A2" s="41"/>
      <c r="B2" s="5"/>
      <c r="C2" s="4"/>
      <c r="D2" s="4"/>
      <c r="E2" s="4"/>
      <c r="F2" s="611"/>
      <c r="G2" s="611"/>
      <c r="H2" s="611"/>
      <c r="I2" s="611"/>
      <c r="J2" s="611"/>
      <c r="K2" s="611"/>
      <c r="L2" s="293"/>
      <c r="M2" s="293"/>
    </row>
    <row r="3" spans="1:13" x14ac:dyDescent="0.2">
      <c r="A3" s="41"/>
      <c r="B3" s="5"/>
      <c r="C3" s="4"/>
      <c r="D3" s="4"/>
      <c r="E3" s="4"/>
      <c r="F3" s="611"/>
      <c r="G3" s="611"/>
      <c r="H3" s="611"/>
      <c r="I3" s="611"/>
      <c r="J3" s="611"/>
      <c r="K3" s="611"/>
      <c r="L3" s="293"/>
      <c r="M3" s="293"/>
    </row>
    <row r="4" spans="1:13" x14ac:dyDescent="0.2">
      <c r="A4" s="593" t="s">
        <v>460</v>
      </c>
      <c r="B4" s="611"/>
      <c r="C4" s="611"/>
      <c r="D4" s="611"/>
      <c r="E4" s="611"/>
      <c r="F4" s="611"/>
      <c r="G4" s="611"/>
      <c r="H4" s="611"/>
      <c r="I4" s="611"/>
      <c r="J4" s="611"/>
      <c r="K4" s="611"/>
      <c r="L4" s="293"/>
      <c r="M4" s="293"/>
    </row>
    <row r="5" spans="1:13" x14ac:dyDescent="0.2">
      <c r="A5" s="293"/>
      <c r="B5" s="294"/>
      <c r="C5" s="293"/>
      <c r="D5" s="293"/>
      <c r="E5" s="293"/>
      <c r="F5" s="293"/>
      <c r="G5" s="293"/>
      <c r="H5" s="293"/>
      <c r="I5" s="293"/>
      <c r="J5" s="293"/>
      <c r="K5" s="293"/>
      <c r="L5" s="293"/>
      <c r="M5" s="293"/>
    </row>
    <row r="6" spans="1:13" x14ac:dyDescent="0.2">
      <c r="A6" s="583" t="s">
        <v>277</v>
      </c>
      <c r="B6" s="584"/>
      <c r="C6" s="584"/>
      <c r="D6" s="584"/>
      <c r="E6" s="293"/>
      <c r="F6" s="293"/>
      <c r="G6" s="293"/>
      <c r="H6" s="293"/>
      <c r="I6" s="293"/>
      <c r="J6" s="573" t="s">
        <v>278</v>
      </c>
      <c r="K6" s="573"/>
      <c r="L6" s="293"/>
      <c r="M6" s="293"/>
    </row>
    <row r="7" spans="1:13" x14ac:dyDescent="0.2">
      <c r="A7" s="293"/>
      <c r="B7" s="293"/>
      <c r="C7" s="293"/>
      <c r="D7" s="293"/>
      <c r="E7" s="293"/>
      <c r="F7" s="293"/>
      <c r="G7" s="293"/>
      <c r="H7" s="293"/>
      <c r="I7" s="293"/>
      <c r="J7" s="270"/>
      <c r="K7" s="290" t="s">
        <v>279</v>
      </c>
      <c r="L7" s="293"/>
      <c r="M7" s="293"/>
    </row>
    <row r="8" spans="1:13" x14ac:dyDescent="0.2">
      <c r="A8" s="596" t="s">
        <v>280</v>
      </c>
      <c r="B8" s="599" t="s">
        <v>441</v>
      </c>
      <c r="C8" s="599" t="s">
        <v>442</v>
      </c>
      <c r="D8" s="604" t="s">
        <v>301</v>
      </c>
      <c r="E8" s="616"/>
      <c r="F8" s="616"/>
      <c r="G8" s="616"/>
      <c r="H8" s="616"/>
      <c r="I8" s="616"/>
      <c r="J8" s="617"/>
      <c r="K8" s="599" t="s">
        <v>119</v>
      </c>
      <c r="L8" s="293"/>
      <c r="M8" s="293"/>
    </row>
    <row r="9" spans="1:13" x14ac:dyDescent="0.2">
      <c r="A9" s="612"/>
      <c r="B9" s="614"/>
      <c r="C9" s="614"/>
      <c r="D9" s="607" t="s">
        <v>443</v>
      </c>
      <c r="E9" s="609" t="s">
        <v>444</v>
      </c>
      <c r="F9" s="618"/>
      <c r="G9" s="616"/>
      <c r="H9" s="616"/>
      <c r="I9" s="617"/>
      <c r="J9" s="607" t="s">
        <v>445</v>
      </c>
      <c r="K9" s="614"/>
      <c r="L9" s="293"/>
      <c r="M9" s="293"/>
    </row>
    <row r="10" spans="1:13" ht="25.5" x14ac:dyDescent="0.2">
      <c r="A10" s="613"/>
      <c r="B10" s="615"/>
      <c r="C10" s="614"/>
      <c r="D10" s="615"/>
      <c r="E10" s="42" t="s">
        <v>446</v>
      </c>
      <c r="F10" s="43" t="s">
        <v>118</v>
      </c>
      <c r="G10" s="44" t="s">
        <v>447</v>
      </c>
      <c r="H10" s="45" t="s">
        <v>448</v>
      </c>
      <c r="I10" s="45" t="s">
        <v>216</v>
      </c>
      <c r="J10" s="615"/>
      <c r="K10" s="615"/>
      <c r="L10" s="293"/>
      <c r="M10" s="293"/>
    </row>
    <row r="11" spans="1:13" x14ac:dyDescent="0.2">
      <c r="A11" s="46" t="s">
        <v>282</v>
      </c>
      <c r="B11" s="56" t="s">
        <v>283</v>
      </c>
      <c r="C11" s="57">
        <v>1</v>
      </c>
      <c r="D11" s="58">
        <v>2</v>
      </c>
      <c r="E11" s="49">
        <v>3</v>
      </c>
      <c r="F11" s="50">
        <v>4</v>
      </c>
      <c r="G11" s="51">
        <v>5</v>
      </c>
      <c r="H11" s="24">
        <v>6</v>
      </c>
      <c r="I11" s="24">
        <v>7</v>
      </c>
      <c r="J11" s="47">
        <v>8</v>
      </c>
      <c r="K11" s="47">
        <v>9</v>
      </c>
      <c r="L11" s="293"/>
      <c r="M11" s="293"/>
    </row>
    <row r="12" spans="1:13" ht="25.5" x14ac:dyDescent="0.2">
      <c r="A12" s="52" t="s">
        <v>235</v>
      </c>
      <c r="B12" s="59" t="s">
        <v>461</v>
      </c>
      <c r="C12" s="60">
        <f>SUM(C13:INDEX(C:C,ROWS(C:C)))</f>
        <v>0</v>
      </c>
      <c r="D12" s="60">
        <f>SUM(D13:INDEX(D:D,ROWS(D:D)))</f>
        <v>0</v>
      </c>
      <c r="E12" s="60">
        <f>SUM(E13:INDEX(E:E,ROWS(E:E)))</f>
        <v>0</v>
      </c>
      <c r="F12" s="60">
        <f>SUM(F13:INDEX(F:F,ROWS(F:F)))</f>
        <v>0</v>
      </c>
      <c r="G12" s="60">
        <f>SUM(G13:INDEX(G:G,ROWS(G:G)))</f>
        <v>0</v>
      </c>
      <c r="H12" s="60">
        <f>SUM(H13:INDEX(H:H,ROWS(H:H)))</f>
        <v>0</v>
      </c>
      <c r="I12" s="60">
        <f>SUM(I13:INDEX(I:I,ROWS(I:I)))</f>
        <v>0</v>
      </c>
      <c r="J12" s="60">
        <f>SUM(J13:INDEX(J:J,ROWS(J:J)))</f>
        <v>0</v>
      </c>
      <c r="K12" s="60">
        <f>SUM(K13:INDEX(K:K,ROWS(K:K)))</f>
        <v>0</v>
      </c>
      <c r="L12" s="293"/>
      <c r="M12" s="293" t="s">
        <v>0</v>
      </c>
    </row>
    <row r="13" spans="1:13" x14ac:dyDescent="0.2">
      <c r="A13" s="298" t="s">
        <v>236</v>
      </c>
      <c r="B13" s="29" t="s">
        <v>462</v>
      </c>
      <c r="C13" s="61"/>
      <c r="D13" s="30"/>
      <c r="E13" s="30"/>
      <c r="F13" s="30"/>
      <c r="G13" s="30"/>
      <c r="H13" s="30"/>
      <c r="I13" s="30"/>
      <c r="J13" s="295">
        <f t="shared" ref="J13:J62" si="0">SUM(D13:I13)</f>
        <v>0</v>
      </c>
      <c r="K13" s="30"/>
      <c r="L13" s="293"/>
      <c r="M13" s="293"/>
    </row>
    <row r="14" spans="1:13" x14ac:dyDescent="0.2">
      <c r="A14" s="298" t="s">
        <v>237</v>
      </c>
      <c r="B14" s="29" t="s">
        <v>462</v>
      </c>
      <c r="C14" s="30"/>
      <c r="D14" s="30"/>
      <c r="E14" s="30"/>
      <c r="F14" s="30"/>
      <c r="G14" s="30"/>
      <c r="H14" s="30"/>
      <c r="I14" s="30"/>
      <c r="J14" s="295">
        <f t="shared" si="0"/>
        <v>0</v>
      </c>
      <c r="K14" s="30"/>
      <c r="L14" s="293"/>
      <c r="M14" s="293"/>
    </row>
    <row r="15" spans="1:13" x14ac:dyDescent="0.2">
      <c r="A15" s="298" t="s">
        <v>238</v>
      </c>
      <c r="B15" s="29" t="s">
        <v>462</v>
      </c>
      <c r="C15" s="30"/>
      <c r="D15" s="30"/>
      <c r="E15" s="30"/>
      <c r="F15" s="30"/>
      <c r="G15" s="30"/>
      <c r="H15" s="30"/>
      <c r="I15" s="30"/>
      <c r="J15" s="295">
        <f t="shared" si="0"/>
        <v>0</v>
      </c>
      <c r="K15" s="30"/>
    </row>
    <row r="16" spans="1:13" x14ac:dyDescent="0.2">
      <c r="A16" s="298" t="s">
        <v>239</v>
      </c>
      <c r="B16" s="29" t="s">
        <v>462</v>
      </c>
      <c r="C16" s="30"/>
      <c r="D16" s="30"/>
      <c r="E16" s="30"/>
      <c r="F16" s="30"/>
      <c r="G16" s="30"/>
      <c r="H16" s="30"/>
      <c r="I16" s="30"/>
      <c r="J16" s="295">
        <f t="shared" si="0"/>
        <v>0</v>
      </c>
      <c r="K16" s="30"/>
    </row>
    <row r="17" spans="1:11" x14ac:dyDescent="0.2">
      <c r="A17" s="298" t="s">
        <v>241</v>
      </c>
      <c r="B17" s="29" t="s">
        <v>462</v>
      </c>
      <c r="C17" s="30"/>
      <c r="D17" s="30"/>
      <c r="E17" s="30"/>
      <c r="F17" s="30"/>
      <c r="G17" s="30"/>
      <c r="H17" s="30"/>
      <c r="I17" s="30"/>
      <c r="J17" s="295">
        <f t="shared" si="0"/>
        <v>0</v>
      </c>
      <c r="K17" s="30"/>
    </row>
    <row r="18" spans="1:11" x14ac:dyDescent="0.2">
      <c r="A18" s="298" t="s">
        <v>242</v>
      </c>
      <c r="B18" s="29" t="s">
        <v>462</v>
      </c>
      <c r="C18" s="30"/>
      <c r="D18" s="30"/>
      <c r="E18" s="30"/>
      <c r="F18" s="30"/>
      <c r="G18" s="30"/>
      <c r="H18" s="30"/>
      <c r="I18" s="30"/>
      <c r="J18" s="295">
        <f t="shared" si="0"/>
        <v>0</v>
      </c>
      <c r="K18" s="30"/>
    </row>
    <row r="19" spans="1:11" x14ac:dyDescent="0.2">
      <c r="A19" s="298" t="s">
        <v>243</v>
      </c>
      <c r="B19" s="29" t="s">
        <v>462</v>
      </c>
      <c r="C19" s="30"/>
      <c r="D19" s="30"/>
      <c r="E19" s="30"/>
      <c r="F19" s="30"/>
      <c r="G19" s="30"/>
      <c r="H19" s="30"/>
      <c r="I19" s="30"/>
      <c r="J19" s="295">
        <f t="shared" si="0"/>
        <v>0</v>
      </c>
      <c r="K19" s="30"/>
    </row>
    <row r="20" spans="1:11" x14ac:dyDescent="0.2">
      <c r="A20" s="298" t="s">
        <v>245</v>
      </c>
      <c r="B20" s="29" t="s">
        <v>462</v>
      </c>
      <c r="C20" s="30"/>
      <c r="D20" s="30"/>
      <c r="E20" s="30"/>
      <c r="F20" s="30"/>
      <c r="G20" s="30"/>
      <c r="H20" s="30"/>
      <c r="I20" s="30"/>
      <c r="J20" s="295">
        <f t="shared" si="0"/>
        <v>0</v>
      </c>
      <c r="K20" s="30"/>
    </row>
    <row r="21" spans="1:11" x14ac:dyDescent="0.2">
      <c r="A21" s="298" t="s">
        <v>247</v>
      </c>
      <c r="B21" s="29" t="s">
        <v>462</v>
      </c>
      <c r="C21" s="30"/>
      <c r="D21" s="30"/>
      <c r="E21" s="30"/>
      <c r="F21" s="30"/>
      <c r="G21" s="30"/>
      <c r="H21" s="30"/>
      <c r="I21" s="30"/>
      <c r="J21" s="295">
        <f t="shared" si="0"/>
        <v>0</v>
      </c>
      <c r="K21" s="30"/>
    </row>
    <row r="22" spans="1:11" x14ac:dyDescent="0.2">
      <c r="A22" s="298" t="s">
        <v>248</v>
      </c>
      <c r="B22" s="29" t="s">
        <v>462</v>
      </c>
      <c r="C22" s="30"/>
      <c r="D22" s="30"/>
      <c r="E22" s="30"/>
      <c r="F22" s="30"/>
      <c r="G22" s="30"/>
      <c r="H22" s="30"/>
      <c r="I22" s="30"/>
      <c r="J22" s="295">
        <f t="shared" si="0"/>
        <v>0</v>
      </c>
      <c r="K22" s="30"/>
    </row>
    <row r="23" spans="1:11" x14ac:dyDescent="0.2">
      <c r="A23" s="298" t="s">
        <v>249</v>
      </c>
      <c r="B23" s="29" t="s">
        <v>462</v>
      </c>
      <c r="C23" s="30"/>
      <c r="D23" s="30"/>
      <c r="E23" s="30"/>
      <c r="F23" s="30"/>
      <c r="G23" s="30"/>
      <c r="H23" s="30"/>
      <c r="I23" s="30"/>
      <c r="J23" s="295">
        <f t="shared" si="0"/>
        <v>0</v>
      </c>
      <c r="K23" s="30"/>
    </row>
    <row r="24" spans="1:11" x14ac:dyDescent="0.2">
      <c r="A24" s="298" t="s">
        <v>250</v>
      </c>
      <c r="B24" s="29" t="s">
        <v>462</v>
      </c>
      <c r="C24" s="30"/>
      <c r="D24" s="30"/>
      <c r="E24" s="30"/>
      <c r="F24" s="30"/>
      <c r="G24" s="30"/>
      <c r="H24" s="30"/>
      <c r="I24" s="30"/>
      <c r="J24" s="295">
        <f t="shared" si="0"/>
        <v>0</v>
      </c>
      <c r="K24" s="30"/>
    </row>
    <row r="25" spans="1:11" x14ac:dyDescent="0.2">
      <c r="A25" s="298" t="s">
        <v>251</v>
      </c>
      <c r="B25" s="29" t="s">
        <v>462</v>
      </c>
      <c r="C25" s="30"/>
      <c r="D25" s="30"/>
      <c r="E25" s="30"/>
      <c r="F25" s="30"/>
      <c r="G25" s="30"/>
      <c r="H25" s="30"/>
      <c r="I25" s="30"/>
      <c r="J25" s="295">
        <f t="shared" si="0"/>
        <v>0</v>
      </c>
      <c r="K25" s="30"/>
    </row>
    <row r="26" spans="1:11" x14ac:dyDescent="0.2">
      <c r="A26" s="298" t="s">
        <v>252</v>
      </c>
      <c r="B26" s="29" t="s">
        <v>462</v>
      </c>
      <c r="C26" s="30"/>
      <c r="D26" s="30"/>
      <c r="E26" s="30"/>
      <c r="F26" s="30"/>
      <c r="G26" s="30"/>
      <c r="H26" s="30"/>
      <c r="I26" s="30"/>
      <c r="J26" s="295">
        <f t="shared" si="0"/>
        <v>0</v>
      </c>
      <c r="K26" s="30"/>
    </row>
    <row r="27" spans="1:11" x14ac:dyDescent="0.2">
      <c r="A27" s="298" t="s">
        <v>253</v>
      </c>
      <c r="B27" s="29" t="s">
        <v>462</v>
      </c>
      <c r="C27" s="30"/>
      <c r="D27" s="30"/>
      <c r="E27" s="30"/>
      <c r="F27" s="30"/>
      <c r="G27" s="30"/>
      <c r="H27" s="30"/>
      <c r="I27" s="30"/>
      <c r="J27" s="295">
        <f t="shared" si="0"/>
        <v>0</v>
      </c>
      <c r="K27" s="30"/>
    </row>
    <row r="28" spans="1:11" x14ac:dyDescent="0.2">
      <c r="A28" s="298" t="s">
        <v>255</v>
      </c>
      <c r="B28" s="29" t="s">
        <v>462</v>
      </c>
      <c r="C28" s="30"/>
      <c r="D28" s="30"/>
      <c r="E28" s="30"/>
      <c r="F28" s="30"/>
      <c r="G28" s="30"/>
      <c r="H28" s="30"/>
      <c r="I28" s="30"/>
      <c r="J28" s="295">
        <f t="shared" si="0"/>
        <v>0</v>
      </c>
      <c r="K28" s="30"/>
    </row>
    <row r="29" spans="1:11" x14ac:dyDescent="0.2">
      <c r="A29" s="298" t="s">
        <v>256</v>
      </c>
      <c r="B29" s="29" t="s">
        <v>462</v>
      </c>
      <c r="C29" s="30"/>
      <c r="D29" s="30"/>
      <c r="E29" s="30"/>
      <c r="F29" s="30"/>
      <c r="G29" s="30"/>
      <c r="H29" s="30"/>
      <c r="I29" s="30"/>
      <c r="J29" s="295">
        <f t="shared" si="0"/>
        <v>0</v>
      </c>
      <c r="K29" s="30"/>
    </row>
    <row r="30" spans="1:11" x14ac:dyDescent="0.2">
      <c r="A30" s="298" t="s">
        <v>257</v>
      </c>
      <c r="B30" s="29" t="s">
        <v>462</v>
      </c>
      <c r="C30" s="30"/>
      <c r="D30" s="30"/>
      <c r="E30" s="30"/>
      <c r="F30" s="30"/>
      <c r="G30" s="30"/>
      <c r="H30" s="30"/>
      <c r="I30" s="30"/>
      <c r="J30" s="295">
        <f t="shared" si="0"/>
        <v>0</v>
      </c>
      <c r="K30" s="30"/>
    </row>
    <row r="31" spans="1:11" x14ac:dyDescent="0.2">
      <c r="A31" s="298" t="s">
        <v>259</v>
      </c>
      <c r="B31" s="29" t="s">
        <v>462</v>
      </c>
      <c r="C31" s="30"/>
      <c r="D31" s="30"/>
      <c r="E31" s="30"/>
      <c r="F31" s="30"/>
      <c r="G31" s="30"/>
      <c r="H31" s="30"/>
      <c r="I31" s="30"/>
      <c r="J31" s="295">
        <f t="shared" si="0"/>
        <v>0</v>
      </c>
      <c r="K31" s="30"/>
    </row>
    <row r="32" spans="1:11" x14ac:dyDescent="0.2">
      <c r="A32" s="298" t="s">
        <v>261</v>
      </c>
      <c r="B32" s="29" t="s">
        <v>462</v>
      </c>
      <c r="C32" s="30"/>
      <c r="D32" s="30"/>
      <c r="E32" s="30"/>
      <c r="F32" s="30"/>
      <c r="G32" s="30"/>
      <c r="H32" s="30"/>
      <c r="I32" s="30"/>
      <c r="J32" s="295">
        <f t="shared" si="0"/>
        <v>0</v>
      </c>
      <c r="K32" s="30"/>
    </row>
    <row r="33" spans="1:11" x14ac:dyDescent="0.2">
      <c r="A33" s="298" t="s">
        <v>262</v>
      </c>
      <c r="B33" s="29" t="s">
        <v>462</v>
      </c>
      <c r="C33" s="30"/>
      <c r="D33" s="30"/>
      <c r="E33" s="30"/>
      <c r="F33" s="30"/>
      <c r="G33" s="30"/>
      <c r="H33" s="30"/>
      <c r="I33" s="30"/>
      <c r="J33" s="295">
        <f t="shared" si="0"/>
        <v>0</v>
      </c>
      <c r="K33" s="30"/>
    </row>
    <row r="34" spans="1:11" x14ac:dyDescent="0.2">
      <c r="A34" s="298" t="s">
        <v>263</v>
      </c>
      <c r="B34" s="29" t="s">
        <v>462</v>
      </c>
      <c r="C34" s="30"/>
      <c r="D34" s="30"/>
      <c r="E34" s="30"/>
      <c r="F34" s="30"/>
      <c r="G34" s="30"/>
      <c r="H34" s="30"/>
      <c r="I34" s="30"/>
      <c r="J34" s="295">
        <f t="shared" si="0"/>
        <v>0</v>
      </c>
      <c r="K34" s="30"/>
    </row>
    <row r="35" spans="1:11" x14ac:dyDescent="0.2">
      <c r="A35" s="298" t="s">
        <v>451</v>
      </c>
      <c r="B35" s="29" t="s">
        <v>462</v>
      </c>
      <c r="C35" s="30"/>
      <c r="D35" s="30"/>
      <c r="E35" s="30"/>
      <c r="F35" s="30"/>
      <c r="G35" s="30"/>
      <c r="H35" s="30"/>
      <c r="I35" s="30"/>
      <c r="J35" s="295">
        <f t="shared" si="0"/>
        <v>0</v>
      </c>
      <c r="K35" s="30"/>
    </row>
    <row r="36" spans="1:11" x14ac:dyDescent="0.2">
      <c r="A36" s="298" t="s">
        <v>452</v>
      </c>
      <c r="B36" s="29" t="s">
        <v>462</v>
      </c>
      <c r="C36" s="30"/>
      <c r="D36" s="30"/>
      <c r="E36" s="30"/>
      <c r="F36" s="30"/>
      <c r="G36" s="30"/>
      <c r="H36" s="30"/>
      <c r="I36" s="30"/>
      <c r="J36" s="295">
        <f t="shared" si="0"/>
        <v>0</v>
      </c>
      <c r="K36" s="30"/>
    </row>
    <row r="37" spans="1:11" x14ac:dyDescent="0.2">
      <c r="A37" s="298" t="s">
        <v>453</v>
      </c>
      <c r="B37" s="29" t="s">
        <v>462</v>
      </c>
      <c r="C37" s="30"/>
      <c r="D37" s="30"/>
      <c r="E37" s="30"/>
      <c r="F37" s="30"/>
      <c r="G37" s="30"/>
      <c r="H37" s="30"/>
      <c r="I37" s="30"/>
      <c r="J37" s="295">
        <f t="shared" si="0"/>
        <v>0</v>
      </c>
      <c r="K37" s="30"/>
    </row>
    <row r="38" spans="1:11" x14ac:dyDescent="0.2">
      <c r="A38" s="298" t="s">
        <v>454</v>
      </c>
      <c r="B38" s="29" t="s">
        <v>462</v>
      </c>
      <c r="C38" s="30"/>
      <c r="D38" s="30"/>
      <c r="E38" s="30"/>
      <c r="F38" s="30"/>
      <c r="G38" s="30"/>
      <c r="H38" s="30"/>
      <c r="I38" s="30"/>
      <c r="J38" s="295">
        <f t="shared" si="0"/>
        <v>0</v>
      </c>
      <c r="K38" s="30"/>
    </row>
    <row r="39" spans="1:11" x14ac:dyDescent="0.2">
      <c r="A39" s="298" t="s">
        <v>455</v>
      </c>
      <c r="B39" s="29" t="s">
        <v>462</v>
      </c>
      <c r="C39" s="30"/>
      <c r="D39" s="30"/>
      <c r="E39" s="30"/>
      <c r="F39" s="30"/>
      <c r="G39" s="30"/>
      <c r="H39" s="30"/>
      <c r="I39" s="30"/>
      <c r="J39" s="295">
        <f t="shared" si="0"/>
        <v>0</v>
      </c>
      <c r="K39" s="30"/>
    </row>
    <row r="40" spans="1:11" x14ac:dyDescent="0.2">
      <c r="A40" s="298" t="s">
        <v>456</v>
      </c>
      <c r="B40" s="29" t="s">
        <v>462</v>
      </c>
      <c r="C40" s="30"/>
      <c r="D40" s="30"/>
      <c r="E40" s="30"/>
      <c r="F40" s="30"/>
      <c r="G40" s="30"/>
      <c r="H40" s="30"/>
      <c r="I40" s="30"/>
      <c r="J40" s="295">
        <f t="shared" si="0"/>
        <v>0</v>
      </c>
      <c r="K40" s="30"/>
    </row>
    <row r="41" spans="1:11" x14ac:dyDescent="0.2">
      <c r="A41" s="298" t="s">
        <v>457</v>
      </c>
      <c r="B41" s="29" t="s">
        <v>462</v>
      </c>
      <c r="C41" s="30"/>
      <c r="D41" s="30"/>
      <c r="E41" s="30"/>
      <c r="F41" s="30"/>
      <c r="G41" s="30"/>
      <c r="H41" s="30"/>
      <c r="I41" s="30"/>
      <c r="J41" s="295">
        <f t="shared" si="0"/>
        <v>0</v>
      </c>
      <c r="K41" s="30"/>
    </row>
    <row r="42" spans="1:11" x14ac:dyDescent="0.2">
      <c r="A42" s="298" t="s">
        <v>458</v>
      </c>
      <c r="B42" s="29" t="s">
        <v>462</v>
      </c>
      <c r="C42" s="30"/>
      <c r="D42" s="30"/>
      <c r="E42" s="30"/>
      <c r="F42" s="30"/>
      <c r="G42" s="30"/>
      <c r="H42" s="30"/>
      <c r="I42" s="30"/>
      <c r="J42" s="295">
        <f t="shared" si="0"/>
        <v>0</v>
      </c>
      <c r="K42" s="30"/>
    </row>
    <row r="43" spans="1:11" x14ac:dyDescent="0.2">
      <c r="A43" s="298" t="s">
        <v>975</v>
      </c>
      <c r="B43" s="29" t="s">
        <v>462</v>
      </c>
      <c r="C43" s="30"/>
      <c r="D43" s="30"/>
      <c r="E43" s="30"/>
      <c r="F43" s="30"/>
      <c r="G43" s="30"/>
      <c r="H43" s="30"/>
      <c r="I43" s="30"/>
      <c r="J43" s="295">
        <f t="shared" si="0"/>
        <v>0</v>
      </c>
      <c r="K43" s="30"/>
    </row>
    <row r="44" spans="1:11" x14ac:dyDescent="0.2">
      <c r="A44" s="298" t="s">
        <v>976</v>
      </c>
      <c r="B44" s="29" t="s">
        <v>462</v>
      </c>
      <c r="C44" s="30"/>
      <c r="D44" s="30"/>
      <c r="E44" s="30"/>
      <c r="F44" s="30"/>
      <c r="G44" s="30"/>
      <c r="H44" s="30"/>
      <c r="I44" s="30"/>
      <c r="J44" s="295">
        <f t="shared" si="0"/>
        <v>0</v>
      </c>
      <c r="K44" s="30"/>
    </row>
    <row r="45" spans="1:11" x14ac:dyDescent="0.2">
      <c r="A45" s="298" t="s">
        <v>977</v>
      </c>
      <c r="B45" s="29" t="s">
        <v>462</v>
      </c>
      <c r="C45" s="30"/>
      <c r="D45" s="30"/>
      <c r="E45" s="30"/>
      <c r="F45" s="30"/>
      <c r="G45" s="30"/>
      <c r="H45" s="30"/>
      <c r="I45" s="30"/>
      <c r="J45" s="295">
        <f t="shared" si="0"/>
        <v>0</v>
      </c>
      <c r="K45" s="30"/>
    </row>
    <row r="46" spans="1:11" x14ac:dyDescent="0.2">
      <c r="A46" s="298" t="s">
        <v>978</v>
      </c>
      <c r="B46" s="29" t="s">
        <v>462</v>
      </c>
      <c r="C46" s="30"/>
      <c r="D46" s="30"/>
      <c r="E46" s="30"/>
      <c r="F46" s="30"/>
      <c r="G46" s="30"/>
      <c r="H46" s="30"/>
      <c r="I46" s="30"/>
      <c r="J46" s="295">
        <f t="shared" si="0"/>
        <v>0</v>
      </c>
      <c r="K46" s="30"/>
    </row>
    <row r="47" spans="1:11" x14ac:dyDescent="0.2">
      <c r="A47" s="298" t="s">
        <v>979</v>
      </c>
      <c r="B47" s="29" t="s">
        <v>462</v>
      </c>
      <c r="C47" s="30"/>
      <c r="D47" s="30"/>
      <c r="E47" s="30"/>
      <c r="F47" s="30"/>
      <c r="G47" s="30"/>
      <c r="H47" s="30"/>
      <c r="I47" s="30"/>
      <c r="J47" s="295">
        <f t="shared" si="0"/>
        <v>0</v>
      </c>
      <c r="K47" s="30"/>
    </row>
    <row r="48" spans="1:11" x14ac:dyDescent="0.2">
      <c r="A48" s="298" t="s">
        <v>980</v>
      </c>
      <c r="B48" s="29" t="s">
        <v>462</v>
      </c>
      <c r="C48" s="30"/>
      <c r="D48" s="30"/>
      <c r="E48" s="30"/>
      <c r="F48" s="30"/>
      <c r="G48" s="30"/>
      <c r="H48" s="30"/>
      <c r="I48" s="30"/>
      <c r="J48" s="295">
        <f t="shared" si="0"/>
        <v>0</v>
      </c>
      <c r="K48" s="30"/>
    </row>
    <row r="49" spans="1:11" x14ac:dyDescent="0.2">
      <c r="A49" s="298" t="s">
        <v>981</v>
      </c>
      <c r="B49" s="29" t="s">
        <v>462</v>
      </c>
      <c r="C49" s="30"/>
      <c r="D49" s="30"/>
      <c r="E49" s="30"/>
      <c r="F49" s="30"/>
      <c r="G49" s="30"/>
      <c r="H49" s="30"/>
      <c r="I49" s="30"/>
      <c r="J49" s="295">
        <f t="shared" si="0"/>
        <v>0</v>
      </c>
      <c r="K49" s="30"/>
    </row>
    <row r="50" spans="1:11" x14ac:dyDescent="0.2">
      <c r="A50" s="298" t="s">
        <v>982</v>
      </c>
      <c r="B50" s="29" t="s">
        <v>462</v>
      </c>
      <c r="C50" s="30"/>
      <c r="D50" s="30"/>
      <c r="E50" s="30"/>
      <c r="F50" s="30"/>
      <c r="G50" s="30"/>
      <c r="H50" s="30"/>
      <c r="I50" s="30"/>
      <c r="J50" s="295">
        <f t="shared" si="0"/>
        <v>0</v>
      </c>
      <c r="K50" s="30"/>
    </row>
    <row r="51" spans="1:11" x14ac:dyDescent="0.2">
      <c r="A51" s="298" t="s">
        <v>983</v>
      </c>
      <c r="B51" s="29" t="s">
        <v>462</v>
      </c>
      <c r="C51" s="30"/>
      <c r="D51" s="30"/>
      <c r="E51" s="30"/>
      <c r="F51" s="30"/>
      <c r="G51" s="30"/>
      <c r="H51" s="30"/>
      <c r="I51" s="30"/>
      <c r="J51" s="295">
        <f t="shared" si="0"/>
        <v>0</v>
      </c>
      <c r="K51" s="30"/>
    </row>
    <row r="52" spans="1:11" x14ac:dyDescent="0.2">
      <c r="A52" s="298" t="s">
        <v>984</v>
      </c>
      <c r="B52" s="29" t="s">
        <v>462</v>
      </c>
      <c r="C52" s="30"/>
      <c r="D52" s="30"/>
      <c r="E52" s="30"/>
      <c r="F52" s="30"/>
      <c r="G52" s="30"/>
      <c r="H52" s="30"/>
      <c r="I52" s="30"/>
      <c r="J52" s="295">
        <f t="shared" si="0"/>
        <v>0</v>
      </c>
      <c r="K52" s="30"/>
    </row>
    <row r="53" spans="1:11" x14ac:dyDescent="0.2">
      <c r="A53" s="298" t="s">
        <v>985</v>
      </c>
      <c r="B53" s="29" t="s">
        <v>462</v>
      </c>
      <c r="C53" s="30"/>
      <c r="D53" s="30"/>
      <c r="E53" s="30"/>
      <c r="F53" s="30"/>
      <c r="G53" s="30"/>
      <c r="H53" s="30"/>
      <c r="I53" s="30"/>
      <c r="J53" s="295">
        <f t="shared" si="0"/>
        <v>0</v>
      </c>
      <c r="K53" s="30"/>
    </row>
    <row r="54" spans="1:11" x14ac:dyDescent="0.2">
      <c r="A54" s="298" t="s">
        <v>986</v>
      </c>
      <c r="B54" s="29" t="s">
        <v>462</v>
      </c>
      <c r="C54" s="30"/>
      <c r="D54" s="30"/>
      <c r="E54" s="30"/>
      <c r="F54" s="30"/>
      <c r="G54" s="30"/>
      <c r="H54" s="30"/>
      <c r="I54" s="30"/>
      <c r="J54" s="295">
        <f t="shared" si="0"/>
        <v>0</v>
      </c>
      <c r="K54" s="30"/>
    </row>
    <row r="55" spans="1:11" x14ac:dyDescent="0.2">
      <c r="A55" s="298" t="s">
        <v>987</v>
      </c>
      <c r="B55" s="29" t="s">
        <v>462</v>
      </c>
      <c r="C55" s="30"/>
      <c r="D55" s="30"/>
      <c r="E55" s="30"/>
      <c r="F55" s="30"/>
      <c r="G55" s="30"/>
      <c r="H55" s="30"/>
      <c r="I55" s="30"/>
      <c r="J55" s="295">
        <f t="shared" si="0"/>
        <v>0</v>
      </c>
      <c r="K55" s="30"/>
    </row>
    <row r="56" spans="1:11" x14ac:dyDescent="0.2">
      <c r="A56" s="298" t="s">
        <v>988</v>
      </c>
      <c r="B56" s="29" t="s">
        <v>462</v>
      </c>
      <c r="C56" s="30"/>
      <c r="D56" s="30"/>
      <c r="E56" s="30"/>
      <c r="F56" s="30"/>
      <c r="G56" s="30"/>
      <c r="H56" s="30"/>
      <c r="I56" s="30"/>
      <c r="J56" s="295">
        <f t="shared" si="0"/>
        <v>0</v>
      </c>
      <c r="K56" s="30"/>
    </row>
    <row r="57" spans="1:11" x14ac:dyDescent="0.2">
      <c r="A57" s="298" t="s">
        <v>989</v>
      </c>
      <c r="B57" s="29" t="s">
        <v>462</v>
      </c>
      <c r="C57" s="30"/>
      <c r="D57" s="30"/>
      <c r="E57" s="30"/>
      <c r="F57" s="30"/>
      <c r="G57" s="30"/>
      <c r="H57" s="30"/>
      <c r="I57" s="30"/>
      <c r="J57" s="295">
        <f t="shared" si="0"/>
        <v>0</v>
      </c>
      <c r="K57" s="30"/>
    </row>
    <row r="58" spans="1:11" x14ac:dyDescent="0.2">
      <c r="A58" s="298" t="s">
        <v>990</v>
      </c>
      <c r="B58" s="29" t="s">
        <v>462</v>
      </c>
      <c r="C58" s="30"/>
      <c r="D58" s="30"/>
      <c r="E58" s="30"/>
      <c r="F58" s="30"/>
      <c r="G58" s="30"/>
      <c r="H58" s="30"/>
      <c r="I58" s="30"/>
      <c r="J58" s="295">
        <f t="shared" si="0"/>
        <v>0</v>
      </c>
      <c r="K58" s="30"/>
    </row>
    <row r="59" spans="1:11" x14ac:dyDescent="0.2">
      <c r="A59" s="298" t="s">
        <v>991</v>
      </c>
      <c r="B59" s="29" t="s">
        <v>462</v>
      </c>
      <c r="C59" s="30"/>
      <c r="D59" s="30"/>
      <c r="E59" s="30"/>
      <c r="F59" s="30"/>
      <c r="G59" s="30"/>
      <c r="H59" s="30"/>
      <c r="I59" s="30"/>
      <c r="J59" s="295">
        <f t="shared" si="0"/>
        <v>0</v>
      </c>
      <c r="K59" s="30"/>
    </row>
    <row r="60" spans="1:11" x14ac:dyDescent="0.2">
      <c r="A60" s="298" t="s">
        <v>992</v>
      </c>
      <c r="B60" s="29" t="s">
        <v>462</v>
      </c>
      <c r="C60" s="30"/>
      <c r="D60" s="30"/>
      <c r="E60" s="30"/>
      <c r="F60" s="30"/>
      <c r="G60" s="30"/>
      <c r="H60" s="30"/>
      <c r="I60" s="30"/>
      <c r="J60" s="295">
        <f t="shared" si="0"/>
        <v>0</v>
      </c>
      <c r="K60" s="30"/>
    </row>
    <row r="61" spans="1:11" x14ac:dyDescent="0.2">
      <c r="A61" s="298" t="s">
        <v>993</v>
      </c>
      <c r="B61" s="29" t="s">
        <v>462</v>
      </c>
      <c r="C61" s="30"/>
      <c r="D61" s="30"/>
      <c r="E61" s="30"/>
      <c r="F61" s="30"/>
      <c r="G61" s="30"/>
      <c r="H61" s="30"/>
      <c r="I61" s="30"/>
      <c r="J61" s="295">
        <f t="shared" si="0"/>
        <v>0</v>
      </c>
      <c r="K61" s="30"/>
    </row>
    <row r="62" spans="1:11" x14ac:dyDescent="0.2">
      <c r="A62" s="298" t="s">
        <v>994</v>
      </c>
      <c r="B62" s="297" t="s">
        <v>463</v>
      </c>
      <c r="C62" s="30"/>
      <c r="D62" s="30"/>
      <c r="E62" s="30"/>
      <c r="F62" s="30"/>
      <c r="G62" s="30"/>
      <c r="H62" s="30"/>
      <c r="I62" s="30"/>
      <c r="J62" s="295">
        <f t="shared" si="0"/>
        <v>0</v>
      </c>
      <c r="K62" s="30"/>
    </row>
    <row r="65" spans="2:5" x14ac:dyDescent="0.2">
      <c r="B65" s="2" t="s">
        <v>285</v>
      </c>
      <c r="C65" s="271"/>
      <c r="D65" s="4"/>
      <c r="E65" s="4"/>
    </row>
    <row r="66" spans="2:5" x14ac:dyDescent="0.2">
      <c r="B66" s="5"/>
      <c r="C66" s="271"/>
      <c r="D66" s="4"/>
      <c r="E66" s="4"/>
    </row>
    <row r="67" spans="2:5" x14ac:dyDescent="0.2">
      <c r="B67" s="5" t="s">
        <v>286</v>
      </c>
      <c r="C67" s="271"/>
      <c r="D67" s="4"/>
      <c r="E67" s="4"/>
    </row>
    <row r="68" spans="2:5" x14ac:dyDescent="0.2">
      <c r="B68" s="5"/>
      <c r="C68" s="271"/>
      <c r="D68" s="4"/>
      <c r="E68" s="4"/>
    </row>
    <row r="69" spans="2:5" x14ac:dyDescent="0.2">
      <c r="B69" s="6" t="s">
        <v>287</v>
      </c>
      <c r="C69" s="576" t="s">
        <v>288</v>
      </c>
      <c r="D69" s="576"/>
      <c r="E69" s="4" t="s">
        <v>289</v>
      </c>
    </row>
    <row r="70" spans="2:5" x14ac:dyDescent="0.2">
      <c r="B70" s="5"/>
      <c r="C70" s="576"/>
      <c r="D70" s="576"/>
      <c r="E70" s="4"/>
    </row>
    <row r="71" spans="2:5" x14ac:dyDescent="0.2">
      <c r="B71" s="6" t="s">
        <v>290</v>
      </c>
      <c r="C71" s="576" t="s">
        <v>291</v>
      </c>
      <c r="D71" s="576"/>
      <c r="E71" s="4" t="s">
        <v>292</v>
      </c>
    </row>
    <row r="72" spans="2:5" x14ac:dyDescent="0.2">
      <c r="B72" s="5"/>
      <c r="C72" s="576"/>
      <c r="D72" s="576"/>
      <c r="E72" s="4"/>
    </row>
    <row r="73" spans="2:5" x14ac:dyDescent="0.2">
      <c r="B73" s="6" t="s">
        <v>293</v>
      </c>
      <c r="C73" s="576" t="s">
        <v>288</v>
      </c>
      <c r="D73" s="576"/>
      <c r="E73" s="4" t="s">
        <v>292</v>
      </c>
    </row>
  </sheetData>
  <sheetProtection password="CA9F" sheet="1" objects="1" scenarios="1"/>
  <mergeCells count="17">
    <mergeCell ref="C73:D73"/>
    <mergeCell ref="E9:I9"/>
    <mergeCell ref="J9:J10"/>
    <mergeCell ref="C69:D69"/>
    <mergeCell ref="C70:D70"/>
    <mergeCell ref="C71:D71"/>
    <mergeCell ref="C72:D72"/>
    <mergeCell ref="F1:K3"/>
    <mergeCell ref="A4:K4"/>
    <mergeCell ref="A6:D6"/>
    <mergeCell ref="J6:K6"/>
    <mergeCell ref="A8:A10"/>
    <mergeCell ref="B8:B10"/>
    <mergeCell ref="C8:C10"/>
    <mergeCell ref="D8:J8"/>
    <mergeCell ref="K8:K10"/>
    <mergeCell ref="D9:D10"/>
  </mergeCells>
  <dataValidations count="2">
    <dataValidation type="decimal" allowBlank="1" showInputMessage="1" showErrorMessage="1" sqref="C12:K62" xr:uid="{A79E0B12-4F50-45BF-A309-34DF12107FE7}">
      <formula1>0</formula1>
      <formula2>1E+38</formula2>
    </dataValidation>
    <dataValidation type="whole" allowBlank="1" showInputMessage="1" showErrorMessage="1" sqref="J7:K7" xr:uid="{14686051-509A-416F-BAF5-E821AAC99C17}">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5719C-08D5-427C-9BFF-9F2C1C44A5D0}">
  <dimension ref="A3:D177"/>
  <sheetViews>
    <sheetView topLeftCell="A126" workbookViewId="0">
      <selection activeCell="D156" sqref="D156"/>
    </sheetView>
  </sheetViews>
  <sheetFormatPr defaultRowHeight="12.75" x14ac:dyDescent="0.2"/>
  <cols>
    <col min="1" max="1" width="54.42578125" style="286" customWidth="1"/>
    <col min="2" max="2" width="18.7109375" style="286" bestFit="1" customWidth="1"/>
    <col min="3" max="4" width="27.85546875" style="286" customWidth="1"/>
    <col min="5" max="16384" width="9.140625" style="286"/>
  </cols>
  <sheetData>
    <row r="3" spans="1:4" x14ac:dyDescent="0.2">
      <c r="A3" s="619" t="s">
        <v>658</v>
      </c>
      <c r="B3" s="619"/>
      <c r="C3" s="619"/>
      <c r="D3" s="619"/>
    </row>
    <row r="4" spans="1:4" x14ac:dyDescent="0.2">
      <c r="A4" s="397"/>
      <c r="B4" s="398"/>
      <c r="C4" s="397"/>
      <c r="D4" s="397"/>
    </row>
    <row r="5" spans="1:4" x14ac:dyDescent="0.2">
      <c r="A5" s="620" t="s">
        <v>277</v>
      </c>
      <c r="B5" s="620"/>
      <c r="C5" s="573" t="s">
        <v>278</v>
      </c>
      <c r="D5" s="573"/>
    </row>
    <row r="6" spans="1:4" x14ac:dyDescent="0.2">
      <c r="A6" s="159"/>
      <c r="B6" s="160"/>
      <c r="C6" s="396"/>
      <c r="D6" s="290" t="s">
        <v>279</v>
      </c>
    </row>
    <row r="7" spans="1:4" x14ac:dyDescent="0.2">
      <c r="A7" s="161" t="s">
        <v>464</v>
      </c>
      <c r="B7" s="162" t="s">
        <v>465</v>
      </c>
      <c r="C7" s="162" t="s">
        <v>296</v>
      </c>
      <c r="D7" s="162" t="s">
        <v>296</v>
      </c>
    </row>
    <row r="8" spans="1:4" x14ac:dyDescent="0.2">
      <c r="A8" s="163" t="s">
        <v>282</v>
      </c>
      <c r="B8" s="164" t="s">
        <v>283</v>
      </c>
      <c r="C8" s="164">
        <v>1</v>
      </c>
      <c r="D8" s="164">
        <v>2</v>
      </c>
    </row>
    <row r="9" spans="1:4" x14ac:dyDescent="0.2">
      <c r="A9" s="165" t="s">
        <v>466</v>
      </c>
      <c r="B9" s="166">
        <v>1010</v>
      </c>
      <c r="C9" s="54"/>
      <c r="D9" s="54"/>
    </row>
    <row r="10" spans="1:4" x14ac:dyDescent="0.2">
      <c r="A10" s="165" t="s">
        <v>467</v>
      </c>
      <c r="B10" s="166">
        <v>1020</v>
      </c>
      <c r="C10" s="54"/>
      <c r="D10" s="54"/>
    </row>
    <row r="11" spans="1:4" x14ac:dyDescent="0.2">
      <c r="A11" s="165" t="s">
        <v>468</v>
      </c>
      <c r="B11" s="166">
        <v>1030</v>
      </c>
      <c r="C11" s="54"/>
      <c r="D11" s="54"/>
    </row>
    <row r="12" spans="1:4" x14ac:dyDescent="0.2">
      <c r="A12" s="165" t="s">
        <v>469</v>
      </c>
      <c r="B12" s="166">
        <v>1110</v>
      </c>
      <c r="C12" s="54"/>
      <c r="D12" s="54"/>
    </row>
    <row r="13" spans="1:4" x14ac:dyDescent="0.2">
      <c r="A13" s="165" t="s">
        <v>470</v>
      </c>
      <c r="B13" s="166">
        <v>1111</v>
      </c>
      <c r="C13" s="54"/>
      <c r="D13" s="54"/>
    </row>
    <row r="14" spans="1:4" x14ac:dyDescent="0.2">
      <c r="A14" s="165" t="s">
        <v>471</v>
      </c>
      <c r="B14" s="166">
        <v>1112</v>
      </c>
      <c r="C14" s="54"/>
      <c r="D14" s="54"/>
    </row>
    <row r="15" spans="1:4" x14ac:dyDescent="0.2">
      <c r="A15" s="165" t="s">
        <v>472</v>
      </c>
      <c r="B15" s="166">
        <v>1120</v>
      </c>
      <c r="C15" s="54"/>
      <c r="D15" s="54"/>
    </row>
    <row r="16" spans="1:4" x14ac:dyDescent="0.2">
      <c r="A16" s="165" t="s">
        <v>473</v>
      </c>
      <c r="B16" s="166">
        <v>1121</v>
      </c>
      <c r="C16" s="54"/>
      <c r="D16" s="54"/>
    </row>
    <row r="17" spans="1:4" ht="25.5" x14ac:dyDescent="0.2">
      <c r="A17" s="165" t="s">
        <v>474</v>
      </c>
      <c r="B17" s="166">
        <v>1130</v>
      </c>
      <c r="C17" s="54"/>
      <c r="D17" s="54"/>
    </row>
    <row r="18" spans="1:4" ht="25.5" x14ac:dyDescent="0.2">
      <c r="A18" s="165" t="s">
        <v>475</v>
      </c>
      <c r="B18" s="166">
        <v>1131</v>
      </c>
      <c r="C18" s="54"/>
      <c r="D18" s="54"/>
    </row>
    <row r="19" spans="1:4" ht="25.5" x14ac:dyDescent="0.2">
      <c r="A19" s="165" t="s">
        <v>476</v>
      </c>
      <c r="B19" s="166">
        <v>1132</v>
      </c>
      <c r="C19" s="54"/>
      <c r="D19" s="54"/>
    </row>
    <row r="20" spans="1:4" ht="25.5" x14ac:dyDescent="0.2">
      <c r="A20" s="165" t="s">
        <v>477</v>
      </c>
      <c r="B20" s="166">
        <v>1140</v>
      </c>
      <c r="C20" s="54"/>
      <c r="D20" s="54"/>
    </row>
    <row r="21" spans="1:4" ht="25.5" x14ac:dyDescent="0.2">
      <c r="A21" s="165" t="s">
        <v>478</v>
      </c>
      <c r="B21" s="166">
        <v>1141</v>
      </c>
      <c r="C21" s="54"/>
      <c r="D21" s="54"/>
    </row>
    <row r="22" spans="1:4" ht="25.5" x14ac:dyDescent="0.2">
      <c r="A22" s="165" t="s">
        <v>479</v>
      </c>
      <c r="B22" s="166">
        <v>1142</v>
      </c>
      <c r="C22" s="54"/>
      <c r="D22" s="54"/>
    </row>
    <row r="23" spans="1:4" x14ac:dyDescent="0.2">
      <c r="A23" s="165" t="s">
        <v>480</v>
      </c>
      <c r="B23" s="166">
        <v>1150</v>
      </c>
      <c r="C23" s="54"/>
      <c r="D23" s="54"/>
    </row>
    <row r="24" spans="1:4" x14ac:dyDescent="0.2">
      <c r="A24" s="165" t="s">
        <v>481</v>
      </c>
      <c r="B24" s="166">
        <v>1151</v>
      </c>
      <c r="C24" s="54"/>
      <c r="D24" s="54"/>
    </row>
    <row r="25" spans="1:4" ht="25.5" x14ac:dyDescent="0.2">
      <c r="A25" s="165" t="s">
        <v>482</v>
      </c>
      <c r="B25" s="166">
        <v>1160</v>
      </c>
      <c r="C25" s="54"/>
      <c r="D25" s="54"/>
    </row>
    <row r="26" spans="1:4" ht="25.5" x14ac:dyDescent="0.2">
      <c r="A26" s="165" t="s">
        <v>483</v>
      </c>
      <c r="B26" s="166">
        <v>1161</v>
      </c>
      <c r="C26" s="54"/>
      <c r="D26" s="54"/>
    </row>
    <row r="27" spans="1:4" ht="25.5" x14ac:dyDescent="0.2">
      <c r="A27" s="165" t="s">
        <v>484</v>
      </c>
      <c r="B27" s="166">
        <v>1162</v>
      </c>
      <c r="C27" s="54"/>
      <c r="D27" s="54"/>
    </row>
    <row r="28" spans="1:4" x14ac:dyDescent="0.2">
      <c r="A28" s="165" t="s">
        <v>485</v>
      </c>
      <c r="B28" s="166">
        <v>1170</v>
      </c>
      <c r="C28" s="54"/>
      <c r="D28" s="54"/>
    </row>
    <row r="29" spans="1:4" x14ac:dyDescent="0.2">
      <c r="A29" s="165" t="s">
        <v>486</v>
      </c>
      <c r="B29" s="166">
        <v>1171</v>
      </c>
      <c r="C29" s="54"/>
      <c r="D29" s="54"/>
    </row>
    <row r="30" spans="1:4" x14ac:dyDescent="0.2">
      <c r="A30" s="165" t="s">
        <v>487</v>
      </c>
      <c r="B30" s="166">
        <v>1210</v>
      </c>
      <c r="C30" s="54"/>
      <c r="D30" s="54"/>
    </row>
    <row r="31" spans="1:4" x14ac:dyDescent="0.2">
      <c r="A31" s="165" t="s">
        <v>488</v>
      </c>
      <c r="B31" s="166">
        <v>1219</v>
      </c>
      <c r="C31" s="54"/>
      <c r="D31" s="54"/>
    </row>
    <row r="32" spans="1:4" x14ac:dyDescent="0.2">
      <c r="A32" s="165" t="s">
        <v>489</v>
      </c>
      <c r="B32" s="166">
        <v>1220</v>
      </c>
      <c r="C32" s="54"/>
      <c r="D32" s="167"/>
    </row>
    <row r="33" spans="1:4" x14ac:dyDescent="0.2">
      <c r="A33" s="165" t="s">
        <v>490</v>
      </c>
      <c r="B33" s="166">
        <v>1229</v>
      </c>
      <c r="C33" s="54"/>
      <c r="D33" s="167"/>
    </row>
    <row r="34" spans="1:4" x14ac:dyDescent="0.2">
      <c r="A34" s="165" t="s">
        <v>491</v>
      </c>
      <c r="B34" s="166">
        <v>1230</v>
      </c>
      <c r="C34" s="54"/>
      <c r="D34" s="54"/>
    </row>
    <row r="35" spans="1:4" x14ac:dyDescent="0.2">
      <c r="A35" s="165" t="s">
        <v>492</v>
      </c>
      <c r="B35" s="166">
        <v>1239</v>
      </c>
      <c r="C35" s="54"/>
      <c r="D35" s="54"/>
    </row>
    <row r="36" spans="1:4" x14ac:dyDescent="0.2">
      <c r="A36" s="165" t="s">
        <v>493</v>
      </c>
      <c r="B36" s="166">
        <v>1240</v>
      </c>
      <c r="C36" s="54"/>
      <c r="D36" s="54"/>
    </row>
    <row r="37" spans="1:4" x14ac:dyDescent="0.2">
      <c r="A37" s="165" t="s">
        <v>494</v>
      </c>
      <c r="B37" s="166">
        <v>1249</v>
      </c>
      <c r="C37" s="54"/>
      <c r="D37" s="54"/>
    </row>
    <row r="38" spans="1:4" x14ac:dyDescent="0.2">
      <c r="A38" s="165" t="s">
        <v>495</v>
      </c>
      <c r="B38" s="166">
        <v>1250</v>
      </c>
      <c r="C38" s="54"/>
      <c r="D38" s="54"/>
    </row>
    <row r="39" spans="1:4" x14ac:dyDescent="0.2">
      <c r="A39" s="165" t="s">
        <v>496</v>
      </c>
      <c r="B39" s="166">
        <v>1259</v>
      </c>
      <c r="C39" s="54"/>
      <c r="D39" s="54"/>
    </row>
    <row r="40" spans="1:4" x14ac:dyDescent="0.2">
      <c r="A40" s="165" t="s">
        <v>497</v>
      </c>
      <c r="B40" s="166">
        <v>1260</v>
      </c>
      <c r="C40" s="54"/>
      <c r="D40" s="54"/>
    </row>
    <row r="41" spans="1:4" x14ac:dyDescent="0.2">
      <c r="A41" s="165" t="s">
        <v>498</v>
      </c>
      <c r="B41" s="166">
        <v>1269</v>
      </c>
      <c r="C41" s="54"/>
      <c r="D41" s="54"/>
    </row>
    <row r="42" spans="1:4" x14ac:dyDescent="0.2">
      <c r="A42" s="165" t="s">
        <v>499</v>
      </c>
      <c r="B42" s="166">
        <v>1270</v>
      </c>
      <c r="C42" s="54"/>
      <c r="D42" s="54"/>
    </row>
    <row r="43" spans="1:4" x14ac:dyDescent="0.2">
      <c r="A43" s="165" t="s">
        <v>500</v>
      </c>
      <c r="B43" s="166">
        <v>1280</v>
      </c>
      <c r="C43" s="54"/>
      <c r="D43" s="54"/>
    </row>
    <row r="44" spans="1:4" x14ac:dyDescent="0.2">
      <c r="A44" s="168" t="s">
        <v>131</v>
      </c>
      <c r="B44" s="169">
        <v>1290</v>
      </c>
      <c r="C44" s="54"/>
      <c r="D44" s="54"/>
    </row>
    <row r="45" spans="1:4" ht="25.5" x14ac:dyDescent="0.2">
      <c r="A45" s="165" t="s">
        <v>501</v>
      </c>
      <c r="B45" s="166">
        <v>1310</v>
      </c>
      <c r="C45" s="54"/>
      <c r="D45" s="54"/>
    </row>
    <row r="46" spans="1:4" ht="25.5" x14ac:dyDescent="0.2">
      <c r="A46" s="165" t="s">
        <v>502</v>
      </c>
      <c r="B46" s="166">
        <v>1311</v>
      </c>
      <c r="C46" s="54"/>
      <c r="D46" s="54"/>
    </row>
    <row r="47" spans="1:4" ht="25.5" x14ac:dyDescent="0.2">
      <c r="A47" s="165" t="s">
        <v>503</v>
      </c>
      <c r="B47" s="166">
        <v>1312</v>
      </c>
      <c r="C47" s="54"/>
      <c r="D47" s="54"/>
    </row>
    <row r="48" spans="1:4" ht="25.5" x14ac:dyDescent="0.2">
      <c r="A48" s="165" t="s">
        <v>504</v>
      </c>
      <c r="B48" s="166">
        <v>1313</v>
      </c>
      <c r="C48" s="54"/>
      <c r="D48" s="54"/>
    </row>
    <row r="49" spans="1:4" ht="38.25" x14ac:dyDescent="0.2">
      <c r="A49" s="165" t="s">
        <v>505</v>
      </c>
      <c r="B49" s="166">
        <v>1317</v>
      </c>
      <c r="C49" s="54"/>
      <c r="D49" s="54"/>
    </row>
    <row r="50" spans="1:4" ht="25.5" x14ac:dyDescent="0.2">
      <c r="A50" s="165" t="s">
        <v>506</v>
      </c>
      <c r="B50" s="166">
        <v>1318</v>
      </c>
      <c r="C50" s="54"/>
      <c r="D50" s="54"/>
    </row>
    <row r="51" spans="1:4" ht="25.5" x14ac:dyDescent="0.2">
      <c r="A51" s="165" t="s">
        <v>507</v>
      </c>
      <c r="B51" s="166">
        <v>1319</v>
      </c>
      <c r="C51" s="54"/>
      <c r="D51" s="54"/>
    </row>
    <row r="52" spans="1:4" x14ac:dyDescent="0.2">
      <c r="A52" s="165" t="s">
        <v>508</v>
      </c>
      <c r="B52" s="166">
        <v>1320</v>
      </c>
      <c r="C52" s="54"/>
      <c r="D52" s="54"/>
    </row>
    <row r="53" spans="1:4" x14ac:dyDescent="0.2">
      <c r="A53" s="165" t="s">
        <v>509</v>
      </c>
      <c r="B53" s="166">
        <v>1321</v>
      </c>
      <c r="C53" s="54"/>
      <c r="D53" s="54"/>
    </row>
    <row r="54" spans="1:4" x14ac:dyDescent="0.2">
      <c r="A54" s="165" t="s">
        <v>510</v>
      </c>
      <c r="B54" s="166">
        <v>1322</v>
      </c>
      <c r="C54" s="54"/>
      <c r="D54" s="54"/>
    </row>
    <row r="55" spans="1:4" x14ac:dyDescent="0.2">
      <c r="A55" s="165" t="s">
        <v>511</v>
      </c>
      <c r="B55" s="166">
        <v>1323</v>
      </c>
      <c r="C55" s="54"/>
      <c r="D55" s="54"/>
    </row>
    <row r="56" spans="1:4" x14ac:dyDescent="0.2">
      <c r="A56" s="165" t="s">
        <v>512</v>
      </c>
      <c r="B56" s="166">
        <v>1326</v>
      </c>
      <c r="C56" s="54"/>
      <c r="D56" s="54"/>
    </row>
    <row r="57" spans="1:4" x14ac:dyDescent="0.2">
      <c r="A57" s="165" t="s">
        <v>513</v>
      </c>
      <c r="B57" s="166">
        <v>1327</v>
      </c>
      <c r="C57" s="54"/>
      <c r="D57" s="54"/>
    </row>
    <row r="58" spans="1:4" x14ac:dyDescent="0.2">
      <c r="A58" s="165" t="s">
        <v>514</v>
      </c>
      <c r="B58" s="166">
        <v>1328</v>
      </c>
      <c r="C58" s="54"/>
      <c r="D58" s="54"/>
    </row>
    <row r="59" spans="1:4" x14ac:dyDescent="0.2">
      <c r="A59" s="165" t="s">
        <v>515</v>
      </c>
      <c r="B59" s="166">
        <v>1329</v>
      </c>
      <c r="C59" s="54"/>
      <c r="D59" s="54"/>
    </row>
    <row r="60" spans="1:4" x14ac:dyDescent="0.2">
      <c r="A60" s="165" t="s">
        <v>516</v>
      </c>
      <c r="B60" s="166">
        <v>1330</v>
      </c>
      <c r="C60" s="54"/>
      <c r="D60" s="54"/>
    </row>
    <row r="61" spans="1:4" x14ac:dyDescent="0.2">
      <c r="A61" s="165" t="s">
        <v>517</v>
      </c>
      <c r="B61" s="166">
        <v>1331</v>
      </c>
      <c r="C61" s="54"/>
      <c r="D61" s="54"/>
    </row>
    <row r="62" spans="1:4" x14ac:dyDescent="0.2">
      <c r="A62" s="165" t="s">
        <v>518</v>
      </c>
      <c r="B62" s="166">
        <v>1332</v>
      </c>
      <c r="C62" s="54"/>
      <c r="D62" s="54"/>
    </row>
    <row r="63" spans="1:4" ht="25.5" x14ac:dyDescent="0.2">
      <c r="A63" s="165" t="s">
        <v>519</v>
      </c>
      <c r="B63" s="166">
        <v>1339</v>
      </c>
      <c r="C63" s="54"/>
      <c r="D63" s="54"/>
    </row>
    <row r="64" spans="1:4" x14ac:dyDescent="0.2">
      <c r="A64" s="165" t="s">
        <v>520</v>
      </c>
      <c r="B64" s="166">
        <v>1350</v>
      </c>
      <c r="C64" s="54"/>
      <c r="D64" s="54"/>
    </row>
    <row r="65" spans="1:4" x14ac:dyDescent="0.2">
      <c r="A65" s="165" t="s">
        <v>521</v>
      </c>
      <c r="B65" s="166">
        <v>1351</v>
      </c>
      <c r="C65" s="54"/>
      <c r="D65" s="54"/>
    </row>
    <row r="66" spans="1:4" x14ac:dyDescent="0.2">
      <c r="A66" s="165" t="s">
        <v>522</v>
      </c>
      <c r="B66" s="166">
        <v>1410</v>
      </c>
      <c r="C66" s="54"/>
      <c r="D66" s="54"/>
    </row>
    <row r="67" spans="1:4" x14ac:dyDescent="0.2">
      <c r="A67" s="165" t="s">
        <v>523</v>
      </c>
      <c r="B67" s="166">
        <v>1420</v>
      </c>
      <c r="C67" s="54"/>
      <c r="D67" s="54"/>
    </row>
    <row r="68" spans="1:4" x14ac:dyDescent="0.2">
      <c r="A68" s="165" t="s">
        <v>524</v>
      </c>
      <c r="B68" s="166">
        <v>1430</v>
      </c>
      <c r="C68" s="54"/>
      <c r="D68" s="54"/>
    </row>
    <row r="69" spans="1:4" x14ac:dyDescent="0.2">
      <c r="A69" s="165" t="s">
        <v>525</v>
      </c>
      <c r="B69" s="166">
        <v>1440</v>
      </c>
      <c r="C69" s="54"/>
      <c r="D69" s="54"/>
    </row>
    <row r="70" spans="1:4" x14ac:dyDescent="0.2">
      <c r="A70" s="165" t="s">
        <v>526</v>
      </c>
      <c r="B70" s="166">
        <v>1450</v>
      </c>
      <c r="C70" s="54"/>
      <c r="D70" s="54"/>
    </row>
    <row r="71" spans="1:4" x14ac:dyDescent="0.2">
      <c r="A71" s="165" t="s">
        <v>527</v>
      </c>
      <c r="B71" s="166">
        <v>1510</v>
      </c>
      <c r="C71" s="54"/>
      <c r="D71" s="54"/>
    </row>
    <row r="72" spans="1:4" x14ac:dyDescent="0.2">
      <c r="A72" s="165" t="s">
        <v>254</v>
      </c>
      <c r="B72" s="166">
        <v>1520</v>
      </c>
      <c r="C72" s="54"/>
      <c r="D72" s="54"/>
    </row>
    <row r="73" spans="1:4" x14ac:dyDescent="0.2">
      <c r="A73" s="165" t="s">
        <v>528</v>
      </c>
      <c r="B73" s="169">
        <v>1610</v>
      </c>
      <c r="C73" s="54"/>
      <c r="D73" s="167"/>
    </row>
    <row r="74" spans="1:4" x14ac:dyDescent="0.2">
      <c r="A74" s="165" t="s">
        <v>529</v>
      </c>
      <c r="B74" s="169">
        <v>1619</v>
      </c>
      <c r="C74" s="54"/>
      <c r="D74" s="167"/>
    </row>
    <row r="75" spans="1:4" x14ac:dyDescent="0.2">
      <c r="A75" s="168" t="s">
        <v>140</v>
      </c>
      <c r="B75" s="169">
        <v>1810</v>
      </c>
      <c r="C75" s="54"/>
      <c r="D75" s="167"/>
    </row>
    <row r="76" spans="1:4" x14ac:dyDescent="0.2">
      <c r="A76" s="168" t="s">
        <v>141</v>
      </c>
      <c r="B76" s="166">
        <v>1820</v>
      </c>
      <c r="C76" s="54"/>
      <c r="D76" s="174"/>
    </row>
    <row r="77" spans="1:4" ht="25.5" x14ac:dyDescent="0.2">
      <c r="A77" s="165" t="s">
        <v>530</v>
      </c>
      <c r="B77" s="166">
        <v>1821</v>
      </c>
      <c r="C77" s="54"/>
      <c r="D77" s="174"/>
    </row>
    <row r="78" spans="1:4" x14ac:dyDescent="0.2">
      <c r="A78" s="165" t="s">
        <v>531</v>
      </c>
      <c r="B78" s="166">
        <v>1830</v>
      </c>
      <c r="C78" s="54"/>
      <c r="D78" s="167"/>
    </row>
    <row r="79" spans="1:4" ht="25.5" x14ac:dyDescent="0.2">
      <c r="A79" s="165" t="s">
        <v>532</v>
      </c>
      <c r="B79" s="166">
        <v>1840</v>
      </c>
      <c r="C79" s="54"/>
      <c r="D79" s="167"/>
    </row>
    <row r="80" spans="1:4" x14ac:dyDescent="0.2">
      <c r="A80" s="165" t="s">
        <v>533</v>
      </c>
      <c r="B80" s="166">
        <v>1850</v>
      </c>
      <c r="C80" s="54"/>
      <c r="D80" s="167"/>
    </row>
    <row r="81" spans="1:4" x14ac:dyDescent="0.2">
      <c r="A81" s="165" t="s">
        <v>534</v>
      </c>
      <c r="B81" s="166">
        <v>2010</v>
      </c>
      <c r="C81" s="54"/>
      <c r="D81" s="54"/>
    </row>
    <row r="82" spans="1:4" x14ac:dyDescent="0.2">
      <c r="A82" s="165" t="s">
        <v>535</v>
      </c>
      <c r="B82" s="166">
        <v>2011</v>
      </c>
      <c r="C82" s="54"/>
      <c r="D82" s="54"/>
    </row>
    <row r="83" spans="1:4" x14ac:dyDescent="0.2">
      <c r="A83" s="165" t="s">
        <v>536</v>
      </c>
      <c r="B83" s="166">
        <v>2020</v>
      </c>
      <c r="C83" s="54"/>
      <c r="D83" s="54"/>
    </row>
    <row r="84" spans="1:4" x14ac:dyDescent="0.2">
      <c r="A84" s="165" t="s">
        <v>537</v>
      </c>
      <c r="B84" s="166">
        <v>2021</v>
      </c>
      <c r="C84" s="54"/>
      <c r="D84" s="54"/>
    </row>
    <row r="85" spans="1:4" x14ac:dyDescent="0.2">
      <c r="A85" s="165" t="s">
        <v>538</v>
      </c>
      <c r="B85" s="166">
        <v>2030</v>
      </c>
      <c r="C85" s="54"/>
      <c r="D85" s="54"/>
    </row>
    <row r="86" spans="1:4" x14ac:dyDescent="0.2">
      <c r="A86" s="165" t="s">
        <v>539</v>
      </c>
      <c r="B86" s="166">
        <v>2031</v>
      </c>
      <c r="C86" s="54"/>
      <c r="D86" s="54"/>
    </row>
    <row r="87" spans="1:4" x14ac:dyDescent="0.2">
      <c r="A87" s="165" t="s">
        <v>540</v>
      </c>
      <c r="B87" s="166">
        <v>2040</v>
      </c>
      <c r="C87" s="54"/>
      <c r="D87" s="54"/>
    </row>
    <row r="88" spans="1:4" x14ac:dyDescent="0.2">
      <c r="A88" s="165" t="s">
        <v>541</v>
      </c>
      <c r="B88" s="166">
        <v>2041</v>
      </c>
      <c r="C88" s="54"/>
      <c r="D88" s="54"/>
    </row>
    <row r="89" spans="1:4" x14ac:dyDescent="0.2">
      <c r="A89" s="165" t="s">
        <v>542</v>
      </c>
      <c r="B89" s="166">
        <v>2050</v>
      </c>
      <c r="C89" s="54"/>
      <c r="D89" s="54"/>
    </row>
    <row r="90" spans="1:4" x14ac:dyDescent="0.2">
      <c r="A90" s="165" t="s">
        <v>543</v>
      </c>
      <c r="B90" s="166">
        <v>2051</v>
      </c>
      <c r="C90" s="54"/>
      <c r="D90" s="54"/>
    </row>
    <row r="91" spans="1:4" x14ac:dyDescent="0.2">
      <c r="A91" s="165" t="s">
        <v>544</v>
      </c>
      <c r="B91" s="170">
        <v>2060</v>
      </c>
      <c r="C91" s="54"/>
      <c r="D91" s="54"/>
    </row>
    <row r="92" spans="1:4" x14ac:dyDescent="0.2">
      <c r="A92" s="165" t="s">
        <v>545</v>
      </c>
      <c r="B92" s="170">
        <v>2061</v>
      </c>
      <c r="C92" s="54"/>
      <c r="D92" s="54"/>
    </row>
    <row r="93" spans="1:4" x14ac:dyDescent="0.2">
      <c r="A93" s="165" t="s">
        <v>546</v>
      </c>
      <c r="B93" s="170">
        <v>2070</v>
      </c>
      <c r="C93" s="54"/>
      <c r="D93" s="54"/>
    </row>
    <row r="94" spans="1:4" x14ac:dyDescent="0.2">
      <c r="A94" s="165" t="s">
        <v>547</v>
      </c>
      <c r="B94" s="170">
        <v>2071</v>
      </c>
      <c r="C94" s="54"/>
      <c r="D94" s="54"/>
    </row>
    <row r="95" spans="1:4" x14ac:dyDescent="0.2">
      <c r="A95" s="165" t="s">
        <v>548</v>
      </c>
      <c r="B95" s="170">
        <v>2080</v>
      </c>
      <c r="C95" s="54"/>
      <c r="D95" s="54"/>
    </row>
    <row r="96" spans="1:4" x14ac:dyDescent="0.2">
      <c r="A96" s="165" t="s">
        <v>549</v>
      </c>
      <c r="B96" s="170">
        <v>2082</v>
      </c>
      <c r="C96" s="54"/>
      <c r="D96" s="54"/>
    </row>
    <row r="97" spans="1:4" x14ac:dyDescent="0.2">
      <c r="A97" s="165" t="s">
        <v>550</v>
      </c>
      <c r="B97" s="170">
        <v>2090</v>
      </c>
      <c r="C97" s="54"/>
      <c r="D97" s="54"/>
    </row>
    <row r="98" spans="1:4" x14ac:dyDescent="0.2">
      <c r="A98" s="165" t="s">
        <v>551</v>
      </c>
      <c r="B98" s="170">
        <v>2110</v>
      </c>
      <c r="C98" s="54"/>
      <c r="D98" s="54"/>
    </row>
    <row r="99" spans="1:4" x14ac:dyDescent="0.2">
      <c r="A99" s="165" t="s">
        <v>552</v>
      </c>
      <c r="B99" s="170">
        <v>2111</v>
      </c>
      <c r="C99" s="54"/>
      <c r="D99" s="54"/>
    </row>
    <row r="100" spans="1:4" x14ac:dyDescent="0.2">
      <c r="A100" s="165" t="s">
        <v>553</v>
      </c>
      <c r="B100" s="170">
        <v>2120</v>
      </c>
      <c r="C100" s="54"/>
      <c r="D100" s="54"/>
    </row>
    <row r="101" spans="1:4" x14ac:dyDescent="0.2">
      <c r="A101" s="165" t="s">
        <v>554</v>
      </c>
      <c r="B101" s="170">
        <v>2121</v>
      </c>
      <c r="C101" s="54"/>
      <c r="D101" s="54"/>
    </row>
    <row r="102" spans="1:4" x14ac:dyDescent="0.2">
      <c r="A102" s="165" t="s">
        <v>555</v>
      </c>
      <c r="B102" s="170">
        <v>2130</v>
      </c>
      <c r="C102" s="54"/>
      <c r="D102" s="54"/>
    </row>
    <row r="103" spans="1:4" x14ac:dyDescent="0.2">
      <c r="A103" s="165" t="s">
        <v>556</v>
      </c>
      <c r="B103" s="170">
        <v>2131</v>
      </c>
      <c r="C103" s="54"/>
      <c r="D103" s="54"/>
    </row>
    <row r="104" spans="1:4" x14ac:dyDescent="0.2">
      <c r="A104" s="165" t="s">
        <v>557</v>
      </c>
      <c r="B104" s="170">
        <v>2140</v>
      </c>
      <c r="C104" s="54"/>
      <c r="D104" s="54"/>
    </row>
    <row r="105" spans="1:4" x14ac:dyDescent="0.2">
      <c r="A105" s="165" t="s">
        <v>558</v>
      </c>
      <c r="B105" s="170">
        <v>2141</v>
      </c>
      <c r="C105" s="54"/>
      <c r="D105" s="54"/>
    </row>
    <row r="106" spans="1:4" x14ac:dyDescent="0.2">
      <c r="A106" s="165" t="s">
        <v>559</v>
      </c>
      <c r="B106" s="170">
        <v>2150</v>
      </c>
      <c r="C106" s="54"/>
      <c r="D106" s="54"/>
    </row>
    <row r="107" spans="1:4" x14ac:dyDescent="0.2">
      <c r="A107" s="165" t="s">
        <v>560</v>
      </c>
      <c r="B107" s="170">
        <v>2151</v>
      </c>
      <c r="C107" s="54"/>
      <c r="D107" s="54"/>
    </row>
    <row r="108" spans="1:4" x14ac:dyDescent="0.2">
      <c r="A108" s="165" t="s">
        <v>561</v>
      </c>
      <c r="B108" s="170">
        <v>2160</v>
      </c>
      <c r="C108" s="54"/>
      <c r="D108" s="54"/>
    </row>
    <row r="109" spans="1:4" x14ac:dyDescent="0.2">
      <c r="A109" s="165" t="s">
        <v>562</v>
      </c>
      <c r="B109" s="170">
        <v>2161</v>
      </c>
      <c r="C109" s="54"/>
      <c r="D109" s="54"/>
    </row>
    <row r="110" spans="1:4" x14ac:dyDescent="0.2">
      <c r="A110" s="171" t="s">
        <v>415</v>
      </c>
      <c r="B110" s="172">
        <v>2610</v>
      </c>
      <c r="C110" s="54"/>
      <c r="D110" s="54"/>
    </row>
    <row r="111" spans="1:4" x14ac:dyDescent="0.2">
      <c r="A111" s="171" t="s">
        <v>563</v>
      </c>
      <c r="B111" s="170">
        <v>2910</v>
      </c>
      <c r="C111" s="54"/>
      <c r="D111" s="54"/>
    </row>
    <row r="112" spans="1:4" x14ac:dyDescent="0.2">
      <c r="A112" s="168" t="s">
        <v>150</v>
      </c>
      <c r="B112" s="170">
        <v>3110</v>
      </c>
      <c r="C112" s="54"/>
      <c r="D112" s="54"/>
    </row>
    <row r="113" spans="1:4" x14ac:dyDescent="0.2">
      <c r="A113" s="168" t="s">
        <v>564</v>
      </c>
      <c r="B113" s="172">
        <v>3120</v>
      </c>
      <c r="C113" s="54"/>
      <c r="D113" s="54"/>
    </row>
    <row r="114" spans="1:4" x14ac:dyDescent="0.2">
      <c r="A114" s="168" t="s">
        <v>565</v>
      </c>
      <c r="B114" s="172">
        <v>3130</v>
      </c>
      <c r="C114" s="54"/>
      <c r="D114" s="54"/>
    </row>
    <row r="115" spans="1:4" x14ac:dyDescent="0.2">
      <c r="A115" s="168" t="s">
        <v>154</v>
      </c>
      <c r="B115" s="172">
        <v>3210</v>
      </c>
      <c r="C115" s="54"/>
      <c r="D115" s="54"/>
    </row>
    <row r="116" spans="1:4" x14ac:dyDescent="0.2">
      <c r="A116" s="168" t="s">
        <v>155</v>
      </c>
      <c r="B116" s="172">
        <v>3220</v>
      </c>
      <c r="C116" s="54"/>
      <c r="D116" s="54"/>
    </row>
    <row r="117" spans="1:4" x14ac:dyDescent="0.2">
      <c r="A117" s="168" t="s">
        <v>156</v>
      </c>
      <c r="B117" s="172">
        <v>3230</v>
      </c>
      <c r="C117" s="54"/>
      <c r="D117" s="54"/>
    </row>
    <row r="118" spans="1:4" x14ac:dyDescent="0.2">
      <c r="A118" s="168" t="s">
        <v>157</v>
      </c>
      <c r="B118" s="172">
        <v>3240</v>
      </c>
      <c r="C118" s="54"/>
      <c r="D118" s="54"/>
    </row>
    <row r="119" spans="1:4" x14ac:dyDescent="0.2">
      <c r="A119" s="168" t="s">
        <v>158</v>
      </c>
      <c r="B119" s="172">
        <v>3250</v>
      </c>
      <c r="C119" s="54"/>
      <c r="D119" s="54"/>
    </row>
    <row r="120" spans="1:4" x14ac:dyDescent="0.2">
      <c r="A120" s="168" t="s">
        <v>159</v>
      </c>
      <c r="B120" s="172">
        <v>3260</v>
      </c>
      <c r="C120" s="54"/>
      <c r="D120" s="54"/>
    </row>
    <row r="121" spans="1:4" x14ac:dyDescent="0.2">
      <c r="A121" s="168" t="s">
        <v>161</v>
      </c>
      <c r="B121" s="172">
        <v>3310</v>
      </c>
      <c r="C121" s="54"/>
      <c r="D121" s="54"/>
    </row>
    <row r="122" spans="1:4" x14ac:dyDescent="0.2">
      <c r="A122" s="168" t="s">
        <v>162</v>
      </c>
      <c r="B122" s="172">
        <v>3311</v>
      </c>
      <c r="C122" s="54"/>
      <c r="D122" s="54"/>
    </row>
    <row r="123" spans="1:4" x14ac:dyDescent="0.2">
      <c r="A123" s="165" t="s">
        <v>566</v>
      </c>
      <c r="B123" s="170">
        <v>3312</v>
      </c>
      <c r="C123" s="54"/>
      <c r="D123" s="54"/>
    </row>
    <row r="124" spans="1:4" x14ac:dyDescent="0.2">
      <c r="A124" s="168" t="s">
        <v>163</v>
      </c>
      <c r="B124" s="172">
        <v>3313</v>
      </c>
      <c r="C124" s="54"/>
      <c r="D124" s="54"/>
    </row>
    <row r="125" spans="1:4" x14ac:dyDescent="0.2">
      <c r="A125" s="168" t="s">
        <v>164</v>
      </c>
      <c r="B125" s="172">
        <v>3314</v>
      </c>
      <c r="C125" s="54"/>
      <c r="D125" s="54"/>
    </row>
    <row r="126" spans="1:4" x14ac:dyDescent="0.2">
      <c r="A126" s="168" t="s">
        <v>165</v>
      </c>
      <c r="B126" s="172">
        <v>3320</v>
      </c>
      <c r="C126" s="54"/>
      <c r="D126" s="54"/>
    </row>
    <row r="127" spans="1:4" x14ac:dyDescent="0.2">
      <c r="A127" s="168" t="s">
        <v>166</v>
      </c>
      <c r="B127" s="172">
        <v>3330</v>
      </c>
      <c r="C127" s="54"/>
      <c r="D127" s="54"/>
    </row>
    <row r="128" spans="1:4" x14ac:dyDescent="0.2">
      <c r="A128" s="168" t="s">
        <v>167</v>
      </c>
      <c r="B128" s="172">
        <v>3340</v>
      </c>
      <c r="C128" s="54"/>
      <c r="D128" s="54"/>
    </row>
    <row r="129" spans="1:4" x14ac:dyDescent="0.2">
      <c r="A129" s="168" t="s">
        <v>168</v>
      </c>
      <c r="B129" s="172">
        <v>3350</v>
      </c>
      <c r="C129" s="54"/>
      <c r="D129" s="54"/>
    </row>
    <row r="130" spans="1:4" x14ac:dyDescent="0.2">
      <c r="A130" s="168" t="s">
        <v>169</v>
      </c>
      <c r="B130" s="172">
        <v>3360</v>
      </c>
      <c r="C130" s="54"/>
      <c r="D130" s="54"/>
    </row>
    <row r="131" spans="1:4" x14ac:dyDescent="0.2">
      <c r="A131" s="168" t="s">
        <v>160</v>
      </c>
      <c r="B131" s="172">
        <v>3370</v>
      </c>
      <c r="C131" s="54"/>
      <c r="D131" s="54"/>
    </row>
    <row r="132" spans="1:4" x14ac:dyDescent="0.2">
      <c r="A132" s="173" t="s">
        <v>171</v>
      </c>
      <c r="B132" s="172">
        <v>3380</v>
      </c>
      <c r="C132" s="54"/>
      <c r="D132" s="54"/>
    </row>
    <row r="133" spans="1:4" x14ac:dyDescent="0.2">
      <c r="A133" s="173" t="s">
        <v>567</v>
      </c>
      <c r="B133" s="172">
        <v>3390</v>
      </c>
      <c r="C133" s="54"/>
      <c r="D133" s="54"/>
    </row>
    <row r="134" spans="1:4" x14ac:dyDescent="0.2">
      <c r="A134" s="173" t="s">
        <v>568</v>
      </c>
      <c r="B134" s="172">
        <v>3410</v>
      </c>
      <c r="C134" s="54"/>
      <c r="D134" s="175"/>
    </row>
    <row r="135" spans="1:4" x14ac:dyDescent="0.2">
      <c r="A135" s="173" t="s">
        <v>569</v>
      </c>
      <c r="B135" s="172">
        <v>3420</v>
      </c>
      <c r="C135" s="54"/>
      <c r="D135" s="175"/>
    </row>
    <row r="136" spans="1:4" ht="25.5" x14ac:dyDescent="0.2">
      <c r="A136" s="165" t="s">
        <v>570</v>
      </c>
      <c r="B136" s="170">
        <v>3421</v>
      </c>
      <c r="C136" s="54"/>
      <c r="D136" s="175"/>
    </row>
    <row r="137" spans="1:4" x14ac:dyDescent="0.2">
      <c r="A137" s="173" t="s">
        <v>571</v>
      </c>
      <c r="B137" s="172">
        <v>3430</v>
      </c>
      <c r="C137" s="54"/>
      <c r="D137" s="174"/>
    </row>
    <row r="138" spans="1:4" x14ac:dyDescent="0.2">
      <c r="A138" s="168" t="s">
        <v>572</v>
      </c>
      <c r="B138" s="172">
        <v>3510</v>
      </c>
      <c r="C138" s="54"/>
      <c r="D138" s="174"/>
    </row>
    <row r="139" spans="1:4" x14ac:dyDescent="0.2">
      <c r="A139" s="168" t="s">
        <v>573</v>
      </c>
      <c r="B139" s="172">
        <v>3610</v>
      </c>
      <c r="C139" s="54"/>
      <c r="D139" s="174"/>
    </row>
    <row r="140" spans="1:4" x14ac:dyDescent="0.2">
      <c r="A140" s="303" t="s">
        <v>574</v>
      </c>
      <c r="B140" s="170">
        <v>3710</v>
      </c>
      <c r="C140" s="54"/>
      <c r="D140" s="176"/>
    </row>
    <row r="141" spans="1:4" x14ac:dyDescent="0.2">
      <c r="A141" s="303" t="s">
        <v>575</v>
      </c>
      <c r="B141" s="170">
        <v>3720</v>
      </c>
      <c r="C141" s="54"/>
      <c r="D141" s="282"/>
    </row>
    <row r="142" spans="1:4" x14ac:dyDescent="0.2">
      <c r="A142" s="304" t="s">
        <v>576</v>
      </c>
      <c r="B142" s="170">
        <v>3730</v>
      </c>
      <c r="C142" s="54"/>
      <c r="D142" s="176"/>
    </row>
    <row r="143" spans="1:4" x14ac:dyDescent="0.2">
      <c r="A143" s="300" t="s">
        <v>174</v>
      </c>
      <c r="B143" s="170">
        <v>3810</v>
      </c>
      <c r="C143" s="301">
        <f>i.04132!D10</f>
        <v>0</v>
      </c>
      <c r="D143" s="301">
        <f>i.04132!G10</f>
        <v>0</v>
      </c>
    </row>
    <row r="144" spans="1:4" x14ac:dyDescent="0.2">
      <c r="A144" s="300" t="s">
        <v>175</v>
      </c>
      <c r="B144" s="170">
        <v>3820</v>
      </c>
      <c r="C144" s="301">
        <f>i.04132!D11</f>
        <v>0</v>
      </c>
      <c r="D144" s="301">
        <f>i.04132!G11</f>
        <v>0</v>
      </c>
    </row>
    <row r="145" spans="1:4" x14ac:dyDescent="0.2">
      <c r="A145" s="300" t="s">
        <v>176</v>
      </c>
      <c r="B145" s="170">
        <v>3830</v>
      </c>
      <c r="C145" s="301">
        <f>i.04132!D12</f>
        <v>0</v>
      </c>
      <c r="D145" s="301">
        <f>i.04132!G12</f>
        <v>0</v>
      </c>
    </row>
    <row r="146" spans="1:4" x14ac:dyDescent="0.2">
      <c r="A146" s="302" t="s">
        <v>177</v>
      </c>
      <c r="B146" s="170">
        <v>3840</v>
      </c>
      <c r="C146" s="301">
        <f>i.04132!D13</f>
        <v>0</v>
      </c>
      <c r="D146" s="301">
        <f>i.04132!G13</f>
        <v>0</v>
      </c>
    </row>
    <row r="147" spans="1:4" x14ac:dyDescent="0.2">
      <c r="A147" s="165" t="s">
        <v>563</v>
      </c>
      <c r="B147" s="170">
        <v>3910</v>
      </c>
      <c r="C147" s="176"/>
      <c r="D147" s="176"/>
    </row>
    <row r="148" spans="1:4" x14ac:dyDescent="0.2">
      <c r="A148" s="165" t="s">
        <v>577</v>
      </c>
      <c r="B148" s="170">
        <v>4110</v>
      </c>
      <c r="C148" s="176"/>
      <c r="D148" s="177"/>
    </row>
    <row r="149" spans="1:4" x14ac:dyDescent="0.2">
      <c r="A149" s="165" t="s">
        <v>578</v>
      </c>
      <c r="B149" s="170">
        <v>4111</v>
      </c>
      <c r="C149" s="176"/>
      <c r="D149" s="177"/>
    </row>
    <row r="150" spans="1:4" x14ac:dyDescent="0.2">
      <c r="A150" s="165" t="s">
        <v>579</v>
      </c>
      <c r="B150" s="170">
        <v>4210</v>
      </c>
      <c r="C150" s="176"/>
      <c r="D150" s="177"/>
    </row>
    <row r="151" spans="1:4" x14ac:dyDescent="0.2">
      <c r="A151" s="165" t="s">
        <v>580</v>
      </c>
      <c r="B151" s="170">
        <v>4211</v>
      </c>
      <c r="C151" s="176"/>
      <c r="D151" s="177"/>
    </row>
    <row r="152" spans="1:4" x14ac:dyDescent="0.2">
      <c r="A152" s="165" t="s">
        <v>581</v>
      </c>
      <c r="B152" s="170">
        <v>4310</v>
      </c>
      <c r="C152" s="176"/>
      <c r="D152" s="177"/>
    </row>
    <row r="153" spans="1:4" x14ac:dyDescent="0.2">
      <c r="A153" s="165" t="s">
        <v>582</v>
      </c>
      <c r="B153" s="170">
        <v>4311</v>
      </c>
      <c r="C153" s="176"/>
      <c r="D153" s="177"/>
    </row>
    <row r="154" spans="1:4" x14ac:dyDescent="0.2">
      <c r="A154" s="168" t="s">
        <v>5</v>
      </c>
      <c r="B154" s="172">
        <v>4410</v>
      </c>
      <c r="C154" s="174"/>
      <c r="D154" s="175"/>
    </row>
    <row r="155" spans="1:4" x14ac:dyDescent="0.2">
      <c r="A155" s="168" t="s">
        <v>180</v>
      </c>
      <c r="B155" s="172">
        <v>4510</v>
      </c>
      <c r="C155" s="176"/>
      <c r="D155" s="177"/>
    </row>
    <row r="156" spans="1:4" x14ac:dyDescent="0.2">
      <c r="A156" s="168" t="s">
        <v>181</v>
      </c>
      <c r="B156" s="172">
        <v>4610</v>
      </c>
      <c r="C156" s="176"/>
      <c r="D156" s="299">
        <f>i.04103!J23</f>
        <v>0</v>
      </c>
    </row>
    <row r="157" spans="1:4" x14ac:dyDescent="0.2">
      <c r="A157" s="165" t="s">
        <v>583</v>
      </c>
      <c r="B157" s="170">
        <v>4710</v>
      </c>
      <c r="C157" s="176"/>
      <c r="D157" s="177"/>
    </row>
    <row r="158" spans="1:4" x14ac:dyDescent="0.2">
      <c r="A158" s="165" t="s">
        <v>584</v>
      </c>
      <c r="B158" s="170">
        <v>4711</v>
      </c>
      <c r="C158" s="176"/>
      <c r="D158" s="177"/>
    </row>
    <row r="159" spans="1:4" x14ac:dyDescent="0.2">
      <c r="A159" s="165" t="s">
        <v>585</v>
      </c>
      <c r="B159" s="170">
        <v>4712</v>
      </c>
      <c r="C159" s="176"/>
      <c r="D159" s="177"/>
    </row>
    <row r="160" spans="1:4" x14ac:dyDescent="0.2">
      <c r="A160" s="168" t="s">
        <v>7</v>
      </c>
      <c r="B160" s="172">
        <v>4713</v>
      </c>
      <c r="C160" s="176"/>
      <c r="D160" s="177"/>
    </row>
    <row r="161" spans="1:4" x14ac:dyDescent="0.2">
      <c r="A161" s="165" t="s">
        <v>216</v>
      </c>
      <c r="B161" s="170">
        <v>4714</v>
      </c>
      <c r="C161" s="176"/>
      <c r="D161" s="177"/>
    </row>
    <row r="162" spans="1:4" x14ac:dyDescent="0.2">
      <c r="A162" s="168" t="s">
        <v>130</v>
      </c>
      <c r="B162" s="172">
        <v>127001</v>
      </c>
      <c r="C162" s="176"/>
      <c r="D162" s="177"/>
    </row>
    <row r="163" spans="1:4" x14ac:dyDescent="0.2">
      <c r="A163" s="168" t="s">
        <v>170</v>
      </c>
      <c r="B163" s="172">
        <v>332004</v>
      </c>
      <c r="C163" s="176"/>
      <c r="D163" s="177"/>
    </row>
    <row r="164" spans="1:4" x14ac:dyDescent="0.2">
      <c r="A164" s="161" t="s">
        <v>146</v>
      </c>
      <c r="B164" s="162"/>
      <c r="C164" s="178">
        <f>(C9+C10+C11++C12+C13+C14+C15+C16+C17+C18+C19+C20+C21+C22+C23+C24+C25+C26+C27+C28+C29+C30-C31+C32-C33+C34-C35+C36-C37+C38-C39+C40-C41+C42+C43+C44+C45+C46+C47+C48+C49+C50+C51+C52+C53+C54+C55+C56-C57+C58-C59+C60+C61+C62-C63+C64+C65+C66+C67+C68+C69+C70+C71+C72+C73+C74+C75+C76+C77+C78+C79+C80+C81-C82+C83-C84+C85-C86+C87-C88+C89-C90+C91-C92+C93-C94+C95-C96+C97+C98-C99+C100-C101+C102-C103+C104-C105+C106-C107+C108-C109+C110+C111)</f>
        <v>0</v>
      </c>
      <c r="D164" s="178">
        <f>(D9+D10+D11++D12+D13+D14+D15+D16+D17+D18+D19+D20+D21+D22+D23+D24+D25+D26+D27+D28+D29+D30-D31+D32-D33+D34-D35+D36-D37+D38-D39+D40-D41+D42+D43+D44+D45+D46+D47+D48+D49+D50+D51+D52+D53+D54+D55+D56-D57+D58-D59+D60+D61+D62-D63+D64+D65+D66+D67+D68+D69+D70+D71+D72+D73+D74+D75+D76+D77+D78+D79+D80+D81-D82+D83-D84+D85-D86+D87-D88+D89-D90+D91-D92+D93-D94+D95-D96+D97+D98-D99+D100-D101+D102-D103+D104-D105+D106-D107+D108-D109+D110+D111)</f>
        <v>0</v>
      </c>
    </row>
    <row r="165" spans="1:4" x14ac:dyDescent="0.2">
      <c r="A165" s="161" t="s">
        <v>586</v>
      </c>
      <c r="B165" s="162"/>
      <c r="C165" s="179">
        <f>+C112+C113+C114+C115+C116+C117+C118+C119+C120+C121+C122+C123+C124+C125+C126+C127+C128+C129+C130+C131+C132+C133+C134+C135+C136+C137+C138+C139+C147+C148+C149+C150+C151+C152+C153+C154+C155+C156+C157+C158+C159+C160+C161+C163+SUM(C140:C146)</f>
        <v>0</v>
      </c>
      <c r="D165" s="179">
        <f>D112+D113+D114+D115+D116+D117+D118+D119+D120+D121+D122+D123+D124+D125+D126+D127+D128+D129+D130+D131+D132+D133+D134+D135+D136+D137+D138+D139+D147+D148+D149+D150+D151+D152+D153+D154+D155+D156+D157+D158+D159+D160+D161+D163</f>
        <v>0</v>
      </c>
    </row>
    <row r="166" spans="1:4" x14ac:dyDescent="0.2">
      <c r="A166" s="180"/>
      <c r="B166" s="181"/>
      <c r="C166" s="182" t="str">
        <f>IF(C164=C165,"","ТЭНЦЛИЙН ДҮН ЗӨРҮҮТЭЙ БАЙНА:")</f>
        <v/>
      </c>
      <c r="D166" s="182" t="str">
        <f>IF(D164=D165,"","ТЭНЦЛИЙН ДҮН ЗӨРҮҮТЭЙ БАЙНА:")</f>
        <v/>
      </c>
    </row>
    <row r="167" spans="1:4" x14ac:dyDescent="0.2">
      <c r="A167" s="180"/>
      <c r="B167" s="182"/>
      <c r="C167" s="183">
        <f>+C164-C165</f>
        <v>0</v>
      </c>
      <c r="D167" s="183">
        <f>+D164-D165</f>
        <v>0</v>
      </c>
    </row>
    <row r="168" spans="1:4" x14ac:dyDescent="0.2">
      <c r="A168" s="2" t="s">
        <v>285</v>
      </c>
      <c r="B168" s="394"/>
      <c r="C168" s="4"/>
      <c r="D168" s="4"/>
    </row>
    <row r="169" spans="1:4" x14ac:dyDescent="0.2">
      <c r="A169" s="5"/>
      <c r="B169" s="394"/>
      <c r="C169" s="4"/>
      <c r="D169" s="4"/>
    </row>
    <row r="170" spans="1:4" x14ac:dyDescent="0.2">
      <c r="A170" s="5" t="s">
        <v>286</v>
      </c>
      <c r="B170" s="394"/>
      <c r="C170" s="4"/>
      <c r="D170" s="4"/>
    </row>
    <row r="171" spans="1:4" x14ac:dyDescent="0.2">
      <c r="A171" s="5"/>
      <c r="B171" s="394"/>
      <c r="C171" s="4"/>
      <c r="D171" s="4"/>
    </row>
    <row r="172" spans="1:4" x14ac:dyDescent="0.2">
      <c r="A172" s="6" t="s">
        <v>287</v>
      </c>
      <c r="B172" s="576" t="s">
        <v>288</v>
      </c>
      <c r="C172" s="576"/>
      <c r="D172" s="4" t="s">
        <v>289</v>
      </c>
    </row>
    <row r="173" spans="1:4" x14ac:dyDescent="0.2">
      <c r="A173" s="5"/>
      <c r="B173" s="576"/>
      <c r="C173" s="576"/>
      <c r="D173" s="4"/>
    </row>
    <row r="174" spans="1:4" x14ac:dyDescent="0.2">
      <c r="A174" s="6" t="s">
        <v>290</v>
      </c>
      <c r="B174" s="576" t="s">
        <v>291</v>
      </c>
      <c r="C174" s="576"/>
      <c r="D174" s="4" t="s">
        <v>292</v>
      </c>
    </row>
    <row r="175" spans="1:4" x14ac:dyDescent="0.2">
      <c r="A175" s="5"/>
      <c r="B175" s="576"/>
      <c r="C175" s="576"/>
      <c r="D175" s="4"/>
    </row>
    <row r="176" spans="1:4" x14ac:dyDescent="0.2">
      <c r="A176" s="6" t="s">
        <v>293</v>
      </c>
      <c r="B176" s="576" t="s">
        <v>288</v>
      </c>
      <c r="C176" s="576"/>
      <c r="D176" s="4" t="s">
        <v>292</v>
      </c>
    </row>
    <row r="177" spans="1:4" x14ac:dyDescent="0.2">
      <c r="A177" s="5"/>
      <c r="B177" s="576"/>
      <c r="C177" s="576"/>
      <c r="D177" s="4"/>
    </row>
  </sheetData>
  <sheetProtection password="CA9F" sheet="1" objects="1" scenarios="1"/>
  <mergeCells count="9">
    <mergeCell ref="B175:C175"/>
    <mergeCell ref="B176:C176"/>
    <mergeCell ref="B177:C177"/>
    <mergeCell ref="A3:D3"/>
    <mergeCell ref="A5:B5"/>
    <mergeCell ref="C5:D5"/>
    <mergeCell ref="B172:C172"/>
    <mergeCell ref="B173:C173"/>
    <mergeCell ref="B174:C174"/>
  </mergeCells>
  <dataValidations count="2">
    <dataValidation type="whole" allowBlank="1" showInputMessage="1" showErrorMessage="1" sqref="A6 C6:D6 B6:B7 B9:B165" xr:uid="{4F730629-F882-4BA7-9372-1FB9E3AB0D78}">
      <formula1>1</formula1>
      <formula2>100000000000</formula2>
    </dataValidation>
    <dataValidation type="decimal" allowBlank="1" showInputMessage="1" showErrorMessage="1" sqref="D142:D163 D9:D140 C9:C163" xr:uid="{DBB5E74F-B056-4A91-9FD2-F850E9E9481E}">
      <formula1>0</formula1>
      <formula2>1E+39</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i.04103</vt:lpstr>
      <vt:lpstr>i.04104</vt:lpstr>
      <vt:lpstr>i.04105</vt:lpstr>
      <vt:lpstr>i.04106</vt:lpstr>
      <vt:lpstr>i.04116</vt:lpstr>
      <vt:lpstr>i.04117</vt:lpstr>
      <vt:lpstr>i.04118a</vt:lpstr>
      <vt:lpstr>i.04118b</vt:lpstr>
      <vt:lpstr>i.04130a</vt:lpstr>
      <vt:lpstr>i.04130</vt:lpstr>
      <vt:lpstr>i.04131a</vt:lpstr>
      <vt:lpstr>i.04131</vt:lpstr>
      <vt:lpstr>i.04132</vt:lpstr>
      <vt:lpstr>i.04133</vt:lpstr>
      <vt:lpstr>i.04151</vt:lpstr>
      <vt:lpstr>i.04152</vt:lpstr>
      <vt:lpstr>i.04153a</vt:lpstr>
      <vt:lpstr>i.04154</vt:lpstr>
      <vt:lpstr>i.04144a</vt:lpstr>
      <vt:lpstr>i.04144</vt:lpstr>
      <vt:lpstr>i.04145</vt:lpstr>
      <vt:lpstr>i.04148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WIN-IT83A5RRLDP$</dc:creator>
  <dc:description/>
  <cp:lastModifiedBy>Bilguun_ch</cp:lastModifiedBy>
  <cp:revision>1</cp:revision>
  <dcterms:created xsi:type="dcterms:W3CDTF">2020-09-21T10:10:43Z</dcterms:created>
  <dcterms:modified xsi:type="dcterms:W3CDTF">2021-04-19T02:16:19Z</dcterms:modified>
  <dc:language>en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