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07214349-6C03-428F-BE10-77565512BEEB}"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120" yWindow="-120" windowWidth="29040" windowHeight="15840"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0" i="28" l="1"/>
  <c r="C15" i="28"/>
  <c r="C22" i="28"/>
  <c r="C23" i="28"/>
  <c r="C24" i="28"/>
  <c r="C25" i="28"/>
  <c r="C21" i="28"/>
  <c r="C17" i="28"/>
  <c r="C18" i="28"/>
  <c r="C19" i="28"/>
  <c r="C16" i="28"/>
  <c r="C12" i="28"/>
  <c r="K19" i="29"/>
  <c r="K20" i="29"/>
  <c r="K21" i="29"/>
  <c r="C10" i="1"/>
  <c r="C26" i="28" s="1"/>
  <c r="A7" i="27"/>
  <c r="A3" i="27"/>
  <c r="B7"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K22" i="29" l="1"/>
  <c r="O22" i="29" s="1"/>
  <c r="J22" i="29"/>
  <c r="B20" i="28"/>
  <c r="B15" i="28"/>
  <c r="L26" i="28"/>
  <c r="L12" i="28" l="1"/>
  <c r="C13" i="28"/>
  <c r="L13" i="28" s="1"/>
  <c r="L15" i="28"/>
  <c r="L16" i="28"/>
  <c r="L17" i="28"/>
  <c r="L19" i="28"/>
  <c r="L20" i="28"/>
  <c r="L21" i="28"/>
  <c r="L22" i="28"/>
  <c r="L24" i="28"/>
  <c r="L25" i="28"/>
  <c r="D42" i="1"/>
  <c r="A7" i="28"/>
  <c r="A3" i="28"/>
  <c r="A7"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B74" i="13" s="1"/>
  <c r="C66" i="13"/>
  <c r="C74" i="13" s="1"/>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H9" i="13"/>
  <c r="H73" i="13" s="1"/>
  <c r="I9" i="13"/>
  <c r="I71" i="13" s="1"/>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C114" i="3" s="1"/>
  <c r="C113" i="3" s="1"/>
  <c r="D242" i="2"/>
  <c r="D241" i="2" s="1"/>
  <c r="D236" i="2"/>
  <c r="D231" i="2"/>
  <c r="D230" i="2" s="1"/>
  <c r="C111" i="3" s="1"/>
  <c r="D222" i="2"/>
  <c r="C110" i="3" s="1"/>
  <c r="D220" i="2"/>
  <c r="C109" i="3" s="1"/>
  <c r="D214" i="2"/>
  <c r="D211" i="2"/>
  <c r="H207" i="2"/>
  <c r="E132" i="4" s="1"/>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C64" i="3" s="1"/>
  <c r="F15" i="8" s="1"/>
  <c r="D150" i="2"/>
  <c r="H149" i="2"/>
  <c r="G97" i="3" s="1"/>
  <c r="D23" i="5" s="1"/>
  <c r="D147" i="2"/>
  <c r="H144" i="2"/>
  <c r="D144" i="2"/>
  <c r="H141" i="2"/>
  <c r="D140" i="2"/>
  <c r="H137" i="2"/>
  <c r="D137" i="2"/>
  <c r="D134" i="2"/>
  <c r="H127" i="2"/>
  <c r="D126" i="2"/>
  <c r="C46" i="3" s="1"/>
  <c r="H122" i="2"/>
  <c r="H121" i="2" s="1"/>
  <c r="G81" i="3" s="1"/>
  <c r="D118" i="2"/>
  <c r="C39" i="3" s="1"/>
  <c r="H113" i="2"/>
  <c r="G80" i="3" s="1"/>
  <c r="D110" i="2"/>
  <c r="C45" i="3" s="1"/>
  <c r="H106" i="2"/>
  <c r="H102" i="2"/>
  <c r="D102" i="2"/>
  <c r="C38" i="3" s="1"/>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s="1"/>
  <c r="D23" i="2"/>
  <c r="H20" i="2"/>
  <c r="D18" i="2"/>
  <c r="H17" i="2"/>
  <c r="H16" i="2" s="1"/>
  <c r="H11" i="2"/>
  <c r="D11" i="2"/>
  <c r="C11" i="3" s="1"/>
  <c r="C8" i="23" s="1"/>
  <c r="G7" i="3"/>
  <c r="D10" i="1"/>
  <c r="M28" i="24"/>
  <c r="L28" i="24"/>
  <c r="E28" i="24"/>
  <c r="A9" i="24"/>
  <c r="A4" i="24"/>
  <c r="J24" i="23"/>
  <c r="I24" i="23"/>
  <c r="H24" i="23"/>
  <c r="G24" i="23"/>
  <c r="F24" i="23"/>
  <c r="E24" i="23"/>
  <c r="D24" i="23"/>
  <c r="C24" i="23"/>
  <c r="K23" i="23"/>
  <c r="K22" i="23"/>
  <c r="K21" i="23"/>
  <c r="K20" i="23"/>
  <c r="K19" i="23"/>
  <c r="K18" i="23"/>
  <c r="J16" i="23"/>
  <c r="J25" i="23" s="1"/>
  <c r="I16" i="23"/>
  <c r="H16" i="23"/>
  <c r="G16" i="23"/>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s="1"/>
  <c r="G23" i="22"/>
  <c r="G28" i="22"/>
  <c r="F23" i="22"/>
  <c r="F28" i="22"/>
  <c r="E23" i="22"/>
  <c r="E28" i="22" s="1"/>
  <c r="D23" i="22"/>
  <c r="D28" i="22" s="1"/>
  <c r="C23" i="22"/>
  <c r="C28" i="22" s="1"/>
  <c r="M22" i="22"/>
  <c r="M21" i="22"/>
  <c r="M20" i="22"/>
  <c r="M19" i="22"/>
  <c r="M17" i="22"/>
  <c r="K16" i="22"/>
  <c r="J16" i="22"/>
  <c r="I16" i="22"/>
  <c r="H16" i="22"/>
  <c r="G16" i="22"/>
  <c r="F16" i="22"/>
  <c r="E16" i="22"/>
  <c r="D16" i="22"/>
  <c r="C16" i="22"/>
  <c r="M15" i="22"/>
  <c r="M14" i="22"/>
  <c r="M13" i="22"/>
  <c r="K9" i="22"/>
  <c r="J9" i="22"/>
  <c r="J27" i="22" s="1"/>
  <c r="I9" i="22"/>
  <c r="H9" i="22"/>
  <c r="G9" i="22"/>
  <c r="F9" i="22"/>
  <c r="F27" i="22" s="1"/>
  <c r="E9" i="22"/>
  <c r="D9" i="22"/>
  <c r="C9" i="22"/>
  <c r="C27" i="22" s="1"/>
  <c r="A4" i="22"/>
  <c r="C19" i="1"/>
  <c r="C28" i="1"/>
  <c r="L23" i="28" s="1"/>
  <c r="N60" i="13"/>
  <c r="M60" i="13"/>
  <c r="M73" i="13" s="1"/>
  <c r="L60" i="13"/>
  <c r="L73" i="13" s="1"/>
  <c r="K60" i="13"/>
  <c r="I60" i="13"/>
  <c r="H60" i="13"/>
  <c r="G60" i="13"/>
  <c r="E60" i="13"/>
  <c r="C60" i="13"/>
  <c r="C73" i="13" s="1"/>
  <c r="E51" i="13"/>
  <c r="G51" i="13"/>
  <c r="H51" i="13"/>
  <c r="D51" i="13"/>
  <c r="F51" i="13" s="1"/>
  <c r="C23" i="1"/>
  <c r="L18" i="28" s="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I74" i="13" s="1"/>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H28" i="15" s="1"/>
  <c r="D22" i="20" s="1"/>
  <c r="E22" i="20" s="1"/>
  <c r="L28" i="12"/>
  <c r="D28" i="12"/>
  <c r="A4" i="8"/>
  <c r="A3" i="5"/>
  <c r="A4" i="5"/>
  <c r="C44" i="8"/>
  <c r="E44" i="8" s="1"/>
  <c r="C43" i="8"/>
  <c r="E43" i="8" s="1"/>
  <c r="C42" i="8"/>
  <c r="E42" i="8"/>
  <c r="C41" i="8"/>
  <c r="E41" i="8" s="1"/>
  <c r="C39" i="8"/>
  <c r="E39" i="8" s="1"/>
  <c r="C38" i="8"/>
  <c r="E38" i="8" s="1"/>
  <c r="A4" i="6"/>
  <c r="D24" i="6"/>
  <c r="E24" i="6" s="1"/>
  <c r="D23" i="6"/>
  <c r="D22" i="6"/>
  <c r="D21" i="6"/>
  <c r="D20" i="6"/>
  <c r="D19" i="6"/>
  <c r="D18" i="6"/>
  <c r="D17" i="6"/>
  <c r="D11" i="6"/>
  <c r="D10" i="6"/>
  <c r="D9" i="6"/>
  <c r="C24" i="6"/>
  <c r="C23" i="6"/>
  <c r="C22" i="6"/>
  <c r="C21" i="6"/>
  <c r="E21" i="6" s="1"/>
  <c r="C20" i="6"/>
  <c r="E20" i="6"/>
  <c r="C19" i="6"/>
  <c r="E19" i="6" s="1"/>
  <c r="C18" i="6"/>
  <c r="C17" i="6"/>
  <c r="C13" i="6"/>
  <c r="E13" i="6" s="1"/>
  <c r="C12" i="6"/>
  <c r="E12" i="6" s="1"/>
  <c r="C11" i="6"/>
  <c r="C10" i="6"/>
  <c r="C9" i="6"/>
  <c r="C7" i="3"/>
  <c r="C20" i="3"/>
  <c r="D45" i="5"/>
  <c r="E45" i="5" s="1"/>
  <c r="E44" i="5" s="1"/>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5" i="3"/>
  <c r="G74" i="3" s="1"/>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0" i="3" s="1"/>
  <c r="G21" i="3"/>
  <c r="G19" i="3"/>
  <c r="G18" i="3"/>
  <c r="G17" i="3"/>
  <c r="G16" i="3" s="1"/>
  <c r="G13" i="3"/>
  <c r="G12" i="3"/>
  <c r="C108" i="3"/>
  <c r="C107" i="3"/>
  <c r="C106" i="3"/>
  <c r="C33" i="8" s="1"/>
  <c r="C104" i="3"/>
  <c r="C103" i="3"/>
  <c r="C30" i="8" s="1"/>
  <c r="E30" i="8" s="1"/>
  <c r="C101" i="3"/>
  <c r="C35" i="8" s="1"/>
  <c r="E35" i="8" s="1"/>
  <c r="C100" i="3"/>
  <c r="C98" i="3" s="1"/>
  <c r="C99" i="3"/>
  <c r="C97" i="3"/>
  <c r="C96" i="3"/>
  <c r="C88" i="3"/>
  <c r="C81" i="3"/>
  <c r="F22" i="8" s="1"/>
  <c r="C80" i="3"/>
  <c r="C28" i="8" s="1"/>
  <c r="E28" i="8" s="1"/>
  <c r="C79" i="3"/>
  <c r="C78" i="3"/>
  <c r="C76" i="3"/>
  <c r="C24" i="8" s="1"/>
  <c r="C75" i="3"/>
  <c r="C73" i="3"/>
  <c r="C72" i="3"/>
  <c r="C71" i="3"/>
  <c r="C69" i="3"/>
  <c r="C68" i="3"/>
  <c r="C63" i="3"/>
  <c r="C62" i="3"/>
  <c r="C61" i="3"/>
  <c r="C59" i="3"/>
  <c r="C58" i="3"/>
  <c r="C56" i="3"/>
  <c r="C55" i="3"/>
  <c r="C54" i="3"/>
  <c r="C52" i="3"/>
  <c r="C51" i="3"/>
  <c r="C30" i="3"/>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6" i="19"/>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J16" i="13"/>
  <c r="R16" i="13" s="1"/>
  <c r="B9" i="13"/>
  <c r="B73" i="13" s="1"/>
  <c r="J62" i="13"/>
  <c r="R62" i="13" s="1"/>
  <c r="D13" i="5"/>
  <c r="D43" i="22"/>
  <c r="D86" i="13"/>
  <c r="B53" i="8"/>
  <c r="B30" i="13"/>
  <c r="B71" i="13" s="1"/>
  <c r="J31" i="13"/>
  <c r="R31" i="13" s="1"/>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s="1"/>
  <c r="D20" i="5"/>
  <c r="E9" i="6"/>
  <c r="G53" i="3"/>
  <c r="E25" i="4"/>
  <c r="H185" i="2"/>
  <c r="A3" i="19"/>
  <c r="A3" i="18"/>
  <c r="A3" i="13"/>
  <c r="A3" i="6"/>
  <c r="A3" i="24"/>
  <c r="E124" i="4"/>
  <c r="K73" i="13"/>
  <c r="F29" i="8"/>
  <c r="D42" i="5" l="1"/>
  <c r="E42" i="5" s="1"/>
  <c r="C112" i="3"/>
  <c r="E18" i="6"/>
  <c r="C40" i="8"/>
  <c r="C37" i="8" s="1"/>
  <c r="K24" i="23"/>
  <c r="G73" i="13"/>
  <c r="C8" i="6"/>
  <c r="D39" i="16"/>
  <c r="I11" i="19"/>
  <c r="I21" i="19" s="1"/>
  <c r="E50" i="4"/>
  <c r="I73" i="13"/>
  <c r="B13" i="28"/>
  <c r="E53" i="4"/>
  <c r="E67" i="4"/>
  <c r="L17" i="14"/>
  <c r="I27" i="22"/>
  <c r="I26" i="22" s="1"/>
  <c r="J26" i="22"/>
  <c r="B4" i="30"/>
  <c r="A4" i="28"/>
  <c r="A4" i="29"/>
  <c r="J66" i="13"/>
  <c r="C26" i="8"/>
  <c r="E26" i="8" s="1"/>
  <c r="E25" i="8" s="1"/>
  <c r="E22" i="8" s="1"/>
  <c r="G22" i="8" s="1"/>
  <c r="C31" i="8"/>
  <c r="C29" i="8" s="1"/>
  <c r="E22" i="6"/>
  <c r="B12" i="28"/>
  <c r="C127" i="3"/>
  <c r="C20" i="8"/>
  <c r="E20" i="8" s="1"/>
  <c r="C70" i="3"/>
  <c r="C67" i="3" s="1"/>
  <c r="H25" i="23"/>
  <c r="E38" i="15"/>
  <c r="B38" i="6"/>
  <c r="D88" i="13"/>
  <c r="C95" i="3"/>
  <c r="C16" i="1"/>
  <c r="C11" i="28" s="1"/>
  <c r="L11" i="28" s="1"/>
  <c r="C14" i="28"/>
  <c r="L14" i="28" s="1"/>
  <c r="D37" i="5"/>
  <c r="E37" i="5" s="1"/>
  <c r="E39" i="12"/>
  <c r="G87" i="3"/>
  <c r="C23" i="8"/>
  <c r="E23" i="8" s="1"/>
  <c r="E39" i="4"/>
  <c r="G25" i="23"/>
  <c r="C27" i="8"/>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C102" i="3" s="1"/>
  <c r="C94" i="3" s="1"/>
  <c r="G66" i="3"/>
  <c r="G56" i="3" s="1"/>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0" i="3"/>
  <c r="E23" i="6"/>
  <c r="M18" i="22"/>
  <c r="M16" i="22" s="1"/>
  <c r="H44" i="2"/>
  <c r="H15" i="2"/>
  <c r="G15" i="3"/>
  <c r="H37" i="2"/>
  <c r="G29" i="3"/>
  <c r="D14" i="6"/>
  <c r="D27" i="6" s="1"/>
  <c r="D28" i="6" s="1"/>
  <c r="C32" i="8"/>
  <c r="D187" i="2"/>
  <c r="D162" i="2"/>
  <c r="D155" i="2" s="1"/>
  <c r="C77" i="3"/>
  <c r="C74" i="3" s="1"/>
  <c r="C60" i="3"/>
  <c r="C57" i="3" s="1"/>
  <c r="C17" i="8"/>
  <c r="E17" i="8" s="1"/>
  <c r="C43" i="3"/>
  <c r="C40" i="3" s="1"/>
  <c r="D52" i="2"/>
  <c r="M12" i="22"/>
  <c r="M9" i="22" s="1"/>
  <c r="C10" i="3"/>
  <c r="D10" i="2"/>
  <c r="E11" i="6"/>
  <c r="D8" i="6"/>
  <c r="D23" i="1"/>
  <c r="F9" i="13"/>
  <c r="F71" i="13" s="1"/>
  <c r="G71" i="13"/>
  <c r="C9" i="8"/>
  <c r="E9" i="8" s="1"/>
  <c r="G75" i="13"/>
  <c r="J9" i="13"/>
  <c r="D16" i="1"/>
  <c r="G70" i="3"/>
  <c r="E61" i="4"/>
  <c r="C82" i="3"/>
  <c r="E33" i="8"/>
  <c r="C19" i="8"/>
  <c r="C53" i="3"/>
  <c r="G39" i="3"/>
  <c r="B30" i="28" s="1"/>
  <c r="H79" i="2"/>
  <c r="H78" i="2" s="1"/>
  <c r="I78" i="2" s="1"/>
  <c r="C12" i="8"/>
  <c r="C36" i="3"/>
  <c r="B14" i="28" s="1"/>
  <c r="G44" i="3"/>
  <c r="G91" i="3"/>
  <c r="E47" i="4"/>
  <c r="M27" i="18"/>
  <c r="H132" i="2"/>
  <c r="D17" i="20" s="1"/>
  <c r="E17" i="20" s="1"/>
  <c r="J30" i="13"/>
  <c r="D143" i="2"/>
  <c r="D136" i="2" s="1"/>
  <c r="E38" i="18"/>
  <c r="C46" i="14"/>
  <c r="B45" i="20"/>
  <c r="H62" i="21"/>
  <c r="C152" i="4"/>
  <c r="D39" i="23"/>
  <c r="E40" i="17"/>
  <c r="B55" i="8"/>
  <c r="E37" i="8"/>
  <c r="G37" i="8" s="1"/>
  <c r="D26" i="22"/>
  <c r="C16" i="8"/>
  <c r="C14" i="6"/>
  <c r="C27" i="6" s="1"/>
  <c r="C28" i="6" s="1"/>
  <c r="F26" i="22"/>
  <c r="E24" i="8"/>
  <c r="D35" i="5"/>
  <c r="E35" i="5" s="1"/>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H74" i="13"/>
  <c r="K27" i="22"/>
  <c r="K26" i="22" s="1"/>
  <c r="D19" i="5"/>
  <c r="L71" i="13"/>
  <c r="L75" i="13" s="1"/>
  <c r="A3" i="3"/>
  <c r="A3" i="17"/>
  <c r="A3" i="22"/>
  <c r="A3" i="20"/>
  <c r="A3" i="23"/>
  <c r="A3" i="8"/>
  <c r="A3" i="4"/>
  <c r="A3" i="12"/>
  <c r="E9" i="4"/>
  <c r="D73" i="13"/>
  <c r="E117" i="4"/>
  <c r="B29" i="28" l="1"/>
  <c r="B28" i="28"/>
  <c r="J73" i="13"/>
  <c r="G10" i="3"/>
  <c r="C36" i="8"/>
  <c r="E36" i="8" s="1"/>
  <c r="J74" i="13"/>
  <c r="E32" i="8"/>
  <c r="E8" i="6"/>
  <c r="G24" i="3"/>
  <c r="G14" i="3" s="1"/>
  <c r="L19" i="23" s="1"/>
  <c r="H14" i="2"/>
  <c r="I14" i="2" s="1"/>
  <c r="M23" i="22"/>
  <c r="M28" i="22" s="1"/>
  <c r="L28" i="22" s="1"/>
  <c r="C26" i="23"/>
  <c r="H26" i="23"/>
  <c r="D26" i="23"/>
  <c r="E26" i="23"/>
  <c r="F26" i="23"/>
  <c r="G26" i="23"/>
  <c r="J26" i="23"/>
  <c r="E14" i="6"/>
  <c r="E27" i="6" s="1"/>
  <c r="E28" i="6" s="1"/>
  <c r="E13" i="20" s="1"/>
  <c r="M27" i="22"/>
  <c r="L27" i="22"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B31" i="28" s="1"/>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s="1"/>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<sst xmlns="http://schemas.openxmlformats.org/spreadsheetml/2006/main" count="2016" uniqueCount="1290">
  <si>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</si>
  <si>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</si>
  <si>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</si>
  <si>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</si>
  <si>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</si>
  <si>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</si>
  <si>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</si>
  <si>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</si>
  <si>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</si>
  <si>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</si>
  <si>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</si>
  <si>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</si>
  <si>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</si>
  <si>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</si>
  <si>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</si>
  <si>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</si>
  <si>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</si>
  <si>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</si>
  <si>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</si>
  <si>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</si>
  <si>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</si>
  <si>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</si>
  <si>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</si>
  <si>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</si>
  <si>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</si>
  <si>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</si>
  <si>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</si>
  <si>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</si>
  <si>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</si>
  <si>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</si>
  <si>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</si>
  <si>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</si>
  <si>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</si>
  <si>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</si>
  <si>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</si>
  <si>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</si>
  <si>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</si>
  <si>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</si>
  <si>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</si>
  <si>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</si>
  <si>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</si>
  <si>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</si>
  <si>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</si>
  <si>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</si>
  <si>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</si>
  <si>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</si>
  <si>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</si>
  <si>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</si>
  <si>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</si>
  <si>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</si>
  <si>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</si>
  <si>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</si>
  <si>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</si>
  <si>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</si>
  <si>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</si>
  <si>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</si>
  <si>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</si>
  <si>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</si>
  <si>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</si>
  <si>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</si>
  <si>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</si>
  <si>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</si>
  <si>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</si>
  <si>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</si>
  <si>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</si>
  <si>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</si>
  <si>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</si>
  <si>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</si>
  <si>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</si>
  <si>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</si>
  <si>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</si>
  <si>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</si>
  <si>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</si>
  <si>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</si>
  <si>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</si>
  <si>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</si>
  <si>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</si>
  <si>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</si>
  <si>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</si>
  <si>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</si>
  <si>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</si>
  <si>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</si>
  <si>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</si>
  <si>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</si>
  <si>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</si>
  <si>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</si>
  <si>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</si>
  <si>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</si>
  <si>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</si>
  <si>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</si>
  <si>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</si>
  <si>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</si>
  <si>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</si>
  <si>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</si>
  <si>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</si>
  <si>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</si>
  <si>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</si>
  <si>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</si>
  <si>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</si>
  <si>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</si>
  <si>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</si>
  <si>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</si>
  <si>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</si>
  <si>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</si>
  <si>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</si>
  <si>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</si>
  <si>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</si>
  <si>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</si>
  <si>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</si>
  <si>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</si>
  <si>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</si>
  <si>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</si>
  <si>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</si>
  <si>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</si>
  <si>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</si>
  <si>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</si>
  <si>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</si>
  <si>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</si>
  <si>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</si>
  <si>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</si>
  <si>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</si>
  <si>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</si>
  <si>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</si>
  <si>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</si>
  <si>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</si>
  <si>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</si>
  <si>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</si>
  <si>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</si>
  <si>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</si>
  <si>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</si>
  <si>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</si>
  <si>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</si>
  <si>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</si>
  <si>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</si>
  <si>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</si>
  <si>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</si>
  <si>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</si>
  <si>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</si>
  <si>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</si>
  <si>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</si>
  <si>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</si>
  <si>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</si>
  <si>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</si>
  <si>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</si>
  <si>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</si>
  <si>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</si>
  <si>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</si>
  <si>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</si>
  <si>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</si>
  <si>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</si>
  <si>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</si>
  <si>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</si>
  <si>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</si>
  <si>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</si>
  <si>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</si>
  <si>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</si>
  <si>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</si>
  <si>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</si>
  <si>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</si>
  <si>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</si>
  <si>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</si>
  <si>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</si>
  <si>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</si>
  <si>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</si>
  <si>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</si>
  <si>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</si>
  <si>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</si>
  <si>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</si>
  <si>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</si>
  <si>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</si>
  <si>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</si>
  <si>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</si>
  <si>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</si>
  <si>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</si>
  <si>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</si>
  <si>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</si>
  <si>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</si>
  <si>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</si>
  <si>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</si>
  <si>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</si>
  <si>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</si>
  <si>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</si>
  <si>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</si>
  <si>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</si>
  <si>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</si>
  <si>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</si>
  <si>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</si>
  <si>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</si>
  <si>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</si>
  <si>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</si>
  <si>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</si>
  <si>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</si>
  <si>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</si>
  <si>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</si>
  <si>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</si>
  <si>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</si>
  <si>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</si>
  <si>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</si>
  <si>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</si>
  <si>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</si>
  <si>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</si>
  <si>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</si>
  <si>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</si>
  <si>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</si>
  <si>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</si>
  <si>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</si>
  <si>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</si>
  <si>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</si>
  <si>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</si>
  <si>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</si>
  <si>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</si>
  <si>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</si>
  <si>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</si>
  <si>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</si>
  <si>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</si>
  <si>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</si>
  <si>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</si>
  <si>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</si>
  <si>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</si>
  <si>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</si>
  <si>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</si>
  <si>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</si>
  <si>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</si>
  <si>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</si>
  <si>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</si>
  <si>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</si>
  <si>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</si>
  <si>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</si>
  <si>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</si>
  <si>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</si>
  <si>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</si>
  <si>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</si>
  <si>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</si>
  <si>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</si>
  <si>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</si>
  <si>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</si>
  <si>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</si>
  <si>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</si>
  <si>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</si>
  <si>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</si>
  <si>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</si>
  <si>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</si>
  <si>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</si>
  <si>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</si>
  <si>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</si>
  <si>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</si>
  <si>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</si>
  <si>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</si>
  <si>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</si>
  <si>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</si>
  <si>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</si>
  <si>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</si>
  <si>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</si>
  <si>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</si>
  <si>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</si>
  <si>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</si>
  <si>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</si>
  <si>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</si>
  <si>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</si>
  <si>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</si>
  <si>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</si>
  <si>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</si>
  <si>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</si>
  <si>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</si>
  <si>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</si>
  <si>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</si>
  <si>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</si>
  <si>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</si>
  <si>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</si>
  <si>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</si>
  <si>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</si>
  <si>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</si>
  <si>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</si>
  <si>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</si>
  <si>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</si>
  <si>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</si>
  <si>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</si>
  <si>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</si>
  <si>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</si>
  <si>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</si>
  <si>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</si>
  <si>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</si>
  <si>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</si>
  <si>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</si>
  <si>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</si>
  <si>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</si>
  <si>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</si>
  <si>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</si>
  <si>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</si>
  <si>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</si>
  <si>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</si>
  <si>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</si>
  <si>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</si>
  <si>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</si>
  <si>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</si>
  <si>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</si>
  <si>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</si>
  <si>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</si>
  <si>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</si>
  <si>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</si>
  <si>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</si>
  <si>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</si>
  <si>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</si>
  <si>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</si>
  <si>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</si>
  <si>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</si>
  <si>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</si>
  <si>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</si>
  <si>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</si>
  <si>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</si>
  <si>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</si>
  <si>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</si>
  <si>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</si>
  <si>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</si>
  <si>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</si>
  <si>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</si>
  <si>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</si>
  <si>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</si>
  <si>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</si>
  <si>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</si>
  <si>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</si>
  <si>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</si>
  <si>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</si>
  <si>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</si>
  <si>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</si>
  <si>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</si>
  <si>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</si>
  <si>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</si>
  <si>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</si>
  <si>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</si>
  <si>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</si>
  <si>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</si>
  <si>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</si>
  <si>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</si>
  <si>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</si>
  <si>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</si>
  <si>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</si>
  <si>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</si>
  <si>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</si>
  <si>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</si>
  <si>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</si>
  <si>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</si>
  <si>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</si>
  <si>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</si>
  <si>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</si>
  <si>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</si>
  <si>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</si>
  <si>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</si>
  <si>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</si>
  <si>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</si>
  <si>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</si>
  <si>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</si>
  <si>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</si>
  <si>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</si>
  <si>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</si>
  <si>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</si>
  <si>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</si>
  <si>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</si>
  <si>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</si>
  <si>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</si>
  <si>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</si>
  <si>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</si>
  <si>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</si>
  <si>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</si>
  <si>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</si>
  <si>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</si>
  <si>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</si>
  <si>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</si>
  <si>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</si>
  <si>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</si>
  <si>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</si>
  <si>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</si>
  <si>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</si>
  <si>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</si>
  <si>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</si>
  <si>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</si>
  <si>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</si>
  <si>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</si>
  <si>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</si>
  <si>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</si>
  <si>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</si>
  <si>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</si>
  <si>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</si>
  <si>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</si>
  <si>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</si>
  <si>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</si>
  <si>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</si>
  <si>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</si>
  <si>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</si>
  <si>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</si>
  <si>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</si>
  <si>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</si>
  <si>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</si>
  <si>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</si>
  <si>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</si>
  <si>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</si>
  <si>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</si>
  <si>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</si>
  <si>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</si>
  <si>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</si>
  <si>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</si>
  <si>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</si>
  <si>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</si>
  <si>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</si>
  <si>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</si>
  <si>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</si>
  <si>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</si>
  <si>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</si>
  <si>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</si>
  <si>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</si>
  <si>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</si>
  <si>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</si>
  <si>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</si>
  <si>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</si>
  <si>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</si>
  <si>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</si>
  <si>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</si>
  <si>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</si>
  <si>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</si>
  <si>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</si>
  <si>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</si>
  <si>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</si>
  <si>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</si>
  <si>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</si>
  <si>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</si>
  <si>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</si>
  <si>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</si>
  <si>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</si>
  <si>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</si>
  <si>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</si>
  <si>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</si>
  <si>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</si>
  <si>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</si>
  <si>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</si>
  <si>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</si>
  <si>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</si>
  <si>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</si>
  <si>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</si>
  <si>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</si>
  <si>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</si>
  <si>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</si>
  <si>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</si>
  <si>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</si>
  <si>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</si>
  <si>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</si>
  <si>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</si>
  <si>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</si>
  <si>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</si>
  <si>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</si>
  <si>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</si>
  <si>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</si>
  <si>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</si>
  <si>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</si>
  <si>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</si>
  <si>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</si>
  <si>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</si>
  <si>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</si>
  <si>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</si>
  <si>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</si>
  <si>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</si>
  <si>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</si>
  <si>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</si>
  <si>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</si>
  <si>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</si>
  <si>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</si>
  <si>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</si>
  <si>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</si>
  <si>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</si>
  <si>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</si>
  <si>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</si>
  <si>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</si>
  <si>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</si>
  <si>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</si>
  <si>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</si>
  <si>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</si>
  <si>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</si>
  <si>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</si>
  <si>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</si>
  <si>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</si>
  <si>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</si>
  <si>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</si>
  <si>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</si>
  <si>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</si>
  <si>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</si>
  <si>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</si>
  <si>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</si>
  <si>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</si>
  <si>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</si>
  <si>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</si>
  <si>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</si>
  <si>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</si>
  <si>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</si>
  <si>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</si>
  <si>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</si>
  <si>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</si>
  <si>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</si>
  <si>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</si>
  <si>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</si>
  <si>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</si>
  <si>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</si>
  <si>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</si>
  <si>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</si>
  <si>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</si>
  <si>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</si>
  <si>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</si>
  <si>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</si>
  <si>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</si>
  <si>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</si>
  <si>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</si>
  <si>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</si>
  <si>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</si>
  <si>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</si>
  <si>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</si>
  <si>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</si>
  <si>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</si>
  <si>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</si>
  <si>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</si>
  <si>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</si>
  <si>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</si>
  <si>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</si>
  <si>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</si>
  <si>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</si>
  <si>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</si>
  <si>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</si>
  <si>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</si>
  <si>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</si>
  <si>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</si>
  <si>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</si>
  <si>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</si>
  <si>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</si>
  <si>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</si>
  <si>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</si>
  <si>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</si>
  <si>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</si>
  <si>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</si>
  <si>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</si>
  <si>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</si>
  <si>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</si>
  <si>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</si>
  <si>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</si>
  <si>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</si>
  <si>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</si>
  <si>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</si>
  <si>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</si>
  <si>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</si>
  <si>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</si>
  <si>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</si>
  <si>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</si>
  <si>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</si>
  <si>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</si>
  <si>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</si>
  <si>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</si>
  <si>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</si>
  <si>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</si>
  <si>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</si>
  <si>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</si>
  <si>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</si>
  <si>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</si>
  <si>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</si>
  <si>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</si>
  <si>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</si>
  <si>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</si>
  <si>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</si>
  <si>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</si>
  <si>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</si>
  <si>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</si>
  <si>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</si>
  <si>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</si>
  <si>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</si>
  <si>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</si>
  <si>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</si>
  <si>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</si>
  <si>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</si>
  <si>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</si>
  <si>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</si>
  <si>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</si>
  <si>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</si>
  <si>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</si>
  <si>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</si>
  <si>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</si>
  <si>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</si>
  <si>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</si>
  <si>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</si>
  <si>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</si>
  <si>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</si>
  <si>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</si>
  <si>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</si>
  <si>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</si>
  <si>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</si>
  <si>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</si>
  <si>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</si>
  <si>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</si>
  <si>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</si>
  <si>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</si>
  <si>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</si>
  <si>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</si>
  <si>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</si>
  <si>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</si>
  <si>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</si>
  <si>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</si>
  <si>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</si>
  <si>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</si>
  <si>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</si>
  <si>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</si>
  <si>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</si>
  <si>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</si>
  <si>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</si>
  <si>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</si>
  <si>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</si>
  <si>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</si>
  <si>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</si>
  <si>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</si>
  <si>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</si>
  <si>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</si>
  <si>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</si>
  <si>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</si>
  <si>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</si>
  <si>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</si>
  <si>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</si>
  <si>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</si>
  <si>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</si>
  <si>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</si>
  <si>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</si>
  <si>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</si>
  <si>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</si>
  <si>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</si>
  <si>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</si>
  <si>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</si>
  <si>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</si>
  <si>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</si>
  <si>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</si>
  <si>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</si>
  <si>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</si>
  <si>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</si>
  <si>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</si>
  <si>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</si>
  <si>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</si>
  <si>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</si>
  <si>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</si>
  <si>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</si>
  <si>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</si>
  <si>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</si>
  <si>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</si>
  <si>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</si>
  <si>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</si>
  <si>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</si>
  <si>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</si>
  <si>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</si>
  <si>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</si>
  <si>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</si>
  <si>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</si>
  <si>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</si>
  <si>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</si>
  <si>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</si>
  <si>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</si>
  <si>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</si>
  <si>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</si>
  <si>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</si>
  <si>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</si>
  <si>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</si>
  <si>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</si>
  <si>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</si>
  <si>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</si>
  <si>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</si>
  <si>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</si>
  <si>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</si>
  <si>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</si>
  <si>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</si>
  <si>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</si>
  <si>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</si>
  <si>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</si>
  <si>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</si>
  <si>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</si>
  <si>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</si>
  <si>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</si>
  <si>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</si>
  <si>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</si>
  <si>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</si>
  <si>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</si>
  <si>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</si>
  <si>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</si>
  <si>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</si>
  <si>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</si>
  <si>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</si>
  <si>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</si>
  <si>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</si>
  <si>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</si>
  <si>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</si>
  <si>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</si>
  <si>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</si>
  <si>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</si>
  <si>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</si>
  <si>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</si>
  <si>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</si>
  <si>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</si>
  <si>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</si>
  <si>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</si>
  <si>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</si>
  <si>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</si>
  <si>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</si>
  <si>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</si>
  <si>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</si>
  <si>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</si>
  <si>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</si>
  <si>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</si>
  <si>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</si>
  <si>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</si>
  <si>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</si>
  <si>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</si>
  <si>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</si>
  <si>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</si>
  <si>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</si>
  <si>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</si>
  <si>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</si>
  <si>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</si>
  <si>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</si>
  <si>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</si>
  <si>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</si>
  <si>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</si>
  <si>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</si>
  <si>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</si>
  <si>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</si>
  <si>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</si>
  <si>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</si>
  <si>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</si>
  <si>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</si>
  <si>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</si>
  <si>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</si>
  <si>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</si>
  <si>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</si>
  <si>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</si>
  <si>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</si>
  <si>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</si>
  <si>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</si>
  <si>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</si>
  <si>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</si>
  <si>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</si>
  <si>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</si>
  <si>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</si>
  <si>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</si>
  <si>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</si>
  <si>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</si>
  <si>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</si>
  <si>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</si>
  <si>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</si>
  <si>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</si>
  <si>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</si>
  <si>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</si>
  <si>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</si>
  <si>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</si>
  <si>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</si>
  <si>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</si>
  <si>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</si>
  <si>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</si>
  <si>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</si>
  <si>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</si>
  <si>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</si>
  <si>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</si>
  <si>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</si>
  <si>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</si>
  <si>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</si>
  <si>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</si>
  <si>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</si>
  <si>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</si>
  <si>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</si>
  <si>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</si>
  <si>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</si>
  <si>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</si>
  <si>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</si>
  <si>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</si>
  <si>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</si>
  <si>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</si>
  <si>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</si>
  <si>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</si>
  <si>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</si>
  <si>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</si>
  <si>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</si>
  <si>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</si>
  <si>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</si>
  <si>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</si>
  <si>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</si>
  <si>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</si>
  <si>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</si>
  <si>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</si>
  <si>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</si>
  <si>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</si>
  <si>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</si>
  <si>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</si>
  <si>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</si>
  <si>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</si>
  <si>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</si>
  <si>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</si>
  <si>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</si>
  <si>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</si>
  <si>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</si>
  <si>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</si>
  <si>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</si>
  <si>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</si>
  <si>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</si>
  <si>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</si>
  <si>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</si>
  <si>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</si>
  <si>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</si>
  <si>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</si>
  <si>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</si>
  <si>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</si>
  <si>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</si>
  <si>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</si>
  <si>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</si>
  <si>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</si>
  <si>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</si>
  <si>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</si>
  <si>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</si>
  <si>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</si>
  <si>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</si>
  <si>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</si>
  <si>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</si>
  <si>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</si>
  <si>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</si>
  <si>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</si>
  <si>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</si>
  <si>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</si>
  <si>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</si>
  <si>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</si>
  <si>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</si>
  <si>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</si>
  <si>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</si>
  <si>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</si>
  <si>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</si>
  <si>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</si>
  <si>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</si>
  <si>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</si>
  <si>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</si>
  <si>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</si>
  <si>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</si>
  <si>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</si>
  <si>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</si>
  <si>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</si>
  <si>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</si>
  <si>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</si>
  <si>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</si>
  <si>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</si>
  <si>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</si>
  <si>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</si>
  <si>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</si>
  <si>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</si>
  <si>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</si>
  <si>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</si>
  <si>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</si>
  <si>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</si>
  <si>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</si>
  <si>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</si>
  <si>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</si>
  <si>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</si>
  <si>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</si>
  <si>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</si>
  <si>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</si>
  <si>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</si>
  <si>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</si>
  <si>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</si>
  <si>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</si>
  <si>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</si>
  <si>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</si>
  <si>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</si>
  <si>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</si>
  <si>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</si>
  <si>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</si>
  <si>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</si>
  <si>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</si>
  <si>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</si>
  <si>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</si>
  <si>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</si>
  <si>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</si>
  <si>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</si>
  <si>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</si>
  <si>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</si>
  <si>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</si>
  <si>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</si>
  <si>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</si>
  <si>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</si>
  <si>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</si>
  <si>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</si>
  <si>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</si>
  <si>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</si>
  <si>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</si>
  <si>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</si>
  <si>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</si>
  <si>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</si>
  <si>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</si>
  <si>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</si>
  <si>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</si>
  <si>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</si>
  <si>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</si>
  <si>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</si>
  <si>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</si>
  <si>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</si>
  <si>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</si>
  <si>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</si>
  <si>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</si>
  <si>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</si>
  <si>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</si>
  <si>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</si>
  <si>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</si>
  <si>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</si>
  <si>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</si>
  <si>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</si>
  <si>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</si>
  <si>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</si>
  <si>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</si>
  <si>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</si>
  <si>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</si>
  <si>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</si>
  <si>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</si>
  <si>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</si>
  <si>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</si>
  <si>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</si>
  <si>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</si>
  <si>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</si>
  <si>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</si>
  <si>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</si>
  <si>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</si>
  <si>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</si>
  <si>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</si>
  <si>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</si>
  <si>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</si>
  <si>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</si>
  <si>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</si>
  <si>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</si>
  <si>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</si>
  <si>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</si>
  <si>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</si>
  <si>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</si>
  <si>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</si>
  <si>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</si>
  <si>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</si>
  <si>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</si>
  <si>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</si>
  <si>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</si>
  <si>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</si>
  <si>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</si>
  <si>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</si>
  <si>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</si>
  <si>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</si>
  <si>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</si>
  <si>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</si>
  <si>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</si>
  <si>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</si>
  <si>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</si>
  <si>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</si>
  <si>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</si>
  <si>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</si>
  <si>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</si>
  <si>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</si>
  <si>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</si>
  <si>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</si>
  <si>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</si>
  <si>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</si>
  <si>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</si>
  <si>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</si>
  <si>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</si>
  <si>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</si>
  <si>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</si>
  <si>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</si>
  <si>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</si>
  <si>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</si>
  <si>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</si>
  <si>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</si>
  <si>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</si>
  <si>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</si>
  <si>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</si>
  <si>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</si>
  <si>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</si>
  <si>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</si>
  <si>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</si>
  <si>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</si>
  <si>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</si>
  <si>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</si>
  <si>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</si>
  <si>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</si>
  <si>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</si>
  <si>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</si>
  <si>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</si>
  <si>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</si>
  <si>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</si>
  <si>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</si>
  <si>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</si>
  <si>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</si>
  <si>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</si>
  <si>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</si>
  <si>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</si>
  <si>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</si>
  <si>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</si>
  <si>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</si>
  <si>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</si>
  <si>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</si>
  <si>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</si>
  <si>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</si>
  <si>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</si>
  <si>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</si>
  <si>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</si>
  <si>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</si>
  <si>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</si>
  <si>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</si>
  <si>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</si>
  <si>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</si>
  <si>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</si>
  <si>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</si>
  <si>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</si>
  <si>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</si>
  <si>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</si>
  <si>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</si>
  <si>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</si>
  <si>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</si>
  <si>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</si>
  <si>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</si>
  <si>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</si>
  <si>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</si>
  <si>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</si>
  <si>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</si>
  <si>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</si>
  <si>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</si>
  <si>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</si>
  <si>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</si>
  <si>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</si>
  <si>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</si>
  <si>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</si>
  <si>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</si>
  <si>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</si>
  <si>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</si>
  <si>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</si>
  <si>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</si>
  <si>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</si>
  <si>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</si>
  <si>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</si>
  <si>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</si>
  <si>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</si>
  <si>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</si>
  <si>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</si>
  <si>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</si>
  <si>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</si>
  <si>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</si>
  <si>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</si>
  <si>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</si>
  <si>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</si>
  <si>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</si>
  <si>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</si>
  <si>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</si>
  <si>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</si>
  <si>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</si>
  <si>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</si>
  <si>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</si>
  <si>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</si>
  <si>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</si>
  <si>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</si>
  <si>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</si>
  <si>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</si>
  <si>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</si>
  <si>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</si>
  <si>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</si>
  <si>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</si>
  <si>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</si>
  <si>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</si>
  <si>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</si>
  <si>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</si>
  <si>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</si>
  <si>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</si>
  <si>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</si>
  <si>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</si>
  <si>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</si>
  <si>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</si>
  <si>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</si>
  <si>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</si>
  <si>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</si>
  <si>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</si>
  <si>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</si>
  <si>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</si>
  <si>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</si>
  <si>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</si>
  <si>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</si>
  <si>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</si>
  <si>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</si>
  <si>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</si>
  <si>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</si>
  <si>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</si>
  <si>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</si>
  <si>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</si>
  <si>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</si>
  <si>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</si>
  <si>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</si>
  <si>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</si>
  <si>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</si>
  <si>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</si>
  <si>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</si>
  <si>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</si>
  <si>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</si>
  <si>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</si>
  <si>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</si>
  <si>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</si>
  <si>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</si>
  <si>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</si>
  <si>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</si>
  <si>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</si>
  <si>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</si>
  <si>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</si>
  <si>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</si>
  <si>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</si>
  <si>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</si>
  <si>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</si>
  <si>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</si>
  <si>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</si>
  <si>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</si>
  <si>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</si>
  <si>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</si>
  <si>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</si>
  <si>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</si>
  <si>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</si>
  <si>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</si>
  <si>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</si>
  <si>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</si>
  <si>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</si>
  <si>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</si>
  <si>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</si>
  <si>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</si>
  <si>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</si>
  <si>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</si>
  <si>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</si>
  <si>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</si>
  <si>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</si>
  <si>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</si>
  <si>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</si>
  <si>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</si>
  <si>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</si>
  <si>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</si>
  <si>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</si>
  <si>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</si>
  <si>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</si>
  <si>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</si>
  <si>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</si>
  <si>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</si>
  <si>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</si>
  <si>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</si>
  <si>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</si>
  <si>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</si>
  <si>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</si>
  <si>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</si>
  <si>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</si>
  <si>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</si>
  <si>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</si>
  <si>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</si>
  <si>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</si>
  <si>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</si>
  <si>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</si>
  <si>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</si>
  <si>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</si>
  <si>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</si>
  <si>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</si>
  <si>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</si>
  <si>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</si>
  <si>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</si>
  <si>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</si>
  <si>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</si>
  <si>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</si>
  <si>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</si>
  <si>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</si>
  <si>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</si>
  <si>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</si>
  <si>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</si>
  <si>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</si>
  <si>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</si>
  <si>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</si>
  <si>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</si>
  <si>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</si>
  <si>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</si>
  <si>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</si>
  <si>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</si>
  <si>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</si>
  <si>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</si>
  <si>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</si>
  <si>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</si>
  <si>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</si>
  <si>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</si>
  <si>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</si>
  <si>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</si>
  <si>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</si>
  <si>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</si>
  <si>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</si>
  <si>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</si>
  <si>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</si>
  <si>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</si>
  <si>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</si>
  <si>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</si>
  <si>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</si>
  <si>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</si>
  <si>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</si>
  <si>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</si>
  <si>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</si>
  <si>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</si>
  <si>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</si>
  <si>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</si>
  <si>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</si>
  <si>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</si>
  <si>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</si>
  <si>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</si>
  <si>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</si>
  <si>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</si>
  <si>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</si>
  <si>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</si>
  <si>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</si>
  <si>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</si>
  <si>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</si>
  <si>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</si>
  <si>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</si>
  <si>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</si>
  <si>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</si>
  <si>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</si>
  <si>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</si>
  <si>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</si>
  <si>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</si>
  <si>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</si>
  <si>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</si>
  <si>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</si>
  <si>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</si>
  <si>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</si>
  <si>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</si>
  <si>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</si>
  <si>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</si>
  <si>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</si>
  <si>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</si>
  <si>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</si>
  <si>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</si>
  <si>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</si>
  <si>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</si>
  <si>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</si>
  <si>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</si>
  <si>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</si>
  <si>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</si>
  <si>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</si>
  <si>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</si>
  <si>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</si>
  <si>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</si>
  <si>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</si>
  <si>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</si>
  <si>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</si>
  <si>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</si>
  <si>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</si>
  <si>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</si>
  <si>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</si>
  <si>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</si>
  <si>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</si>
  <si>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</si>
  <si>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</si>
  <si>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</si>
  <si>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</si>
  <si>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</si>
  <si>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</si>
  <si>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</si>
  <si>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</si>
  <si>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</si>
  <si>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</si>
  <si>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</si>
  <si>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</si>
  <si>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</si>
  <si>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</si>
  <si>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</si>
  <si>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</si>
  <si>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</si>
  <si>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</si>
  <si>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</si>
  <si>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</si>
  <si>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</si>
  <si>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</si>
  <si>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</si>
  <si>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</si>
  <si>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</si>
  <si>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</si>
  <si>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</si>
  <si>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</si>
  <si>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</si>
  <si>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</si>
  <si>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</si>
  <si>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</si>
  <si>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</si>
  <si>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</si>
  <si>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</si>
  <si>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</si>
  <si>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</si>
  <si>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</si>
  <si>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</si>
  <si>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 xml:space="preserve">Нийт харилцагчдын тоо </t>
  </si>
  <si>
    <t>Зээлдэгчдийн тоо /үлдэгдэлтэй зээлдэгчдийн тоо/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</si>
</sst>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14" fontId="3" fillId="0" borderId="33" xfId="0" applyNumberFormat="1" applyFont="1" applyBorder="1" applyAlignment="1" applyProtection="1">
      <alignment horizontal="left"/>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3" fillId="6" borderId="1" xfId="0" applyFont="1" applyFill="1" applyBorder="1" applyAlignment="1" applyProtection="1">
      <alignment horizontal="left"/>
    </xf>
    <xf numFmtId="0" fontId="4" fillId="3" borderId="1" xfId="0" applyFont="1" applyFill="1" applyBorder="1" applyProtection="1"/>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31" xfId="0" applyFont="1" applyBorder="1" applyAlignment="1">
      <alignment vertical="top" wrapText="1"/>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4" fillId="0" borderId="32" xfId="0" applyFont="1" applyBorder="1" applyAlignment="1">
      <alignment vertical="top" wrapText="1"/>
    </xf>
    <xf numFmtId="0" fontId="25" fillId="0" borderId="6"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Border="1" applyAlignment="1"/>
    <xf numFmtId="0" fontId="2" fillId="0" borderId="32"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4" fillId="6"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6" fontId="24" fillId="0" borderId="0" xfId="9" applyNumberFormat="1" applyFont="1" applyBorder="1" applyAlignment="1">
      <alignment horizontal="right" vertical="center"/>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pplyProtection="1">
      <alignment horizontal="center" vertical="center" wrapText="1"/>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0" fontId="24" fillId="6" borderId="1" xfId="0" applyFont="1" applyFill="1" applyBorder="1" applyAlignment="1">
      <alignment horizontal="center" vertical="center"/>
    </xf>
    <xf numFmtId="166" fontId="25" fillId="9" borderId="1" xfId="9" applyNumberFormat="1" applyFont="1" applyFill="1" applyBorder="1" applyAlignment="1">
      <alignment horizontal="center" vertical="center" wrapText="1"/>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right"/>
    </xf>
    <xf numFmtId="14" fontId="24" fillId="0" borderId="0" xfId="0" applyNumberFormat="1" applyFont="1" applyAlignment="1">
      <alignment horizontal="left"/>
    </xf>
    <xf numFmtId="43" fontId="25" fillId="0" borderId="0" xfId="0" applyNumberFormat="1" applyFont="1" applyAlignment="1">
      <alignment horizontal="center"/>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ColWidth="9.140625"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40625"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56" t="s">
        <v>438</v>
      </c>
      <c r="B2" s="756"/>
      <c r="C2" s="756"/>
      <c r="D2" s="756"/>
      <c r="E2" s="756"/>
      <c r="F2" s="756"/>
      <c r="G2" s="756"/>
      <c r="H2" s="756"/>
    </row>
    <row r="3" spans="1:8" x14ac:dyDescent="0.2">
      <c r="A3" s="823" t="str">
        <f>+BALANCE!A3</f>
        <v>БАНК БУС САНХҮҮГИЙН БАЙГУУЛЛАГЫН НЭР</v>
      </c>
      <c r="B3" s="823"/>
      <c r="C3" s="823"/>
      <c r="D3" s="823"/>
      <c r="E3" s="823"/>
      <c r="F3" s="823"/>
      <c r="G3" s="823"/>
      <c r="H3" s="823"/>
    </row>
    <row r="4" spans="1:8" x14ac:dyDescent="0.2">
      <c r="A4" s="756" t="str">
        <f>+BALANCE!A4</f>
        <v>БАНК БУС САНХҮҮГИЙН БАЙГУУЛЛАГА</v>
      </c>
      <c r="B4" s="756"/>
      <c r="C4" s="756"/>
      <c r="D4" s="756"/>
      <c r="E4" s="756"/>
      <c r="F4" s="756"/>
      <c r="G4" s="756"/>
      <c r="H4" s="756"/>
    </row>
    <row r="5" spans="1:8" x14ac:dyDescent="0.2">
      <c r="A5" s="1"/>
      <c r="B5" s="1"/>
      <c r="C5" s="1"/>
      <c r="D5" s="1"/>
      <c r="E5" s="1"/>
      <c r="F5" s="1"/>
      <c r="G5" s="1"/>
      <c r="H5" s="1"/>
    </row>
    <row r="6" spans="1:8" ht="15.75" customHeight="1" x14ac:dyDescent="0.2">
      <c r="A6" s="824">
        <f>+BALANCE!A6</f>
        <v>44651</v>
      </c>
      <c r="B6" s="824"/>
      <c r="G6" s="825" t="s">
        <v>439</v>
      </c>
      <c r="H6" s="825"/>
    </row>
    <row r="7" spans="1:8" ht="17.25" customHeight="1" x14ac:dyDescent="0.2">
      <c r="A7" s="831" t="s">
        <v>440</v>
      </c>
      <c r="B7" s="831"/>
      <c r="C7" s="832">
        <f>+BALANCE!D7</f>
        <v>0</v>
      </c>
      <c r="D7" s="826" t="s">
        <v>441</v>
      </c>
      <c r="E7" s="831" t="s">
        <v>442</v>
      </c>
      <c r="F7" s="831"/>
      <c r="G7" s="832">
        <f>+BALANCE!H7</f>
        <v>0</v>
      </c>
      <c r="H7" s="826" t="s">
        <v>441</v>
      </c>
    </row>
    <row r="8" spans="1:8" x14ac:dyDescent="0.2">
      <c r="A8" s="831"/>
      <c r="B8" s="831"/>
      <c r="C8" s="832"/>
      <c r="D8" s="826"/>
      <c r="E8" s="831"/>
      <c r="F8" s="831"/>
      <c r="G8" s="832"/>
      <c r="H8" s="826"/>
    </row>
    <row r="9" spans="1:8" x14ac:dyDescent="0.2">
      <c r="A9" s="827" t="s">
        <v>443</v>
      </c>
      <c r="B9" s="827"/>
      <c r="C9" s="210">
        <f>+C10+C16+C31+C48+C65+C82+C86+C111</f>
        <v>0</v>
      </c>
      <c r="D9" s="211" t="e">
        <f>+C9/C116</f>
        <v>#DIV/0!</v>
      </c>
      <c r="E9" s="828" t="s">
        <v>444</v>
      </c>
      <c r="F9" s="828"/>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8" t="s">
        <v>503</v>
      </c>
      <c r="F82" s="828"/>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9" t="s">
        <v>522</v>
      </c>
      <c r="B112" s="829"/>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30" t="s">
        <v>526</v>
      </c>
      <c r="B116" s="830"/>
      <c r="C116" s="210">
        <f>+C9+C112</f>
        <v>0</v>
      </c>
      <c r="D116" s="211" t="e">
        <f>+C116/C116</f>
        <v>#DIV/0!</v>
      </c>
      <c r="E116" s="830" t="s">
        <v>527</v>
      </c>
      <c r="F116" s="830"/>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45" t="str">
        <f>+BALANCE!D361</f>
        <v>ГҮЙЦЭТГЭХ ЗАХИРАЛ.................................................................//</v>
      </c>
      <c r="D123" s="745"/>
      <c r="E123" s="745"/>
      <c r="F123" s="745"/>
    </row>
    <row r="124" spans="1:8" ht="15" customHeight="1" x14ac:dyDescent="0.2">
      <c r="B124" s="15"/>
      <c r="C124" s="69"/>
      <c r="D124" s="69"/>
      <c r="E124" s="69"/>
      <c r="F124" s="69"/>
    </row>
    <row r="125" spans="1:8" ht="15" customHeight="1" x14ac:dyDescent="0.2">
      <c r="B125" s="15"/>
      <c r="C125" s="745" t="str">
        <f>+BALANCE!D363</f>
        <v>ЕРӨНХИЙ НЯГТЛАН БОДОГЧ....................................................//</v>
      </c>
      <c r="D125" s="745"/>
      <c r="E125" s="745"/>
      <c r="F125" s="745"/>
    </row>
    <row r="126" spans="1:8" ht="15" customHeight="1" x14ac:dyDescent="0.2">
      <c r="B126" s="15"/>
      <c r="C126" s="69"/>
      <c r="D126" s="69"/>
      <c r="E126" s="69"/>
      <c r="F126" s="69"/>
    </row>
    <row r="127" spans="1:8" ht="15" customHeight="1" x14ac:dyDescent="0.2">
      <c r="B127" s="15"/>
      <c r="C127" s="745">
        <f>+BALANCE!D365</f>
        <v>0</v>
      </c>
      <c r="D127" s="745"/>
      <c r="E127" s="745"/>
      <c r="F127" s="745"/>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40625"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5" t="s">
        <v>528</v>
      </c>
      <c r="B2" s="765"/>
      <c r="C2" s="765"/>
      <c r="D2" s="765"/>
      <c r="E2" s="765"/>
      <c r="F2" s="765"/>
    </row>
    <row r="3" spans="1:6" x14ac:dyDescent="0.2">
      <c r="A3" s="764" t="str">
        <f>+BALANCE!A3</f>
        <v>БАНК БУС САНХҮҮГИЙН БАЙГУУЛЛАГЫН НЭР</v>
      </c>
      <c r="B3" s="764"/>
      <c r="C3" s="764"/>
      <c r="D3" s="764"/>
      <c r="E3" s="764"/>
      <c r="F3" s="764"/>
    </row>
    <row r="4" spans="1:6" x14ac:dyDescent="0.2">
      <c r="A4" s="765" t="str">
        <f>+BALANCE!A4</f>
        <v>БАНК БУС САНХҮҮГИЙН БАЙГУУЛЛАГА</v>
      </c>
      <c r="B4" s="765"/>
      <c r="C4" s="765"/>
      <c r="D4" s="765"/>
      <c r="E4" s="765"/>
      <c r="F4" s="765"/>
    </row>
    <row r="5" spans="1:6" ht="12.75" customHeight="1" x14ac:dyDescent="0.2">
      <c r="A5" s="837">
        <f>+BALANCE!A6</f>
        <v>44651</v>
      </c>
      <c r="B5" s="837"/>
      <c r="C5" s="837"/>
      <c r="D5" s="838" t="s">
        <v>439</v>
      </c>
      <c r="E5" s="838"/>
      <c r="F5" s="838"/>
    </row>
    <row r="6" spans="1:6" ht="15" customHeight="1" x14ac:dyDescent="0.2">
      <c r="A6" s="833" t="s">
        <v>529</v>
      </c>
      <c r="B6" s="833"/>
      <c r="C6" s="833"/>
      <c r="D6" s="834" t="s">
        <v>47</v>
      </c>
      <c r="E6" s="835">
        <f>BALANCE!D7</f>
        <v>0</v>
      </c>
      <c r="F6" s="836" t="s">
        <v>530</v>
      </c>
    </row>
    <row r="7" spans="1:6" x14ac:dyDescent="0.2">
      <c r="A7" s="833"/>
      <c r="B7" s="833"/>
      <c r="C7" s="833"/>
      <c r="D7" s="834"/>
      <c r="E7" s="835"/>
      <c r="F7" s="836"/>
    </row>
    <row r="8" spans="1:6" ht="15" customHeight="1" x14ac:dyDescent="0.2">
      <c r="A8" s="507" t="s">
        <v>5</v>
      </c>
      <c r="B8" s="840" t="s">
        <v>531</v>
      </c>
      <c r="C8" s="840"/>
      <c r="D8" s="840"/>
      <c r="E8" s="484">
        <f>+SUM(E9,E17,E25,E31)</f>
        <v>0</v>
      </c>
      <c r="F8" s="485" t="e">
        <f>+E8/E138</f>
        <v>#DIV/0!</v>
      </c>
    </row>
    <row r="9" spans="1:6" ht="15.75" customHeight="1" x14ac:dyDescent="0.2">
      <c r="A9" s="486"/>
      <c r="B9" s="487">
        <v>1.1000000000000001</v>
      </c>
      <c r="C9" s="841" t="s">
        <v>532</v>
      </c>
      <c r="D9" s="841"/>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42" t="s">
        <v>541</v>
      </c>
      <c r="D17" s="842"/>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41" t="s">
        <v>549</v>
      </c>
      <c r="D25" s="841"/>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41" t="s">
        <v>555</v>
      </c>
      <c r="D31" s="841"/>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39" t="s">
        <v>568</v>
      </c>
      <c r="C39" s="839"/>
      <c r="D39" s="839"/>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39" t="s">
        <v>573</v>
      </c>
      <c r="C45" s="839"/>
      <c r="D45" s="839"/>
      <c r="E45" s="484">
        <f>+E8-E39</f>
        <v>0</v>
      </c>
      <c r="F45" s="485" t="e">
        <f>+E45/E138</f>
        <v>#DIV/0!</v>
      </c>
    </row>
    <row r="46" spans="1:6" ht="15.75" customHeight="1" x14ac:dyDescent="0.2">
      <c r="A46" s="507" t="s">
        <v>574</v>
      </c>
      <c r="B46" s="839" t="s">
        <v>575</v>
      </c>
      <c r="C46" s="839"/>
      <c r="D46" s="839"/>
      <c r="E46" s="484">
        <f>+SUM(E47,E50,E53)</f>
        <v>0</v>
      </c>
      <c r="F46" s="485" t="e">
        <f>+E46/E138</f>
        <v>#DIV/0!</v>
      </c>
    </row>
    <row r="47" spans="1:6" ht="15" customHeight="1" x14ac:dyDescent="0.2">
      <c r="A47" s="486"/>
      <c r="B47" s="487">
        <v>4.0999999999999996</v>
      </c>
      <c r="C47" s="842" t="s">
        <v>576</v>
      </c>
      <c r="D47" s="842"/>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42" t="s">
        <v>580</v>
      </c>
      <c r="D50" s="842"/>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42" t="s">
        <v>583</v>
      </c>
      <c r="D53" s="842"/>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39" t="s">
        <v>592</v>
      </c>
      <c r="C61" s="839"/>
      <c r="D61" s="839"/>
      <c r="E61" s="484">
        <f>+SUM(E62,E67,E77)</f>
        <v>0</v>
      </c>
      <c r="F61" s="485" t="e">
        <f>+E61/E139</f>
        <v>#DIV/0!</v>
      </c>
    </row>
    <row r="62" spans="1:6" ht="15" customHeight="1" x14ac:dyDescent="0.2">
      <c r="A62" s="490"/>
      <c r="B62" s="487">
        <v>5.0999999999999996</v>
      </c>
      <c r="C62" s="842" t="s">
        <v>593</v>
      </c>
      <c r="D62" s="842"/>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41" t="s">
        <v>599</v>
      </c>
      <c r="D67" s="841"/>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41" t="s">
        <v>610</v>
      </c>
      <c r="D77" s="841"/>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39" t="s">
        <v>648</v>
      </c>
      <c r="C107" s="839"/>
      <c r="D107" s="839"/>
      <c r="E107" s="484">
        <f>+E46-E61</f>
        <v>0</v>
      </c>
      <c r="F107" s="485"/>
    </row>
    <row r="108" spans="1:6" ht="25.5" customHeight="1" x14ac:dyDescent="0.2">
      <c r="A108" s="507" t="s">
        <v>649</v>
      </c>
      <c r="B108" s="844" t="s">
        <v>650</v>
      </c>
      <c r="C108" s="844"/>
      <c r="D108" s="844"/>
      <c r="E108" s="484">
        <f>+E45+E107</f>
        <v>0</v>
      </c>
      <c r="F108" s="485"/>
    </row>
    <row r="109" spans="1:6" ht="15.75" customHeight="1" x14ac:dyDescent="0.2">
      <c r="A109" s="507" t="s">
        <v>651</v>
      </c>
      <c r="B109" s="839" t="s">
        <v>652</v>
      </c>
      <c r="C109" s="839"/>
      <c r="D109" s="839"/>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39" t="s">
        <v>655</v>
      </c>
      <c r="C116" s="839"/>
      <c r="D116" s="839"/>
      <c r="E116" s="484">
        <f>+E108-E109</f>
        <v>0</v>
      </c>
      <c r="F116" s="485"/>
    </row>
    <row r="117" spans="1:6" ht="15.75" customHeight="1" x14ac:dyDescent="0.2">
      <c r="A117" s="507" t="s">
        <v>656</v>
      </c>
      <c r="B117" s="839" t="s">
        <v>657</v>
      </c>
      <c r="C117" s="839"/>
      <c r="D117" s="839"/>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39" t="s">
        <v>659</v>
      </c>
      <c r="C124" s="839"/>
      <c r="D124" s="839"/>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39" t="s">
        <v>661</v>
      </c>
      <c r="C131" s="839"/>
      <c r="D131" s="839"/>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45" t="s">
        <v>663</v>
      </c>
      <c r="C134" s="845"/>
      <c r="D134" s="845"/>
      <c r="E134" s="484">
        <f>+E131+E132-E133</f>
        <v>0</v>
      </c>
      <c r="F134" s="485"/>
    </row>
    <row r="135" spans="1:6" x14ac:dyDescent="0.2">
      <c r="A135" s="508"/>
      <c r="B135" s="843" t="s">
        <v>399</v>
      </c>
      <c r="C135" s="843"/>
      <c r="D135" s="509">
        <v>5701</v>
      </c>
      <c r="E135" s="510">
        <f>+BALANCE!D325/1000</f>
        <v>0</v>
      </c>
      <c r="F135" s="494" t="e">
        <f>+E135/E139</f>
        <v>#DIV/0!</v>
      </c>
    </row>
    <row r="136" spans="1:6" ht="15.75" customHeight="1" x14ac:dyDescent="0.2">
      <c r="A136" s="507" t="s">
        <v>664</v>
      </c>
      <c r="B136" s="845" t="s">
        <v>665</v>
      </c>
      <c r="C136" s="845"/>
      <c r="D136" s="845"/>
      <c r="E136" s="484">
        <f>+E134-E135</f>
        <v>0</v>
      </c>
      <c r="F136" s="485"/>
    </row>
    <row r="138" spans="1:6" ht="15.75" customHeight="1" x14ac:dyDescent="0.2">
      <c r="C138" s="846" t="s">
        <v>666</v>
      </c>
      <c r="D138" s="846"/>
      <c r="E138" s="511">
        <f>+E8+E46+E117+E132</f>
        <v>0</v>
      </c>
      <c r="F138" s="512">
        <v>1</v>
      </c>
    </row>
    <row r="139" spans="1:6" ht="15.75" customHeight="1" x14ac:dyDescent="0.2">
      <c r="C139" s="846" t="s">
        <v>667</v>
      </c>
      <c r="D139" s="846"/>
      <c r="E139" s="511">
        <f>+E39+E61+E109+E124++E133+E135</f>
        <v>0</v>
      </c>
      <c r="F139" s="512">
        <v>1</v>
      </c>
    </row>
    <row r="140" spans="1:6" ht="15.75" customHeight="1" x14ac:dyDescent="0.2">
      <c r="C140" s="847" t="s">
        <v>668</v>
      </c>
      <c r="D140" s="847"/>
      <c r="E140" s="511">
        <f>E138-E139</f>
        <v>0</v>
      </c>
      <c r="F140" s="512">
        <v>1</v>
      </c>
    </row>
    <row r="143" spans="1:6" x14ac:dyDescent="0.2">
      <c r="A143" s="848" t="s">
        <v>36</v>
      </c>
      <c r="B143" s="849"/>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61" t="str">
        <f>+BALANCE!D361</f>
        <v>ГҮЙЦЭТГЭХ ЗАХИРАЛ.................................................................//</v>
      </c>
      <c r="D148" s="761"/>
      <c r="E148" s="761"/>
      <c r="F148" s="761"/>
    </row>
    <row r="149" spans="1:6" x14ac:dyDescent="0.2">
      <c r="A149" s="517"/>
      <c r="B149" s="60"/>
      <c r="C149" s="519"/>
      <c r="D149" s="519"/>
      <c r="E149" s="519"/>
      <c r="F149" s="519"/>
    </row>
    <row r="150" spans="1:6" x14ac:dyDescent="0.2">
      <c r="A150" s="517"/>
      <c r="B150" s="60"/>
      <c r="C150" s="761" t="str">
        <f>+BALANCE!D363</f>
        <v>ЕРӨНХИЙ НЯГТЛАН БОДОГЧ....................................................//</v>
      </c>
      <c r="D150" s="761"/>
      <c r="E150" s="761"/>
      <c r="F150" s="761"/>
    </row>
    <row r="151" spans="1:6" x14ac:dyDescent="0.2">
      <c r="A151" s="517"/>
      <c r="B151" s="60"/>
      <c r="C151" s="519"/>
      <c r="D151" s="519"/>
      <c r="E151" s="519"/>
      <c r="F151" s="519"/>
    </row>
    <row r="152" spans="1:6" x14ac:dyDescent="0.2">
      <c r="A152" s="517"/>
      <c r="B152" s="60"/>
      <c r="C152" s="761">
        <f>+BALANCE!D365</f>
        <v>0</v>
      </c>
      <c r="D152" s="761"/>
      <c r="E152" s="761"/>
      <c r="F152" s="761"/>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40625"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850" t="s">
        <v>669</v>
      </c>
      <c r="B2" s="850"/>
      <c r="C2" s="850"/>
      <c r="D2" s="850"/>
      <c r="E2" s="850"/>
    </row>
    <row r="3" spans="1:5" x14ac:dyDescent="0.2">
      <c r="A3" s="851" t="str">
        <f>+BALANCE!A3</f>
        <v>БАНК БУС САНХҮҮГИЙН БАЙГУУЛЛАГЫН НЭР</v>
      </c>
      <c r="B3" s="851"/>
      <c r="C3" s="851"/>
      <c r="D3" s="851"/>
      <c r="E3" s="851"/>
    </row>
    <row r="4" spans="1:5" ht="15" customHeight="1" x14ac:dyDescent="0.2">
      <c r="A4" s="852" t="str">
        <f>+BALANCE!A4</f>
        <v>БАНК БУС САНХҮҮГИЙН БАЙГУУЛЛАГА</v>
      </c>
      <c r="B4" s="852"/>
      <c r="C4" s="852"/>
      <c r="D4" s="852"/>
      <c r="E4" s="852"/>
    </row>
    <row r="5" spans="1:5" ht="15" customHeight="1" x14ac:dyDescent="0.2">
      <c r="A5" s="73"/>
      <c r="B5" s="73"/>
      <c r="C5" s="73"/>
      <c r="D5" s="73"/>
      <c r="E5" s="73"/>
    </row>
    <row r="6" spans="1:5" ht="13.5" thickBot="1" x14ac:dyDescent="0.25">
      <c r="A6" s="853">
        <f>+BALANCE!A6</f>
        <v>44651</v>
      </c>
      <c r="B6" s="854"/>
      <c r="C6" s="74"/>
      <c r="D6" s="140"/>
      <c r="E6" s="141" t="s">
        <v>439</v>
      </c>
    </row>
    <row r="7" spans="1:5" ht="13.5" thickTop="1" x14ac:dyDescent="0.2">
      <c r="A7" s="75"/>
      <c r="B7" s="855" t="s">
        <v>529</v>
      </c>
      <c r="C7" s="856"/>
      <c r="D7" s="857" t="s">
        <v>670</v>
      </c>
      <c r="E7" s="858"/>
    </row>
    <row r="8" spans="1:5" x14ac:dyDescent="0.2">
      <c r="A8" s="76" t="s">
        <v>671</v>
      </c>
      <c r="B8" s="859" t="s">
        <v>672</v>
      </c>
      <c r="C8" s="860"/>
      <c r="D8" s="861">
        <f>+SUM(D9,D19)-D17</f>
        <v>0</v>
      </c>
      <c r="E8" s="862"/>
    </row>
    <row r="9" spans="1:5" x14ac:dyDescent="0.2">
      <c r="A9" s="863" t="s">
        <v>673</v>
      </c>
      <c r="B9" s="864"/>
      <c r="C9" s="864"/>
      <c r="D9" s="865">
        <f>+SUM(D10,-D11,D12:E16)</f>
        <v>0</v>
      </c>
      <c r="E9" s="866"/>
    </row>
    <row r="10" spans="1:5" x14ac:dyDescent="0.2">
      <c r="A10" s="77">
        <v>1</v>
      </c>
      <c r="B10" s="867" t="s">
        <v>674</v>
      </c>
      <c r="C10" s="868"/>
      <c r="D10" s="869">
        <f>+BALANCESHEET!G84</f>
        <v>0</v>
      </c>
      <c r="E10" s="870"/>
    </row>
    <row r="11" spans="1:5" x14ac:dyDescent="0.2">
      <c r="A11" s="78">
        <v>2</v>
      </c>
      <c r="B11" s="871" t="s">
        <v>200</v>
      </c>
      <c r="C11" s="872"/>
      <c r="D11" s="873">
        <f>+BALANCESHEET!G86</f>
        <v>0</v>
      </c>
      <c r="E11" s="874"/>
    </row>
    <row r="12" spans="1:5" x14ac:dyDescent="0.2">
      <c r="A12" s="79">
        <v>3</v>
      </c>
      <c r="B12" s="875" t="s">
        <v>675</v>
      </c>
      <c r="C12" s="876"/>
      <c r="D12" s="873">
        <f>+BALANCESHEET!G88</f>
        <v>0</v>
      </c>
      <c r="E12" s="877"/>
    </row>
    <row r="13" spans="1:5" x14ac:dyDescent="0.2">
      <c r="A13" s="79">
        <v>4</v>
      </c>
      <c r="B13" s="875" t="s">
        <v>207</v>
      </c>
      <c r="C13" s="872"/>
      <c r="D13" s="873">
        <f>+BALANCESHEET!G90</f>
        <v>0</v>
      </c>
      <c r="E13" s="877"/>
    </row>
    <row r="14" spans="1:5" x14ac:dyDescent="0.2">
      <c r="A14" s="79">
        <v>5</v>
      </c>
      <c r="B14" s="875" t="s">
        <v>676</v>
      </c>
      <c r="C14" s="878"/>
      <c r="D14" s="873">
        <f>+BALANCESHEET!G92</f>
        <v>0</v>
      </c>
      <c r="E14" s="877"/>
    </row>
    <row r="15" spans="1:5" x14ac:dyDescent="0.2">
      <c r="A15" s="79">
        <v>6</v>
      </c>
      <c r="B15" s="879" t="s">
        <v>515</v>
      </c>
      <c r="C15" s="880"/>
      <c r="D15" s="873">
        <f>+BALANCESHEET!G95</f>
        <v>0</v>
      </c>
      <c r="E15" s="877"/>
    </row>
    <row r="16" spans="1:5" x14ac:dyDescent="0.2">
      <c r="A16" s="80">
        <v>7</v>
      </c>
      <c r="B16" s="881" t="s">
        <v>516</v>
      </c>
      <c r="C16" s="882"/>
      <c r="D16" s="883">
        <f>+BALANCESHEET!G96</f>
        <v>0</v>
      </c>
      <c r="E16" s="884"/>
    </row>
    <row r="17" spans="1:6" x14ac:dyDescent="0.2">
      <c r="A17" s="79">
        <v>8</v>
      </c>
      <c r="B17" s="885" t="s">
        <v>677</v>
      </c>
      <c r="C17" s="886"/>
      <c r="D17" s="887"/>
      <c r="E17" s="888"/>
    </row>
    <row r="18" spans="1:6" ht="15" customHeight="1" x14ac:dyDescent="0.2">
      <c r="A18" s="889" t="s">
        <v>678</v>
      </c>
      <c r="B18" s="890"/>
      <c r="C18" s="891"/>
      <c r="D18" s="892">
        <f>+SUM(D9+D17)</f>
        <v>0</v>
      </c>
      <c r="E18" s="893"/>
    </row>
    <row r="19" spans="1:6" x14ac:dyDescent="0.2">
      <c r="A19" s="894" t="s">
        <v>679</v>
      </c>
      <c r="B19" s="895"/>
      <c r="C19" s="896"/>
      <c r="D19" s="897">
        <f>+SUM(D20:E23)</f>
        <v>0</v>
      </c>
      <c r="E19" s="898"/>
    </row>
    <row r="20" spans="1:6" x14ac:dyDescent="0.2">
      <c r="A20" s="78">
        <v>9</v>
      </c>
      <c r="B20" s="867" t="s">
        <v>198</v>
      </c>
      <c r="C20" s="899"/>
      <c r="D20" s="900">
        <f>+BALANCESHEET!G85</f>
        <v>0</v>
      </c>
      <c r="E20" s="901"/>
    </row>
    <row r="21" spans="1:6" x14ac:dyDescent="0.2">
      <c r="A21" s="78">
        <v>10</v>
      </c>
      <c r="B21" s="871" t="s">
        <v>206</v>
      </c>
      <c r="C21" s="902"/>
      <c r="D21" s="900">
        <f>+BALANCESHEET!G89</f>
        <v>0</v>
      </c>
      <c r="E21" s="901"/>
    </row>
    <row r="22" spans="1:6" x14ac:dyDescent="0.2">
      <c r="A22" s="78">
        <v>11</v>
      </c>
      <c r="B22" s="875" t="s">
        <v>211</v>
      </c>
      <c r="C22" s="872"/>
      <c r="D22" s="900">
        <f>+BALANCESHEET!G93</f>
        <v>0</v>
      </c>
      <c r="E22" s="901"/>
    </row>
    <row r="23" spans="1:6" x14ac:dyDescent="0.2">
      <c r="A23" s="82">
        <v>12</v>
      </c>
      <c r="B23" s="906" t="s">
        <v>680</v>
      </c>
      <c r="C23" s="907"/>
      <c r="D23" s="900">
        <f>+BALANCESHEET!G97</f>
        <v>0</v>
      </c>
      <c r="E23" s="901"/>
    </row>
    <row r="24" spans="1:6" ht="15" customHeight="1" x14ac:dyDescent="0.2">
      <c r="A24" s="908" t="s">
        <v>681</v>
      </c>
      <c r="B24" s="910" t="s">
        <v>682</v>
      </c>
      <c r="C24" s="912" t="s">
        <v>683</v>
      </c>
      <c r="D24" s="914" t="s">
        <v>684</v>
      </c>
      <c r="E24" s="142">
        <f>+SUM(E26,E44,D17,E46,E47)</f>
        <v>0</v>
      </c>
    </row>
    <row r="25" spans="1:6" ht="25.5" x14ac:dyDescent="0.2">
      <c r="A25" s="909"/>
      <c r="B25" s="911"/>
      <c r="C25" s="913"/>
      <c r="D25" s="915"/>
      <c r="E25" s="143" t="s">
        <v>685</v>
      </c>
    </row>
    <row r="26" spans="1:6" ht="13.5" customHeight="1" x14ac:dyDescent="0.2">
      <c r="A26" s="916" t="s">
        <v>686</v>
      </c>
      <c r="B26" s="917"/>
      <c r="C26" s="918"/>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919" t="s">
        <v>701</v>
      </c>
      <c r="B44" s="920"/>
      <c r="C44" s="920"/>
      <c r="D44" s="921"/>
      <c r="E44" s="155">
        <f>+E45</f>
        <v>0</v>
      </c>
    </row>
    <row r="45" spans="1:6" x14ac:dyDescent="0.2">
      <c r="A45" s="90">
        <v>18</v>
      </c>
      <c r="B45" s="91" t="s">
        <v>702</v>
      </c>
      <c r="C45" s="92">
        <v>1</v>
      </c>
      <c r="D45" s="156">
        <f>+SUM(BALANCE!D332,BALANCE!D333)/1000</f>
        <v>0</v>
      </c>
      <c r="E45" s="157">
        <f>+C45*D45</f>
        <v>0</v>
      </c>
    </row>
    <row r="46" spans="1:6" x14ac:dyDescent="0.2">
      <c r="A46" s="93" t="s">
        <v>572</v>
      </c>
      <c r="B46" s="922" t="s">
        <v>703</v>
      </c>
      <c r="C46" s="923"/>
      <c r="D46" s="924"/>
      <c r="E46" s="158">
        <f>ABS(Forex!M26)</f>
        <v>0</v>
      </c>
      <c r="F46" s="84"/>
    </row>
    <row r="47" spans="1:6" x14ac:dyDescent="0.2">
      <c r="A47" s="94" t="s">
        <v>574</v>
      </c>
      <c r="B47" s="925" t="s">
        <v>704</v>
      </c>
      <c r="C47" s="926"/>
      <c r="D47" s="927"/>
      <c r="E47" s="159">
        <f>Statistic!C52*0.15/0.2</f>
        <v>0</v>
      </c>
      <c r="F47" s="9"/>
    </row>
    <row r="48" spans="1:6" x14ac:dyDescent="0.2">
      <c r="A48" s="95" t="s">
        <v>705</v>
      </c>
      <c r="B48" s="928" t="s">
        <v>706</v>
      </c>
      <c r="C48" s="929"/>
      <c r="D48" s="930"/>
      <c r="E48" s="160" t="s">
        <v>707</v>
      </c>
      <c r="F48" s="84"/>
    </row>
    <row r="49" spans="1:6" x14ac:dyDescent="0.2">
      <c r="A49" s="96">
        <v>1</v>
      </c>
      <c r="B49" s="903" t="s">
        <v>708</v>
      </c>
      <c r="C49" s="904"/>
      <c r="D49" s="905"/>
      <c r="E49" s="161" t="e">
        <f>+D9/E24*100%</f>
        <v>#DIV/0!</v>
      </c>
      <c r="F49" s="84"/>
    </row>
    <row r="50" spans="1:6" x14ac:dyDescent="0.2">
      <c r="A50" s="97">
        <v>2</v>
      </c>
      <c r="B50" s="932" t="s">
        <v>709</v>
      </c>
      <c r="C50" s="933"/>
      <c r="D50" s="934"/>
      <c r="E50" s="162" t="e">
        <f>IF(E49&lt;0.1,"Хангаагүй","Хангасан")</f>
        <v>#DIV/0!</v>
      </c>
    </row>
    <row r="51" spans="1:6" ht="12.75" customHeight="1" x14ac:dyDescent="0.2">
      <c r="A51" s="95" t="s">
        <v>710</v>
      </c>
      <c r="B51" s="928" t="s">
        <v>711</v>
      </c>
      <c r="C51" s="929"/>
      <c r="D51" s="930"/>
      <c r="E51" s="163" t="s">
        <v>712</v>
      </c>
    </row>
    <row r="52" spans="1:6" x14ac:dyDescent="0.2">
      <c r="A52" s="90">
        <v>1</v>
      </c>
      <c r="B52" s="932" t="s">
        <v>708</v>
      </c>
      <c r="C52" s="933"/>
      <c r="D52" s="934"/>
      <c r="E52" s="366" t="e">
        <f>+BALANCESHEET!G82/E24</f>
        <v>#DIV/0!</v>
      </c>
    </row>
    <row r="53" spans="1:6" x14ac:dyDescent="0.2">
      <c r="A53" s="90">
        <v>2</v>
      </c>
      <c r="B53" s="932" t="s">
        <v>709</v>
      </c>
      <c r="C53" s="933"/>
      <c r="D53" s="934"/>
      <c r="E53" s="162" t="e">
        <f>+IF(E52&lt;0.2,"Хангаагүй","Хангасан")</f>
        <v>#DIV/0!</v>
      </c>
    </row>
    <row r="54" spans="1:6" ht="12.75" customHeight="1" x14ac:dyDescent="0.2">
      <c r="A54" s="98" t="s">
        <v>713</v>
      </c>
      <c r="B54" s="928" t="s">
        <v>714</v>
      </c>
      <c r="C54" s="929"/>
      <c r="D54" s="930"/>
      <c r="E54" s="163" t="s">
        <v>707</v>
      </c>
    </row>
    <row r="55" spans="1:6" x14ac:dyDescent="0.2">
      <c r="A55" s="97">
        <v>1</v>
      </c>
      <c r="B55" s="932" t="s">
        <v>708</v>
      </c>
      <c r="C55" s="933"/>
      <c r="D55" s="934"/>
      <c r="E55" s="164" t="e">
        <f>+D9/BALANCESHEET!C116</f>
        <v>#DIV/0!</v>
      </c>
    </row>
    <row r="56" spans="1:6" ht="13.5" thickBot="1" x14ac:dyDescent="0.25">
      <c r="A56" s="99">
        <v>2</v>
      </c>
      <c r="B56" s="935" t="s">
        <v>709</v>
      </c>
      <c r="C56" s="936"/>
      <c r="D56" s="937"/>
      <c r="E56" s="165" t="e">
        <f>+IF(E55&lt;0.1,"Хангаагүй","Хангасан")</f>
        <v>#DIV/0!</v>
      </c>
    </row>
    <row r="57" spans="1:6" ht="13.5" thickTop="1" x14ac:dyDescent="0.2"/>
    <row r="59" spans="1:6" x14ac:dyDescent="0.2">
      <c r="A59" s="749" t="s">
        <v>36</v>
      </c>
      <c r="B59" s="749"/>
      <c r="C59" s="135"/>
      <c r="D59" s="13"/>
      <c r="E59" s="14"/>
    </row>
    <row r="60" spans="1:6" x14ac:dyDescent="0.2">
      <c r="A60" s="70"/>
      <c r="B60" s="136"/>
      <c r="C60" s="135"/>
      <c r="D60" s="13"/>
      <c r="E60" s="14"/>
    </row>
    <row r="61" spans="1:6" ht="15" customHeight="1" x14ac:dyDescent="0.2">
      <c r="A61" s="807" t="s">
        <v>437</v>
      </c>
      <c r="B61" s="807"/>
      <c r="C61" s="137"/>
      <c r="D61" s="17"/>
      <c r="E61" s="3"/>
    </row>
    <row r="62" spans="1:6" x14ac:dyDescent="0.2">
      <c r="A62" s="16"/>
      <c r="B62" s="136"/>
      <c r="C62" s="135"/>
      <c r="D62" s="13"/>
      <c r="E62" s="14"/>
    </row>
    <row r="63" spans="1:6" x14ac:dyDescent="0.2">
      <c r="A63" s="931" t="str">
        <f>+BALANCE!D361</f>
        <v>ГҮЙЦЭТГЭХ ЗАХИРАЛ.................................................................//</v>
      </c>
      <c r="B63" s="931"/>
      <c r="C63" s="931"/>
      <c r="D63" s="931"/>
      <c r="E63" s="931"/>
    </row>
    <row r="64" spans="1:6" x14ac:dyDescent="0.2">
      <c r="A64" s="450"/>
      <c r="B64" s="450"/>
      <c r="C64" s="450"/>
      <c r="D64" s="450"/>
      <c r="E64" s="450"/>
    </row>
    <row r="65" spans="1:5" x14ac:dyDescent="0.2">
      <c r="A65" s="931" t="str">
        <f>+BALANCE!D363</f>
        <v>ЕРӨНХИЙ НЯГТЛАН БОДОГЧ....................................................//</v>
      </c>
      <c r="B65" s="931"/>
      <c r="C65" s="931"/>
      <c r="D65" s="931"/>
      <c r="E65" s="931"/>
    </row>
    <row r="66" spans="1:5" x14ac:dyDescent="0.2">
      <c r="A66" s="450"/>
      <c r="B66" s="450"/>
      <c r="C66" s="450"/>
      <c r="D66" s="450"/>
      <c r="E66" s="450"/>
    </row>
    <row r="67" spans="1:5" x14ac:dyDescent="0.2">
      <c r="A67" s="931">
        <f>+BALANCE!D365</f>
        <v>0</v>
      </c>
      <c r="B67" s="931"/>
      <c r="C67" s="931"/>
      <c r="D67" s="931"/>
      <c r="E67" s="931"/>
    </row>
    <row r="68" spans="1:5" x14ac:dyDescent="0.2">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40625"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56" t="s">
        <v>715</v>
      </c>
      <c r="B2" s="756"/>
      <c r="C2" s="756"/>
      <c r="D2" s="756"/>
      <c r="E2" s="756"/>
    </row>
    <row r="3" spans="1:5" x14ac:dyDescent="0.2">
      <c r="A3" s="823" t="str">
        <f>BALANCE!A3</f>
        <v>БАНК БУС САНХҮҮГИЙН БАЙГУУЛЛАГЫН НЭР</v>
      </c>
      <c r="B3" s="823"/>
      <c r="C3" s="823"/>
      <c r="D3" s="823"/>
      <c r="E3" s="823"/>
    </row>
    <row r="4" spans="1:5" x14ac:dyDescent="0.2">
      <c r="A4" s="756" t="str">
        <f>BALANCE!A4</f>
        <v>БАНК БУС САНХҮҮГИЙН БАЙГУУЛЛАГА</v>
      </c>
      <c r="B4" s="756"/>
      <c r="C4" s="756"/>
      <c r="D4" s="756"/>
      <c r="E4" s="756"/>
    </row>
    <row r="5" spans="1:5" x14ac:dyDescent="0.2">
      <c r="A5" s="1"/>
      <c r="B5" s="1"/>
      <c r="C5" s="1"/>
      <c r="D5" s="1"/>
      <c r="E5" s="1"/>
    </row>
    <row r="6" spans="1:5" x14ac:dyDescent="0.2">
      <c r="A6" s="824">
        <f>BALANCE!A6</f>
        <v>44651</v>
      </c>
      <c r="B6" s="824"/>
      <c r="C6" s="166"/>
      <c r="D6" s="166"/>
      <c r="E6" s="167" t="s">
        <v>439</v>
      </c>
    </row>
    <row r="7" spans="1:5" x14ac:dyDescent="0.2">
      <c r="A7" s="939" t="s">
        <v>529</v>
      </c>
      <c r="B7" s="939"/>
      <c r="C7" s="245" t="s">
        <v>716</v>
      </c>
      <c r="D7" s="245" t="s">
        <v>717</v>
      </c>
      <c r="E7" s="245" t="s">
        <v>670</v>
      </c>
    </row>
    <row r="8" spans="1:5" x14ac:dyDescent="0.2">
      <c r="A8" s="940" t="s">
        <v>718</v>
      </c>
      <c r="B8" s="940"/>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40" t="s">
        <v>721</v>
      </c>
      <c r="B14" s="940"/>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41" t="s">
        <v>728</v>
      </c>
      <c r="B26" s="941"/>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49" t="s">
        <v>36</v>
      </c>
      <c r="B30" s="749"/>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8" t="str">
        <f>+BALANCE!D361</f>
        <v>ГҮЙЦЭТГЭХ ЗАХИРАЛ.................................................................//</v>
      </c>
      <c r="C34" s="938"/>
      <c r="D34" s="938"/>
      <c r="E34" s="938"/>
      <c r="F34" s="139"/>
    </row>
    <row r="35" spans="1:8" x14ac:dyDescent="0.2">
      <c r="A35" s="15"/>
      <c r="B35" s="449"/>
      <c r="C35" s="173"/>
      <c r="D35" s="173"/>
      <c r="E35" s="449"/>
      <c r="F35" s="139"/>
    </row>
    <row r="36" spans="1:8" x14ac:dyDescent="0.2">
      <c r="A36" s="15"/>
      <c r="B36" s="938" t="str">
        <f>BALANCE!D363</f>
        <v>ЕРӨНХИЙ НЯГТЛАН БОДОГЧ....................................................//</v>
      </c>
      <c r="C36" s="938"/>
      <c r="D36" s="938"/>
      <c r="E36" s="938"/>
      <c r="F36" s="139"/>
    </row>
    <row r="37" spans="1:8" x14ac:dyDescent="0.2">
      <c r="A37" s="15"/>
      <c r="B37" s="449"/>
      <c r="C37" s="173"/>
      <c r="D37" s="173"/>
      <c r="E37" s="449"/>
      <c r="F37" s="139"/>
    </row>
    <row r="38" spans="1:8" x14ac:dyDescent="0.2">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40625"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56" t="s">
        <v>729</v>
      </c>
      <c r="B2" s="756"/>
      <c r="C2" s="756"/>
      <c r="D2" s="756"/>
      <c r="E2" s="756"/>
      <c r="F2" s="756"/>
      <c r="G2" s="756"/>
      <c r="H2" s="756"/>
      <c r="I2" s="756"/>
      <c r="J2" s="756"/>
      <c r="K2" s="756"/>
      <c r="L2" s="756"/>
      <c r="M2" s="756"/>
    </row>
    <row r="3" spans="1:13" x14ac:dyDescent="0.2">
      <c r="A3" s="823" t="str">
        <f>BALANCE!A3</f>
        <v>БАНК БУС САНХҮҮГИЙН БАЙГУУЛЛАГЫН НЭР</v>
      </c>
      <c r="B3" s="823"/>
      <c r="C3" s="823"/>
      <c r="D3" s="823"/>
      <c r="E3" s="823"/>
      <c r="F3" s="823"/>
      <c r="G3" s="823"/>
      <c r="H3" s="823"/>
      <c r="I3" s="823"/>
      <c r="J3" s="823"/>
      <c r="K3" s="823"/>
      <c r="L3" s="823"/>
      <c r="M3" s="823"/>
    </row>
    <row r="4" spans="1:13" ht="13.5" customHeight="1" x14ac:dyDescent="0.2">
      <c r="A4" s="756" t="str">
        <f>BALANCE!A4</f>
        <v>БАНК БУС САНХҮҮГИЙН БАЙГУУЛЛАГА</v>
      </c>
      <c r="B4" s="756"/>
      <c r="C4" s="756"/>
      <c r="D4" s="756"/>
      <c r="E4" s="756"/>
      <c r="F4" s="756"/>
      <c r="G4" s="756"/>
      <c r="H4" s="756"/>
      <c r="I4" s="756"/>
      <c r="J4" s="756"/>
      <c r="K4" s="756"/>
      <c r="L4" s="756"/>
      <c r="M4" s="756"/>
    </row>
    <row r="5" spans="1:13" ht="13.5" customHeight="1" x14ac:dyDescent="0.2">
      <c r="A5" s="390"/>
      <c r="B5" s="390"/>
      <c r="C5" s="390"/>
      <c r="D5" s="390"/>
      <c r="E5" s="390"/>
      <c r="F5" s="390"/>
      <c r="G5" s="390"/>
      <c r="H5" s="390"/>
      <c r="I5" s="390"/>
      <c r="J5" s="390"/>
      <c r="K5" s="390"/>
      <c r="L5" s="390"/>
      <c r="M5" s="390"/>
    </row>
    <row r="6" spans="1:13" x14ac:dyDescent="0.2">
      <c r="A6" s="943">
        <f>BALANCE!A6</f>
        <v>44651</v>
      </c>
      <c r="B6" s="943"/>
      <c r="L6" s="944" t="s">
        <v>439</v>
      </c>
      <c r="M6" s="944"/>
    </row>
    <row r="7" spans="1:13" x14ac:dyDescent="0.2">
      <c r="A7" s="945" t="s">
        <v>529</v>
      </c>
      <c r="B7" s="945"/>
      <c r="C7" s="946" t="s">
        <v>730</v>
      </c>
      <c r="D7" s="946"/>
      <c r="E7" s="946"/>
      <c r="F7" s="946"/>
      <c r="G7" s="946"/>
      <c r="H7" s="946"/>
      <c r="I7" s="946"/>
      <c r="J7" s="946"/>
      <c r="K7" s="946"/>
      <c r="L7" s="946" t="s">
        <v>670</v>
      </c>
      <c r="M7" s="946"/>
    </row>
    <row r="8" spans="1:13" x14ac:dyDescent="0.2">
      <c r="A8" s="945"/>
      <c r="B8" s="945"/>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2" t="s">
        <v>733</v>
      </c>
      <c r="B9" s="942"/>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2" t="s">
        <v>740</v>
      </c>
      <c r="B16" s="942"/>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2" t="s">
        <v>746</v>
      </c>
      <c r="B23" s="942"/>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49" t="s">
        <v>749</v>
      </c>
      <c r="B26" s="949"/>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50" t="s">
        <v>750</v>
      </c>
      <c r="B27" s="950"/>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50" t="s">
        <v>751</v>
      </c>
      <c r="B28" s="950"/>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51" t="s">
        <v>752</v>
      </c>
      <c r="B29" s="951"/>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52" t="s">
        <v>753</v>
      </c>
      <c r="B30" s="952"/>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53" t="s">
        <v>754</v>
      </c>
      <c r="B31" s="953"/>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54" t="s">
        <v>756</v>
      </c>
      <c r="B32" s="954"/>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7" t="s">
        <v>1120</v>
      </c>
      <c r="B34" s="947"/>
      <c r="C34" s="947"/>
      <c r="D34" s="947"/>
      <c r="E34" s="947"/>
      <c r="F34" s="947"/>
      <c r="G34" s="947"/>
      <c r="H34" s="947"/>
      <c r="I34" s="947"/>
      <c r="J34" s="947"/>
      <c r="K34" s="947"/>
      <c r="L34" s="947"/>
      <c r="M34" s="947"/>
    </row>
    <row r="35" spans="1:13" x14ac:dyDescent="0.2">
      <c r="A35" s="948" t="s">
        <v>1119</v>
      </c>
      <c r="B35" s="948"/>
      <c r="C35" s="948"/>
      <c r="D35" s="948"/>
      <c r="E35" s="948"/>
      <c r="F35" s="948"/>
      <c r="G35" s="948"/>
      <c r="H35" s="948"/>
      <c r="I35" s="948"/>
      <c r="J35" s="948"/>
      <c r="K35" s="948"/>
      <c r="L35" s="948"/>
      <c r="M35" s="948"/>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55" t="s">
        <v>437</v>
      </c>
      <c r="E39" s="955"/>
      <c r="F39" s="955"/>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8" t="str">
        <f>BALANCE!D361</f>
        <v>ГҮЙЦЭТГЭХ ЗАХИРАЛ.................................................................//</v>
      </c>
      <c r="E41" s="938"/>
      <c r="F41" s="938"/>
      <c r="G41" s="938"/>
      <c r="H41" s="938"/>
      <c r="I41" s="938"/>
      <c r="J41" s="938"/>
      <c r="K41" s="938"/>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8" t="str">
        <f>BALANCE!D363</f>
        <v>ЕРӨНХИЙ НЯГТЛАН БОДОГЧ....................................................//</v>
      </c>
      <c r="E43" s="938"/>
      <c r="F43" s="938"/>
      <c r="G43" s="938"/>
      <c r="H43" s="938"/>
      <c r="I43" s="938"/>
      <c r="J43" s="938"/>
      <c r="K43" s="938"/>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8">
        <f>BALANCE!D365</f>
        <v>0</v>
      </c>
      <c r="E45" s="938"/>
      <c r="F45" s="938"/>
      <c r="G45" s="938"/>
      <c r="H45" s="938"/>
      <c r="I45" s="938"/>
      <c r="J45" s="938"/>
      <c r="K45" s="938"/>
    </row>
  </sheetData>
  <sheetProtection password="CA9F" sheet="1" objects="1" scenarios="1"/>
  <mergeCells count="24">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 ref="A9:B9"/>
    <mergeCell ref="A2:M2"/>
    <mergeCell ref="A3:M3"/>
    <mergeCell ref="A4:M4"/>
    <mergeCell ref="A6:B6"/>
    <mergeCell ref="L6:M6"/>
    <mergeCell ref="A7:B8"/>
    <mergeCell ref="C7:K7"/>
    <mergeCell ref="L7:M7"/>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40625"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56" t="s">
        <v>757</v>
      </c>
      <c r="B2" s="756"/>
      <c r="C2" s="756"/>
      <c r="D2" s="756"/>
      <c r="E2" s="756"/>
      <c r="F2" s="756"/>
      <c r="G2" s="756"/>
    </row>
    <row r="3" spans="1:9" x14ac:dyDescent="0.2">
      <c r="A3" s="823" t="str">
        <f>+BALANCE!A3</f>
        <v>БАНК БУС САНХҮҮГИЙН БАЙГУУЛЛАГЫН НЭР</v>
      </c>
      <c r="B3" s="823"/>
      <c r="C3" s="823"/>
      <c r="D3" s="823"/>
      <c r="E3" s="823"/>
      <c r="F3" s="823"/>
      <c r="G3" s="823"/>
      <c r="H3" s="104"/>
      <c r="I3" s="104"/>
    </row>
    <row r="4" spans="1:9" x14ac:dyDescent="0.2">
      <c r="A4" s="756" t="str">
        <f>+BALANCE!A4</f>
        <v>БАНК БУС САНХҮҮГИЙН БАЙГУУЛЛАГА</v>
      </c>
      <c r="B4" s="756"/>
      <c r="C4" s="756"/>
      <c r="D4" s="756"/>
      <c r="E4" s="756"/>
      <c r="F4" s="756"/>
      <c r="G4" s="756"/>
      <c r="H4" s="2"/>
      <c r="I4" s="2"/>
    </row>
    <row r="5" spans="1:9" x14ac:dyDescent="0.2">
      <c r="A5" s="943">
        <f>+BALANCE!A6</f>
        <v>44651</v>
      </c>
      <c r="B5" s="943"/>
      <c r="G5" s="174" t="s">
        <v>439</v>
      </c>
    </row>
    <row r="6" spans="1:9" ht="16.5" customHeight="1" x14ac:dyDescent="0.2">
      <c r="A6" s="939" t="s">
        <v>529</v>
      </c>
      <c r="B6" s="939"/>
      <c r="C6" s="939"/>
      <c r="D6" s="939"/>
      <c r="E6" s="939"/>
      <c r="F6" s="956" t="s">
        <v>670</v>
      </c>
      <c r="G6" s="956"/>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6">
        <f>+BALANCESHEET!C47</f>
        <v>0</v>
      </c>
      <c r="G8" s="963">
        <f>+F8-E8</f>
        <v>0</v>
      </c>
    </row>
    <row r="9" spans="1:9" ht="15" customHeight="1" x14ac:dyDescent="0.2">
      <c r="A9" s="263">
        <v>1</v>
      </c>
      <c r="B9" s="105" t="s">
        <v>765</v>
      </c>
      <c r="C9" s="175">
        <f>+BALANCESHEET!C34+BALANCESHEET!C41</f>
        <v>0</v>
      </c>
      <c r="D9" s="268">
        <v>0</v>
      </c>
      <c r="E9" s="269">
        <f>C9*D9</f>
        <v>0</v>
      </c>
      <c r="F9" s="966"/>
      <c r="G9" s="963"/>
    </row>
    <row r="10" spans="1:9" ht="15" customHeight="1" x14ac:dyDescent="0.2">
      <c r="A10" s="263">
        <v>2</v>
      </c>
      <c r="B10" s="105" t="s">
        <v>1174</v>
      </c>
      <c r="C10" s="175">
        <f>+BALANCESHEET!C35+BALANCESHEET!C42</f>
        <v>0</v>
      </c>
      <c r="D10" s="106">
        <v>0.05</v>
      </c>
      <c r="E10" s="269">
        <f>C10*D10</f>
        <v>0</v>
      </c>
      <c r="F10" s="966"/>
      <c r="G10" s="963"/>
    </row>
    <row r="11" spans="1:9" ht="15" customHeight="1" x14ac:dyDescent="0.2">
      <c r="A11" s="270">
        <v>3</v>
      </c>
      <c r="B11" s="271" t="s">
        <v>766</v>
      </c>
      <c r="C11" s="272">
        <f>SUM(C12:C14)</f>
        <v>0</v>
      </c>
      <c r="D11" s="273"/>
      <c r="E11" s="274">
        <f>SUM(E12:E14)</f>
        <v>0</v>
      </c>
      <c r="F11" s="966"/>
      <c r="G11" s="963"/>
    </row>
    <row r="12" spans="1:9" x14ac:dyDescent="0.2">
      <c r="A12" s="275"/>
      <c r="B12" s="107" t="s">
        <v>767</v>
      </c>
      <c r="C12" s="175">
        <f>+BALANCESHEET!C37+BALANCESHEET!C44</f>
        <v>0</v>
      </c>
      <c r="D12" s="106">
        <v>0.25</v>
      </c>
      <c r="E12" s="175">
        <f>C12*D12</f>
        <v>0</v>
      </c>
      <c r="F12" s="966"/>
      <c r="G12" s="963"/>
    </row>
    <row r="13" spans="1:9" x14ac:dyDescent="0.2">
      <c r="A13" s="275"/>
      <c r="B13" s="107" t="s">
        <v>768</v>
      </c>
      <c r="C13" s="175">
        <f>+BALANCESHEET!C38+BALANCESHEET!C45</f>
        <v>0</v>
      </c>
      <c r="D13" s="106">
        <v>0.5</v>
      </c>
      <c r="E13" s="175">
        <f>C13*D13</f>
        <v>0</v>
      </c>
      <c r="F13" s="966"/>
      <c r="G13" s="963"/>
    </row>
    <row r="14" spans="1:9" x14ac:dyDescent="0.2">
      <c r="A14" s="275"/>
      <c r="B14" s="107" t="s">
        <v>769</v>
      </c>
      <c r="C14" s="175">
        <f>+BALANCESHEET!C39+BALANCESHEET!C46</f>
        <v>0</v>
      </c>
      <c r="D14" s="106">
        <v>1</v>
      </c>
      <c r="E14" s="175">
        <f>C14*D14</f>
        <v>0</v>
      </c>
      <c r="F14" s="966"/>
      <c r="G14" s="963"/>
    </row>
    <row r="15" spans="1:9" x14ac:dyDescent="0.2">
      <c r="A15" s="276" t="s">
        <v>770</v>
      </c>
      <c r="B15" s="277" t="s">
        <v>771</v>
      </c>
      <c r="C15" s="278">
        <f>+SUM(C16:C18)</f>
        <v>0</v>
      </c>
      <c r="D15" s="279">
        <v>1</v>
      </c>
      <c r="E15" s="278">
        <f>+SUM(E16:E18)</f>
        <v>0</v>
      </c>
      <c r="F15" s="959">
        <f>+BALANCESHEET!C64</f>
        <v>0</v>
      </c>
      <c r="G15" s="960">
        <f>+F15-E15</f>
        <v>0</v>
      </c>
    </row>
    <row r="16" spans="1:9" ht="15" customHeight="1" x14ac:dyDescent="0.2">
      <c r="A16" s="263">
        <v>4</v>
      </c>
      <c r="B16" s="107" t="s">
        <v>772</v>
      </c>
      <c r="C16" s="280">
        <f>+SUM(BALANCESHEET!C51,BALANCESHEET!C58)</f>
        <v>0</v>
      </c>
      <c r="D16" s="281">
        <v>0</v>
      </c>
      <c r="E16" s="176">
        <f>+C16*D16</f>
        <v>0</v>
      </c>
      <c r="F16" s="959"/>
      <c r="G16" s="960"/>
    </row>
    <row r="17" spans="1:7" ht="14.25" customHeight="1" x14ac:dyDescent="0.2">
      <c r="A17" s="263">
        <v>5</v>
      </c>
      <c r="B17" s="107" t="s">
        <v>1175</v>
      </c>
      <c r="C17" s="176">
        <f>+SUM(BALANCESHEET!C52,BALANCESHEET!C59)</f>
        <v>0</v>
      </c>
      <c r="D17" s="108">
        <v>0.05</v>
      </c>
      <c r="E17" s="176">
        <f>+C17*D17</f>
        <v>0</v>
      </c>
      <c r="F17" s="959"/>
      <c r="G17" s="960"/>
    </row>
    <row r="18" spans="1:7" x14ac:dyDescent="0.2">
      <c r="A18" s="282">
        <v>6</v>
      </c>
      <c r="B18" s="271" t="s">
        <v>773</v>
      </c>
      <c r="C18" s="283">
        <f>+SUM(C19:C21)</f>
        <v>0</v>
      </c>
      <c r="D18" s="284"/>
      <c r="E18" s="283">
        <f>+SUM(E19:E21)</f>
        <v>0</v>
      </c>
      <c r="F18" s="959"/>
      <c r="G18" s="960"/>
    </row>
    <row r="19" spans="1:7" x14ac:dyDescent="0.2">
      <c r="A19" s="263"/>
      <c r="B19" s="107" t="s">
        <v>767</v>
      </c>
      <c r="C19" s="176">
        <f>+SUM(BALANCESHEET!C54,BALANCESHEET!C61)</f>
        <v>0</v>
      </c>
      <c r="D19" s="108">
        <v>0.25</v>
      </c>
      <c r="E19" s="176">
        <f>+C19*D19</f>
        <v>0</v>
      </c>
      <c r="F19" s="959"/>
      <c r="G19" s="960"/>
    </row>
    <row r="20" spans="1:7" x14ac:dyDescent="0.2">
      <c r="A20" s="263"/>
      <c r="B20" s="107" t="s">
        <v>768</v>
      </c>
      <c r="C20" s="176">
        <f>+SUM(BALANCESHEET!C55,BALANCESHEET!C62)</f>
        <v>0</v>
      </c>
      <c r="D20" s="108">
        <v>0.5</v>
      </c>
      <c r="E20" s="176">
        <f>+C20*D20</f>
        <v>0</v>
      </c>
      <c r="F20" s="959"/>
      <c r="G20" s="960"/>
    </row>
    <row r="21" spans="1:7" x14ac:dyDescent="0.2">
      <c r="A21" s="263"/>
      <c r="B21" s="107" t="s">
        <v>769</v>
      </c>
      <c r="C21" s="176">
        <f>+SUM(BALANCESHEET!C56,BALANCESHEET!C63)</f>
        <v>0</v>
      </c>
      <c r="D21" s="108">
        <v>1</v>
      </c>
      <c r="E21" s="176">
        <f>+C21*D21</f>
        <v>0</v>
      </c>
      <c r="F21" s="959"/>
      <c r="G21" s="960"/>
    </row>
    <row r="22" spans="1:7" x14ac:dyDescent="0.2">
      <c r="A22" s="265" t="s">
        <v>774</v>
      </c>
      <c r="B22" s="285" t="s">
        <v>775</v>
      </c>
      <c r="C22" s="286">
        <f>+SUM(C23:C25)</f>
        <v>0</v>
      </c>
      <c r="D22" s="287">
        <v>1</v>
      </c>
      <c r="E22" s="286">
        <f>+SUM(E23:E25)</f>
        <v>0</v>
      </c>
      <c r="F22" s="964">
        <f>+BALANCESHEET!C81</f>
        <v>0</v>
      </c>
      <c r="G22" s="965">
        <f>+F22-E22</f>
        <v>0</v>
      </c>
    </row>
    <row r="23" spans="1:7" x14ac:dyDescent="0.2">
      <c r="A23" s="263">
        <v>7</v>
      </c>
      <c r="B23" s="107" t="s">
        <v>776</v>
      </c>
      <c r="C23" s="288">
        <f>+SUM(BALANCESHEET!C68,BALANCESHEET!C75)</f>
        <v>0</v>
      </c>
      <c r="D23" s="281">
        <v>0</v>
      </c>
      <c r="E23" s="175">
        <f>+C23*D23</f>
        <v>0</v>
      </c>
      <c r="F23" s="964"/>
      <c r="G23" s="965"/>
    </row>
    <row r="24" spans="1:7" x14ac:dyDescent="0.2">
      <c r="A24" s="263">
        <v>8</v>
      </c>
      <c r="B24" s="105" t="s">
        <v>1176</v>
      </c>
      <c r="C24" s="175">
        <f>+SUM(BALANCESHEET!C69,BALANCESHEET!C76)</f>
        <v>0</v>
      </c>
      <c r="D24" s="108">
        <v>0.05</v>
      </c>
      <c r="E24" s="175">
        <f>+C24*D24</f>
        <v>0</v>
      </c>
      <c r="F24" s="964"/>
      <c r="G24" s="965"/>
    </row>
    <row r="25" spans="1:7" x14ac:dyDescent="0.2">
      <c r="A25" s="282">
        <v>9</v>
      </c>
      <c r="B25" s="289" t="s">
        <v>777</v>
      </c>
      <c r="C25" s="272">
        <f>+SUM(C26:C28)</f>
        <v>0</v>
      </c>
      <c r="D25" s="284"/>
      <c r="E25" s="272">
        <f>+SUM(E26:E28)</f>
        <v>0</v>
      </c>
      <c r="F25" s="964"/>
      <c r="G25" s="965"/>
    </row>
    <row r="26" spans="1:7" x14ac:dyDescent="0.2">
      <c r="A26" s="263"/>
      <c r="B26" s="105" t="s">
        <v>767</v>
      </c>
      <c r="C26" s="175">
        <f>+SUM(BALANCESHEET!C71,BALANCESHEET!C78)</f>
        <v>0</v>
      </c>
      <c r="D26" s="108">
        <v>0.25</v>
      </c>
      <c r="E26" s="175">
        <f>+C26*D26</f>
        <v>0</v>
      </c>
      <c r="F26" s="964"/>
      <c r="G26" s="965"/>
    </row>
    <row r="27" spans="1:7" x14ac:dyDescent="0.2">
      <c r="A27" s="263"/>
      <c r="B27" s="105" t="s">
        <v>768</v>
      </c>
      <c r="C27" s="175">
        <f>+SUM(BALANCESHEET!C72,BALANCESHEET!C79)</f>
        <v>0</v>
      </c>
      <c r="D27" s="108">
        <v>0.5</v>
      </c>
      <c r="E27" s="175">
        <f>+C27*D27</f>
        <v>0</v>
      </c>
      <c r="F27" s="964"/>
      <c r="G27" s="965"/>
    </row>
    <row r="28" spans="1:7" x14ac:dyDescent="0.2">
      <c r="A28" s="263"/>
      <c r="B28" s="105" t="s">
        <v>769</v>
      </c>
      <c r="C28" s="175">
        <f>+SUM(BALANCESHEET!C73,BALANCESHEET!C80)</f>
        <v>0</v>
      </c>
      <c r="D28" s="108">
        <v>1</v>
      </c>
      <c r="E28" s="175">
        <f>+C28*D28</f>
        <v>0</v>
      </c>
      <c r="F28" s="964"/>
      <c r="G28" s="965"/>
    </row>
    <row r="29" spans="1:7" x14ac:dyDescent="0.2">
      <c r="A29" s="265" t="s">
        <v>778</v>
      </c>
      <c r="B29" s="285" t="s">
        <v>512</v>
      </c>
      <c r="C29" s="286">
        <f>+SUM(C30:C32)</f>
        <v>0</v>
      </c>
      <c r="D29" s="287">
        <v>1</v>
      </c>
      <c r="E29" s="286">
        <f>+SUM(E30:E32)</f>
        <v>0</v>
      </c>
      <c r="F29" s="959">
        <f>+BALANCESHEET!C109</f>
        <v>0</v>
      </c>
      <c r="G29" s="960">
        <f>+F29-E29</f>
        <v>0</v>
      </c>
    </row>
    <row r="30" spans="1:7" x14ac:dyDescent="0.2">
      <c r="A30" s="263">
        <v>10</v>
      </c>
      <c r="B30" s="105" t="s">
        <v>292</v>
      </c>
      <c r="C30" s="175">
        <f>+SUM(BALANCESHEET!C96,BALANCESHEET!C103)</f>
        <v>0</v>
      </c>
      <c r="D30" s="268">
        <v>0</v>
      </c>
      <c r="E30" s="175">
        <f>+C30*D30</f>
        <v>0</v>
      </c>
      <c r="F30" s="959"/>
      <c r="G30" s="960"/>
    </row>
    <row r="31" spans="1:7" x14ac:dyDescent="0.2">
      <c r="A31" s="263">
        <v>11</v>
      </c>
      <c r="B31" s="105" t="s">
        <v>1170</v>
      </c>
      <c r="C31" s="175">
        <f>+SUM(BALANCESHEET!C97,BALANCESHEET!C104)</f>
        <v>0</v>
      </c>
      <c r="D31" s="108">
        <v>0.05</v>
      </c>
      <c r="E31" s="175">
        <f>+C31*D31</f>
        <v>0</v>
      </c>
      <c r="F31" s="959"/>
      <c r="G31" s="960"/>
    </row>
    <row r="32" spans="1:7" x14ac:dyDescent="0.2">
      <c r="A32" s="282">
        <v>12</v>
      </c>
      <c r="B32" s="289" t="s">
        <v>779</v>
      </c>
      <c r="C32" s="272">
        <f>+SUM(C33:C35)</f>
        <v>0</v>
      </c>
      <c r="D32" s="284"/>
      <c r="E32" s="272">
        <f>+SUM(E33:E35)</f>
        <v>0</v>
      </c>
      <c r="F32" s="959"/>
      <c r="G32" s="960"/>
    </row>
    <row r="33" spans="1:7" x14ac:dyDescent="0.2">
      <c r="A33" s="290"/>
      <c r="B33" s="105" t="s">
        <v>767</v>
      </c>
      <c r="C33" s="175">
        <f>+SUM(BALANCESHEET!C99,BALANCESHEET!C106)</f>
        <v>0</v>
      </c>
      <c r="D33" s="108">
        <v>0.25</v>
      </c>
      <c r="E33" s="175">
        <f>+C33*D33</f>
        <v>0</v>
      </c>
      <c r="F33" s="959"/>
      <c r="G33" s="960"/>
    </row>
    <row r="34" spans="1:7" x14ac:dyDescent="0.2">
      <c r="A34" s="290"/>
      <c r="B34" s="105" t="s">
        <v>768</v>
      </c>
      <c r="C34" s="175">
        <f>+SUM(BALANCESHEET!C100,BALANCESHEET!C107)</f>
        <v>0</v>
      </c>
      <c r="D34" s="108">
        <v>0.5</v>
      </c>
      <c r="E34" s="175">
        <f>+C34*D34</f>
        <v>0</v>
      </c>
      <c r="F34" s="959"/>
      <c r="G34" s="960"/>
    </row>
    <row r="35" spans="1:7" x14ac:dyDescent="0.2">
      <c r="A35" s="290"/>
      <c r="B35" s="105" t="s">
        <v>769</v>
      </c>
      <c r="C35" s="175">
        <f>+SUM(BALANCESHEET!C101,BALANCESHEET!C108)</f>
        <v>0</v>
      </c>
      <c r="D35" s="108">
        <v>1</v>
      </c>
      <c r="E35" s="175">
        <f>+C35*D35</f>
        <v>0</v>
      </c>
      <c r="F35" s="959"/>
      <c r="G35" s="960"/>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61">
        <f>+BALANCESHEET!C84</f>
        <v>0</v>
      </c>
      <c r="G37" s="962">
        <f>+F37-E37</f>
        <v>0</v>
      </c>
    </row>
    <row r="38" spans="1:7" x14ac:dyDescent="0.2">
      <c r="A38" s="205">
        <v>13</v>
      </c>
      <c r="B38" s="107" t="s">
        <v>784</v>
      </c>
      <c r="C38" s="288">
        <f>+BALANCE!D176/1000</f>
        <v>0</v>
      </c>
      <c r="D38" s="296">
        <v>0</v>
      </c>
      <c r="E38" s="175">
        <f>+C38*D38</f>
        <v>0</v>
      </c>
      <c r="F38" s="961"/>
      <c r="G38" s="962"/>
    </row>
    <row r="39" spans="1:7" x14ac:dyDescent="0.2">
      <c r="A39" s="263">
        <v>14</v>
      </c>
      <c r="B39" s="105" t="s">
        <v>1177</v>
      </c>
      <c r="C39" s="175">
        <f>+BALANCE!D177/1000</f>
        <v>0</v>
      </c>
      <c r="D39" s="108">
        <v>0.05</v>
      </c>
      <c r="E39" s="175">
        <f>+C39*D39</f>
        <v>0</v>
      </c>
      <c r="F39" s="961"/>
      <c r="G39" s="962"/>
    </row>
    <row r="40" spans="1:7" x14ac:dyDescent="0.2">
      <c r="A40" s="282">
        <v>15</v>
      </c>
      <c r="B40" s="289" t="s">
        <v>785</v>
      </c>
      <c r="C40" s="272">
        <f>+SUM(C41:C43)</f>
        <v>0</v>
      </c>
      <c r="D40" s="284"/>
      <c r="E40" s="272">
        <f>+SUM(E41:E43)</f>
        <v>0</v>
      </c>
      <c r="F40" s="961"/>
      <c r="G40" s="962"/>
    </row>
    <row r="41" spans="1:7" x14ac:dyDescent="0.2">
      <c r="A41" s="263"/>
      <c r="B41" s="105" t="s">
        <v>767</v>
      </c>
      <c r="C41" s="175">
        <f>+BALANCE!D179/1000</f>
        <v>0</v>
      </c>
      <c r="D41" s="108">
        <v>0.25</v>
      </c>
      <c r="E41" s="175">
        <f>+C41*D41</f>
        <v>0</v>
      </c>
      <c r="F41" s="961"/>
      <c r="G41" s="962"/>
    </row>
    <row r="42" spans="1:7" x14ac:dyDescent="0.2">
      <c r="A42" s="263"/>
      <c r="B42" s="105" t="s">
        <v>768</v>
      </c>
      <c r="C42" s="175">
        <f>+BALANCE!D180/1000</f>
        <v>0</v>
      </c>
      <c r="D42" s="108">
        <v>0.5</v>
      </c>
      <c r="E42" s="175">
        <f>+C42*D42</f>
        <v>0</v>
      </c>
      <c r="F42" s="961"/>
      <c r="G42" s="962"/>
    </row>
    <row r="43" spans="1:7" x14ac:dyDescent="0.2">
      <c r="A43" s="263"/>
      <c r="B43" s="105" t="s">
        <v>769</v>
      </c>
      <c r="C43" s="175">
        <f>+BALANCE!D181/1000</f>
        <v>0</v>
      </c>
      <c r="D43" s="108">
        <v>1</v>
      </c>
      <c r="E43" s="175">
        <f>+C43*D43</f>
        <v>0</v>
      </c>
      <c r="F43" s="961"/>
      <c r="G43" s="962"/>
    </row>
    <row r="44" spans="1:7" ht="25.5" x14ac:dyDescent="0.2">
      <c r="A44" s="265" t="s">
        <v>786</v>
      </c>
      <c r="B44" s="285" t="s">
        <v>787</v>
      </c>
      <c r="C44" s="297">
        <f>+SUM(BALANCE!D332,BALANCE!D333)/1000</f>
        <v>0</v>
      </c>
      <c r="D44" s="298">
        <v>0</v>
      </c>
      <c r="E44" s="297">
        <f>+C44*D44</f>
        <v>0</v>
      </c>
      <c r="F44" s="299"/>
      <c r="G44" s="294"/>
    </row>
    <row r="45" spans="1:7" ht="15.75" customHeight="1" x14ac:dyDescent="0.2">
      <c r="A45" s="957" t="s">
        <v>788</v>
      </c>
      <c r="B45" s="957"/>
      <c r="C45" s="300">
        <f>+C44+C37+C36+C29+C22+C15+C8</f>
        <v>0</v>
      </c>
      <c r="D45" s="301"/>
      <c r="E45" s="300">
        <f>+E8+E15+E22+E29+E36+E37+E44</f>
        <v>0</v>
      </c>
      <c r="F45" s="302">
        <f>+F8+F15+F22+F29+F36+F37+F44</f>
        <v>0</v>
      </c>
      <c r="G45" s="303">
        <f>+G8+G15+G22+G29+G36+G37+G44</f>
        <v>0</v>
      </c>
    </row>
    <row r="47" spans="1:7" x14ac:dyDescent="0.2">
      <c r="A47" s="958" t="s">
        <v>36</v>
      </c>
      <c r="B47" s="958"/>
      <c r="C47" s="3"/>
      <c r="D47" s="136"/>
      <c r="E47" s="136"/>
      <c r="F47" s="13"/>
      <c r="G47" s="14"/>
    </row>
    <row r="48" spans="1:7" x14ac:dyDescent="0.2">
      <c r="B48" s="15"/>
      <c r="C48" s="16"/>
      <c r="D48" s="136"/>
      <c r="E48" s="136"/>
      <c r="F48" s="13"/>
      <c r="G48" s="14"/>
    </row>
    <row r="49" spans="2:7" x14ac:dyDescent="0.2">
      <c r="B49" s="807" t="s">
        <v>437</v>
      </c>
      <c r="C49" s="807"/>
      <c r="D49" s="17"/>
      <c r="F49" s="13"/>
      <c r="G49" s="14"/>
    </row>
    <row r="50" spans="2:7" x14ac:dyDescent="0.2">
      <c r="B50" s="15"/>
      <c r="C50" s="16"/>
      <c r="D50" s="136"/>
      <c r="E50" s="136"/>
      <c r="F50" s="13"/>
      <c r="G50" s="14"/>
    </row>
    <row r="51" spans="2:7" ht="15" customHeight="1" x14ac:dyDescent="0.2">
      <c r="B51" s="938" t="str">
        <f>+BALANCE!D361</f>
        <v>ГҮЙЦЭТГЭХ ЗАХИРАЛ.................................................................//</v>
      </c>
      <c r="C51" s="938"/>
      <c r="D51" s="938"/>
      <c r="E51" s="938"/>
      <c r="F51" s="938"/>
      <c r="G51" s="938"/>
    </row>
    <row r="52" spans="2:7" x14ac:dyDescent="0.2">
      <c r="B52" s="15"/>
      <c r="C52" s="53"/>
      <c r="D52" s="435"/>
      <c r="E52" s="449"/>
      <c r="F52" s="449"/>
      <c r="G52" s="449"/>
    </row>
    <row r="53" spans="2:7" ht="15" customHeight="1" x14ac:dyDescent="0.2">
      <c r="B53" s="938" t="str">
        <f>+BALANCE!D363</f>
        <v>ЕРӨНХИЙ НЯГТЛАН БОДОГЧ....................................................//</v>
      </c>
      <c r="C53" s="938"/>
      <c r="D53" s="938"/>
      <c r="E53" s="938"/>
      <c r="F53" s="938"/>
      <c r="G53" s="938"/>
    </row>
    <row r="54" spans="2:7" x14ac:dyDescent="0.2">
      <c r="B54" s="15"/>
      <c r="C54" s="53"/>
      <c r="D54" s="435"/>
      <c r="E54" s="449"/>
      <c r="F54" s="449"/>
      <c r="G54" s="449"/>
    </row>
    <row r="55" spans="2:7" ht="15" customHeight="1" x14ac:dyDescent="0.2">
      <c r="B55" s="938">
        <f>+BALANCE!D365</f>
        <v>0</v>
      </c>
      <c r="C55" s="938"/>
      <c r="D55" s="938"/>
      <c r="E55" s="938"/>
      <c r="F55" s="938"/>
      <c r="G55" s="938"/>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40625"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56" t="s">
        <v>789</v>
      </c>
      <c r="B2" s="756"/>
      <c r="C2" s="756"/>
      <c r="D2" s="756"/>
      <c r="E2" s="756"/>
      <c r="F2" s="756"/>
      <c r="G2" s="756"/>
      <c r="H2" s="756"/>
      <c r="I2" s="756"/>
      <c r="J2" s="756"/>
      <c r="K2" s="756"/>
    </row>
    <row r="3" spans="1:12" x14ac:dyDescent="0.2">
      <c r="A3" s="971" t="str">
        <f>BALANCE!A3</f>
        <v>БАНК БУС САНХҮҮГИЙН БАЙГУУЛЛАГЫН НЭР</v>
      </c>
      <c r="B3" s="971"/>
      <c r="C3" s="971"/>
      <c r="D3" s="971"/>
      <c r="E3" s="971"/>
      <c r="F3" s="971"/>
      <c r="G3" s="971"/>
      <c r="H3" s="971"/>
      <c r="I3" s="971"/>
      <c r="J3" s="971"/>
      <c r="K3" s="971"/>
    </row>
    <row r="4" spans="1:12" x14ac:dyDescent="0.2">
      <c r="A4" s="756" t="str">
        <f>+BALANCE!A4</f>
        <v>БАНК БУС САНХҮҮГИЙН БАЙГУУЛЛАГА</v>
      </c>
      <c r="B4" s="756"/>
      <c r="C4" s="756"/>
      <c r="D4" s="756"/>
      <c r="E4" s="756"/>
      <c r="F4" s="756"/>
      <c r="G4" s="756"/>
      <c r="H4" s="756"/>
      <c r="I4" s="756"/>
      <c r="J4" s="756"/>
      <c r="K4" s="756"/>
    </row>
    <row r="5" spans="1:12" x14ac:dyDescent="0.2">
      <c r="A5" s="423"/>
      <c r="B5" s="423"/>
      <c r="C5" s="423"/>
      <c r="D5" s="423"/>
      <c r="E5" s="423"/>
      <c r="F5" s="423"/>
      <c r="G5" s="423"/>
      <c r="H5" s="423"/>
      <c r="I5" s="423"/>
      <c r="J5" s="423"/>
      <c r="K5" s="423"/>
    </row>
    <row r="6" spans="1:12" x14ac:dyDescent="0.2">
      <c r="A6" s="824">
        <f>BALANCE!A6</f>
        <v>44651</v>
      </c>
      <c r="B6" s="824"/>
      <c r="J6" s="944" t="s">
        <v>439</v>
      </c>
      <c r="K6" s="944"/>
    </row>
    <row r="7" spans="1:12" ht="18.75" customHeight="1" x14ac:dyDescent="0.2">
      <c r="A7" s="939" t="s">
        <v>790</v>
      </c>
      <c r="B7" s="939"/>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7" t="s">
        <v>804</v>
      </c>
      <c r="B16" s="967"/>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8" t="s">
        <v>805</v>
      </c>
      <c r="B17" s="968"/>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7" t="s">
        <v>808</v>
      </c>
      <c r="B24" s="967"/>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9" t="s">
        <v>809</v>
      </c>
      <c r="B25" s="969"/>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9" t="s">
        <v>810</v>
      </c>
      <c r="B26" s="969"/>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70" t="s">
        <v>811</v>
      </c>
      <c r="B27" s="970"/>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8" t="str">
        <f>BALANCE!D361</f>
        <v>ГҮЙЦЭТГЭХ ЗАХИРАЛ.................................................................//</v>
      </c>
      <c r="E35" s="938"/>
      <c r="F35" s="938"/>
      <c r="G35" s="938"/>
      <c r="H35" s="938"/>
    </row>
    <row r="36" spans="2:8" x14ac:dyDescent="0.2">
      <c r="B36" s="426"/>
      <c r="C36" s="426"/>
      <c r="D36" s="449"/>
      <c r="E36" s="449"/>
      <c r="F36" s="449"/>
      <c r="G36" s="546"/>
      <c r="H36" s="546"/>
    </row>
    <row r="37" spans="2:8" ht="15" customHeight="1" x14ac:dyDescent="0.2">
      <c r="B37" s="177"/>
      <c r="C37" s="177"/>
      <c r="D37" s="938" t="str">
        <f>BALANCE!D363</f>
        <v>ЕРӨНХИЙ НЯГТЛАН БОДОГЧ....................................................//</v>
      </c>
      <c r="E37" s="938"/>
      <c r="F37" s="938"/>
      <c r="G37" s="938"/>
      <c r="H37" s="938"/>
    </row>
    <row r="38" spans="2:8" x14ac:dyDescent="0.2">
      <c r="B38" s="426"/>
      <c r="C38" s="426"/>
      <c r="D38" s="449"/>
      <c r="E38" s="449"/>
      <c r="F38" s="449"/>
      <c r="G38" s="546"/>
      <c r="H38" s="546"/>
    </row>
    <row r="39" spans="2:8" ht="15" customHeight="1" x14ac:dyDescent="0.2">
      <c r="B39" s="177"/>
      <c r="C39" s="177"/>
      <c r="D39" s="938">
        <f>BALANCE!D365</f>
        <v>0</v>
      </c>
      <c r="E39" s="938"/>
      <c r="F39" s="938"/>
      <c r="G39" s="938"/>
      <c r="H39" s="938"/>
    </row>
  </sheetData>
  <sheetProtection password="CA9F" sheet="1" objects="1" scenarios="1"/>
  <mergeCells count="15">
    <mergeCell ref="A2:K2"/>
    <mergeCell ref="A3:K3"/>
    <mergeCell ref="A4:K4"/>
    <mergeCell ref="A6:B6"/>
    <mergeCell ref="J6:K6"/>
    <mergeCell ref="A7:B7"/>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40625"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6" t="s">
        <v>812</v>
      </c>
      <c r="B2" s="766"/>
      <c r="C2" s="766"/>
      <c r="D2" s="766"/>
      <c r="E2" s="766"/>
      <c r="F2" s="766"/>
      <c r="G2" s="766"/>
      <c r="H2" s="766"/>
      <c r="I2" s="766"/>
      <c r="J2" s="766"/>
      <c r="K2" s="766"/>
      <c r="L2" s="766"/>
      <c r="M2" s="766"/>
      <c r="N2" s="766"/>
      <c r="O2" s="766"/>
      <c r="P2" s="766"/>
      <c r="Q2" s="766"/>
      <c r="R2" s="766"/>
      <c r="S2" s="766"/>
    </row>
    <row r="3" spans="1:21"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x14ac:dyDescent="0.2">
      <c r="A4" s="756" t="str">
        <f>BALANCE!A4</f>
        <v>БАНК БУС САНХҮҮГИЙН БАЙГУУЛЛАГА</v>
      </c>
      <c r="B4" s="756"/>
      <c r="C4" s="756"/>
      <c r="D4" s="756"/>
      <c r="E4" s="756"/>
      <c r="F4" s="756"/>
      <c r="G4" s="756"/>
      <c r="H4" s="756"/>
      <c r="I4" s="756"/>
      <c r="J4" s="756"/>
      <c r="K4" s="756"/>
      <c r="L4" s="756"/>
      <c r="M4" s="756"/>
      <c r="N4" s="756"/>
      <c r="O4" s="756"/>
      <c r="P4" s="756"/>
      <c r="Q4" s="756"/>
      <c r="R4" s="756"/>
      <c r="S4" s="756"/>
    </row>
    <row r="5" spans="1:21" x14ac:dyDescent="0.2">
      <c r="A5" s="824">
        <f>BALANCE!A6</f>
        <v>44651</v>
      </c>
      <c r="B5" s="824"/>
      <c r="C5" s="443"/>
      <c r="D5" s="443"/>
      <c r="E5" s="179"/>
      <c r="F5" s="522"/>
      <c r="G5" s="439"/>
      <c r="H5" s="439"/>
      <c r="I5" s="439"/>
      <c r="J5" s="439"/>
      <c r="K5" s="439"/>
      <c r="L5" s="179"/>
      <c r="M5" s="179"/>
      <c r="N5" s="523"/>
      <c r="O5" s="523"/>
      <c r="P5" s="179"/>
      <c r="Q5" s="179"/>
      <c r="R5" s="996" t="s">
        <v>439</v>
      </c>
      <c r="S5" s="996"/>
    </row>
    <row r="6" spans="1:21" ht="51" customHeight="1" x14ac:dyDescent="0.2">
      <c r="A6" s="989" t="s">
        <v>813</v>
      </c>
      <c r="B6" s="991" t="s">
        <v>1055</v>
      </c>
      <c r="C6" s="992"/>
      <c r="D6" s="987" t="s">
        <v>1058</v>
      </c>
      <c r="E6" s="972" t="s">
        <v>1283</v>
      </c>
      <c r="F6" s="994" t="s">
        <v>1059</v>
      </c>
      <c r="G6" s="972" t="s">
        <v>814</v>
      </c>
      <c r="H6" s="987" t="s">
        <v>815</v>
      </c>
      <c r="I6" s="987" t="s">
        <v>816</v>
      </c>
      <c r="J6" s="987" t="s">
        <v>817</v>
      </c>
      <c r="K6" s="987" t="s">
        <v>818</v>
      </c>
      <c r="L6" s="982" t="s">
        <v>819</v>
      </c>
      <c r="M6" s="984" t="s">
        <v>1060</v>
      </c>
      <c r="N6" s="976" t="s">
        <v>1101</v>
      </c>
      <c r="O6" s="976" t="s">
        <v>1061</v>
      </c>
      <c r="P6" s="985" t="s">
        <v>820</v>
      </c>
      <c r="Q6" s="972" t="s">
        <v>821</v>
      </c>
      <c r="R6" s="972" t="s">
        <v>822</v>
      </c>
      <c r="S6" s="974" t="s">
        <v>823</v>
      </c>
    </row>
    <row r="7" spans="1:21" x14ac:dyDescent="0.2">
      <c r="A7" s="990"/>
      <c r="B7" s="670" t="s">
        <v>1163</v>
      </c>
      <c r="C7" s="448" t="s">
        <v>1057</v>
      </c>
      <c r="D7" s="988"/>
      <c r="E7" s="993"/>
      <c r="F7" s="995"/>
      <c r="G7" s="973"/>
      <c r="H7" s="988"/>
      <c r="I7" s="988"/>
      <c r="J7" s="988"/>
      <c r="K7" s="988"/>
      <c r="L7" s="983"/>
      <c r="M7" s="984"/>
      <c r="N7" s="976"/>
      <c r="O7" s="976"/>
      <c r="P7" s="986"/>
      <c r="Q7" s="973"/>
      <c r="R7" s="973"/>
      <c r="S7" s="975"/>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78" t="s">
        <v>824</v>
      </c>
      <c r="B48" s="97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81" t="s">
        <v>825</v>
      </c>
      <c r="R49" s="981"/>
      <c r="S49" s="606" t="e">
        <f>MAX(S8:S47)</f>
        <v>#DIV/0!</v>
      </c>
    </row>
    <row r="50" spans="1:20" s="100" customFormat="1" ht="12.75" customHeight="1" x14ac:dyDescent="0.2">
      <c r="A50" s="977" t="s">
        <v>1079</v>
      </c>
      <c r="B50" s="977"/>
      <c r="C50" s="977"/>
      <c r="D50" s="977"/>
      <c r="E50" s="977"/>
      <c r="F50" s="977"/>
      <c r="G50" s="977"/>
      <c r="H50" s="977"/>
      <c r="I50" s="977"/>
      <c r="J50" s="977"/>
      <c r="K50" s="977"/>
      <c r="L50" s="977"/>
      <c r="M50" s="977"/>
      <c r="N50" s="977"/>
      <c r="O50" s="977"/>
      <c r="P50" s="977"/>
      <c r="Q50" s="977"/>
      <c r="R50" s="977"/>
      <c r="S50" s="977"/>
      <c r="T50" s="605"/>
    </row>
    <row r="51" spans="1:20" ht="12.75" customHeight="1" x14ac:dyDescent="0.2">
      <c r="A51" s="980" t="s">
        <v>927</v>
      </c>
      <c r="B51" s="980"/>
      <c r="C51" s="980"/>
      <c r="D51" s="980"/>
      <c r="E51" s="980"/>
      <c r="F51" s="980"/>
      <c r="G51" s="980"/>
      <c r="H51" s="980"/>
      <c r="I51" s="980"/>
      <c r="J51" s="980"/>
      <c r="K51" s="980"/>
      <c r="L51" s="980"/>
      <c r="M51" s="980"/>
      <c r="N51" s="980"/>
      <c r="O51" s="980"/>
      <c r="P51" s="980"/>
      <c r="Q51" s="980"/>
      <c r="R51" s="980"/>
      <c r="S51" s="980"/>
      <c r="T51" s="548"/>
    </row>
    <row r="52" spans="1:20" x14ac:dyDescent="0.2">
      <c r="A52" s="980"/>
      <c r="B52" s="980"/>
      <c r="C52" s="980"/>
      <c r="D52" s="980"/>
      <c r="E52" s="980"/>
      <c r="F52" s="980"/>
      <c r="G52" s="980"/>
      <c r="H52" s="980"/>
      <c r="I52" s="980"/>
      <c r="J52" s="980"/>
      <c r="K52" s="980"/>
      <c r="L52" s="980"/>
      <c r="M52" s="980"/>
      <c r="N52" s="980"/>
      <c r="O52" s="980"/>
      <c r="P52" s="980"/>
      <c r="Q52" s="980"/>
      <c r="R52" s="980"/>
      <c r="S52" s="980"/>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20" t="s">
        <v>36</v>
      </c>
      <c r="F54" s="820"/>
      <c r="G54" s="821"/>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07" t="s">
        <v>437</v>
      </c>
      <c r="H56" s="807"/>
      <c r="I56" s="807"/>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A2:S2"/>
    <mergeCell ref="A3:S3"/>
    <mergeCell ref="A4:S4"/>
    <mergeCell ref="A5:B5"/>
    <mergeCell ref="R5:S5"/>
    <mergeCell ref="A6:A7"/>
    <mergeCell ref="B6:C6"/>
    <mergeCell ref="D6:D7"/>
    <mergeCell ref="E6:E7"/>
    <mergeCell ref="F6:F7"/>
    <mergeCell ref="Q6:Q7"/>
    <mergeCell ref="G6:G7"/>
    <mergeCell ref="H6:H7"/>
    <mergeCell ref="I6:I7"/>
    <mergeCell ref="J6:J7"/>
    <mergeCell ref="K6:K7"/>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40625"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6" t="s">
        <v>858</v>
      </c>
      <c r="B2" s="766"/>
      <c r="C2" s="766"/>
      <c r="D2" s="766"/>
      <c r="E2" s="766"/>
      <c r="F2" s="766"/>
      <c r="G2" s="766"/>
      <c r="H2" s="766"/>
      <c r="I2" s="766"/>
      <c r="J2" s="766"/>
      <c r="K2" s="766"/>
      <c r="L2" s="766"/>
      <c r="M2" s="766"/>
      <c r="N2" s="766"/>
      <c r="O2" s="766"/>
      <c r="P2" s="766"/>
    </row>
    <row r="3" spans="1:16"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x14ac:dyDescent="0.2">
      <c r="A4" s="756" t="str">
        <f>BALANCE!A4</f>
        <v>БАНК БУС САНХҮҮГИЙН БАЙГУУЛЛАГА</v>
      </c>
      <c r="B4" s="756"/>
      <c r="C4" s="756"/>
      <c r="D4" s="756"/>
      <c r="E4" s="756"/>
      <c r="F4" s="756"/>
      <c r="G4" s="756"/>
      <c r="H4" s="756"/>
      <c r="I4" s="756"/>
      <c r="J4" s="756"/>
      <c r="K4" s="756"/>
      <c r="L4" s="756"/>
      <c r="M4" s="756"/>
      <c r="N4" s="756"/>
      <c r="O4" s="756"/>
      <c r="P4" s="756"/>
    </row>
    <row r="5" spans="1:16" x14ac:dyDescent="0.2">
      <c r="A5" s="824">
        <f>BALANCE!A6</f>
        <v>44651</v>
      </c>
      <c r="B5" s="824"/>
      <c r="C5" s="425"/>
      <c r="D5" s="112"/>
      <c r="E5" s="179"/>
      <c r="F5" s="179"/>
      <c r="G5" s="423"/>
      <c r="H5" s="423"/>
      <c r="I5" s="423"/>
      <c r="J5" s="423"/>
      <c r="K5" s="423"/>
      <c r="L5" s="179"/>
      <c r="M5" s="179"/>
      <c r="N5" s="179"/>
      <c r="O5" s="996" t="s">
        <v>439</v>
      </c>
      <c r="P5" s="996"/>
    </row>
    <row r="6" spans="1:16" ht="70.5" customHeight="1" x14ac:dyDescent="0.2">
      <c r="A6" s="989" t="s">
        <v>813</v>
      </c>
      <c r="B6" s="991" t="s">
        <v>1055</v>
      </c>
      <c r="C6" s="992"/>
      <c r="D6" s="987" t="s">
        <v>859</v>
      </c>
      <c r="E6" s="972" t="s">
        <v>1283</v>
      </c>
      <c r="F6" s="972" t="s">
        <v>1059</v>
      </c>
      <c r="G6" s="972" t="s">
        <v>814</v>
      </c>
      <c r="H6" s="989" t="s">
        <v>815</v>
      </c>
      <c r="I6" s="989" t="s">
        <v>816</v>
      </c>
      <c r="J6" s="987" t="s">
        <v>817</v>
      </c>
      <c r="K6" s="987" t="s">
        <v>818</v>
      </c>
      <c r="L6" s="972" t="s">
        <v>819</v>
      </c>
      <c r="M6" s="972" t="s">
        <v>820</v>
      </c>
      <c r="N6" s="972" t="s">
        <v>821</v>
      </c>
      <c r="O6" s="972" t="s">
        <v>822</v>
      </c>
      <c r="P6" s="974" t="s">
        <v>823</v>
      </c>
    </row>
    <row r="7" spans="1:16" x14ac:dyDescent="0.2">
      <c r="A7" s="990"/>
      <c r="B7" s="431" t="s">
        <v>1163</v>
      </c>
      <c r="C7" s="432" t="s">
        <v>1057</v>
      </c>
      <c r="D7" s="988"/>
      <c r="E7" s="993"/>
      <c r="F7" s="973"/>
      <c r="G7" s="973"/>
      <c r="H7" s="990"/>
      <c r="I7" s="990"/>
      <c r="J7" s="988"/>
      <c r="K7" s="988"/>
      <c r="L7" s="973"/>
      <c r="M7" s="973"/>
      <c r="N7" s="973"/>
      <c r="O7" s="973"/>
      <c r="P7" s="975"/>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78" t="s">
        <v>824</v>
      </c>
      <c r="B28" s="979"/>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7" t="s">
        <v>825</v>
      </c>
      <c r="N29" s="997"/>
      <c r="O29" s="997"/>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20" t="s">
        <v>36</v>
      </c>
      <c r="F31" s="820"/>
      <c r="G31" s="821"/>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07" t="s">
        <v>437</v>
      </c>
      <c r="H33" s="807"/>
      <c r="I33" s="807"/>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8" t="str">
        <f>BALANCE!D361</f>
        <v>ГҮЙЦЭТГЭХ ЗАХИРАЛ.................................................................//</v>
      </c>
      <c r="I35" s="938"/>
      <c r="J35" s="938"/>
      <c r="K35" s="938"/>
      <c r="L35" s="938"/>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8" t="str">
        <f>BALANCE!D363</f>
        <v>ЕРӨНХИЙ НЯГТЛАН БОДОГЧ....................................................//</v>
      </c>
      <c r="I37" s="938"/>
      <c r="J37" s="938"/>
      <c r="K37" s="938"/>
      <c r="L37" s="938"/>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8">
        <f>BALANCE!D365</f>
        <v>0</v>
      </c>
      <c r="I39" s="938"/>
      <c r="J39" s="938"/>
      <c r="K39" s="938"/>
      <c r="L39" s="938"/>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P6:P7"/>
    <mergeCell ref="A2:P2"/>
    <mergeCell ref="A3:P3"/>
    <mergeCell ref="A4:P4"/>
    <mergeCell ref="A5:B5"/>
    <mergeCell ref="O5:P5"/>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H39:L39"/>
    <mergeCell ref="H37:L37"/>
    <mergeCell ref="H35:L35"/>
    <mergeCell ref="M6:M7"/>
    <mergeCell ref="G33:I33"/>
    <mergeCell ref="G6:G7"/>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40625"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56" t="s">
        <v>866</v>
      </c>
      <c r="B2" s="756"/>
      <c r="C2" s="756"/>
      <c r="D2" s="756"/>
      <c r="E2" s="756"/>
      <c r="F2" s="756"/>
      <c r="G2" s="756"/>
      <c r="H2" s="756"/>
      <c r="I2" s="756"/>
      <c r="J2" s="756"/>
      <c r="K2" s="756"/>
      <c r="L2" s="756"/>
    </row>
    <row r="3" spans="1:13" x14ac:dyDescent="0.2">
      <c r="A3" s="823" t="str">
        <f>BALANCE!A3</f>
        <v>БАНК БУС САНХҮҮГИЙН БАЙГУУЛЛАГЫН НЭР</v>
      </c>
      <c r="B3" s="823"/>
      <c r="C3" s="823"/>
      <c r="D3" s="823"/>
      <c r="E3" s="823"/>
      <c r="F3" s="823"/>
      <c r="G3" s="823"/>
      <c r="H3" s="823"/>
      <c r="I3" s="823"/>
      <c r="J3" s="823"/>
      <c r="K3" s="823"/>
      <c r="L3" s="823"/>
    </row>
    <row r="4" spans="1:13" x14ac:dyDescent="0.2">
      <c r="A4" s="756" t="str">
        <f>+BALANCE!A4</f>
        <v>БАНК БУС САНХҮҮГИЙН БАЙГУУЛЛАГА</v>
      </c>
      <c r="B4" s="756"/>
      <c r="C4" s="756"/>
      <c r="D4" s="756"/>
      <c r="E4" s="756"/>
      <c r="F4" s="756"/>
      <c r="G4" s="756"/>
      <c r="H4" s="756"/>
      <c r="I4" s="756"/>
      <c r="J4" s="756"/>
      <c r="K4" s="756"/>
      <c r="L4" s="756"/>
    </row>
    <row r="5" spans="1:13" x14ac:dyDescent="0.2">
      <c r="A5" s="824">
        <f>BALANCE!A6</f>
        <v>44651</v>
      </c>
      <c r="B5" s="824"/>
      <c r="C5" s="346"/>
      <c r="L5" s="944" t="s">
        <v>439</v>
      </c>
      <c r="M5" s="944"/>
    </row>
    <row r="6" spans="1:13" x14ac:dyDescent="0.2">
      <c r="A6" s="987" t="s">
        <v>2</v>
      </c>
      <c r="B6" s="1000" t="s">
        <v>1282</v>
      </c>
      <c r="C6" s="1001"/>
      <c r="D6" s="972" t="s">
        <v>867</v>
      </c>
      <c r="E6" s="974" t="s">
        <v>1059</v>
      </c>
      <c r="F6" s="987" t="s">
        <v>868</v>
      </c>
      <c r="G6" s="987" t="s">
        <v>816</v>
      </c>
      <c r="H6" s="987" t="s">
        <v>869</v>
      </c>
      <c r="I6" s="987" t="s">
        <v>870</v>
      </c>
      <c r="J6" s="972" t="s">
        <v>871</v>
      </c>
      <c r="K6" s="972" t="s">
        <v>872</v>
      </c>
      <c r="L6" s="972" t="s">
        <v>873</v>
      </c>
      <c r="M6" s="1002" t="s">
        <v>823</v>
      </c>
    </row>
    <row r="7" spans="1:13" x14ac:dyDescent="0.2">
      <c r="A7" s="988"/>
      <c r="B7" s="388" t="s">
        <v>1056</v>
      </c>
      <c r="C7" s="388" t="s">
        <v>1057</v>
      </c>
      <c r="D7" s="973"/>
      <c r="E7" s="975"/>
      <c r="F7" s="988"/>
      <c r="G7" s="988"/>
      <c r="H7" s="988"/>
      <c r="I7" s="988"/>
      <c r="J7" s="973"/>
      <c r="K7" s="973"/>
      <c r="L7" s="973"/>
      <c r="M7" s="1003"/>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9" t="s">
        <v>824</v>
      </c>
      <c r="B28" s="939"/>
      <c r="C28" s="386"/>
      <c r="D28" s="421">
        <f>+SUM(D8:D27)</f>
        <v>0</v>
      </c>
      <c r="E28" s="306"/>
      <c r="F28" s="422"/>
      <c r="G28" s="422"/>
      <c r="H28" s="422"/>
      <c r="I28" s="422"/>
      <c r="J28" s="421"/>
      <c r="K28" s="421">
        <f>SUM(K8:K27)</f>
        <v>0</v>
      </c>
      <c r="L28" s="421">
        <f>+SUM(L8:L27)</f>
        <v>0</v>
      </c>
      <c r="M28" s="418"/>
    </row>
    <row r="29" spans="1:13" ht="15.75" customHeight="1" x14ac:dyDescent="0.2">
      <c r="F29" s="998" t="s">
        <v>874</v>
      </c>
      <c r="G29" s="998"/>
      <c r="H29" s="998"/>
      <c r="I29" s="998"/>
      <c r="J29" s="998"/>
      <c r="K29" s="998"/>
      <c r="L29" s="998"/>
      <c r="M29" s="309" t="e">
        <f>+MAX(M8:M27)</f>
        <v>#DIV/0!</v>
      </c>
    </row>
    <row r="30" spans="1:13" ht="12.75" customHeight="1" x14ac:dyDescent="0.2">
      <c r="F30" s="999" t="str">
        <f>IF(ROUND(SUM(BALANCESHEET!G14,BALANCESHEET!G42),2)=K28,"","Балансын дүнгээс зөрүүтэй тул зууны нарийвчлалтай шивнэ үү. зөв 200,265.23 | буруу 200,236.256")</f>
        <v/>
      </c>
      <c r="G30" s="999"/>
      <c r="H30" s="999"/>
      <c r="I30" s="999"/>
      <c r="J30" s="999"/>
      <c r="K30" s="999"/>
      <c r="L30" s="999"/>
      <c r="M30" s="999"/>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8" t="str">
        <f>BALANCE!D361</f>
        <v>ГҮЙЦЭТГЭХ ЗАХИРАЛ.................................................................//</v>
      </c>
      <c r="F35" s="938"/>
      <c r="G35" s="938"/>
      <c r="H35" s="938"/>
      <c r="I35" s="938"/>
      <c r="J35" s="938"/>
    </row>
    <row r="36" spans="2:10" x14ac:dyDescent="0.2">
      <c r="B36" s="138"/>
      <c r="C36" s="347"/>
      <c r="D36" s="138"/>
      <c r="E36" s="545"/>
      <c r="F36" s="449"/>
      <c r="G36" s="449"/>
      <c r="H36" s="387"/>
      <c r="I36" s="387"/>
      <c r="J36" s="546"/>
    </row>
    <row r="37" spans="2:10" ht="15" customHeight="1" x14ac:dyDescent="0.2">
      <c r="B37" s="177"/>
      <c r="C37" s="177"/>
      <c r="D37" s="177"/>
      <c r="E37" s="938" t="str">
        <f>BALANCE!D363</f>
        <v>ЕРӨНХИЙ НЯГТЛАН БОДОГЧ....................................................//</v>
      </c>
      <c r="F37" s="938"/>
      <c r="G37" s="938"/>
      <c r="H37" s="938"/>
      <c r="I37" s="938"/>
      <c r="J37" s="938"/>
    </row>
    <row r="38" spans="2:10" x14ac:dyDescent="0.2">
      <c r="B38" s="138"/>
      <c r="C38" s="347"/>
      <c r="D38" s="138"/>
      <c r="E38" s="545"/>
      <c r="F38" s="449"/>
      <c r="G38" s="449"/>
      <c r="H38" s="387"/>
      <c r="I38" s="387"/>
      <c r="J38" s="546"/>
    </row>
    <row r="39" spans="2:10" ht="15" customHeight="1" x14ac:dyDescent="0.2">
      <c r="B39" s="177"/>
      <c r="C39" s="177"/>
      <c r="D39" s="177"/>
      <c r="E39" s="938">
        <f>BALANCE!D365</f>
        <v>0</v>
      </c>
      <c r="F39" s="938"/>
      <c r="G39" s="938"/>
      <c r="H39" s="938"/>
      <c r="I39" s="938"/>
      <c r="J39" s="938"/>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5Ze8EOV76AEVTSCpGFqvu8gprpcToXwF1pysVHPDzmgadzNJq2Vgszefa+UJt9ENqjgdfAoNm3zb0CdKGeZS9Q==" saltValue="rYo09KX6pF88maSy0eM/Sg==" spinCount="100000" sheet="1"/>
  <mergeCells count="23">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 ref="A28:B28"/>
    <mergeCell ref="E39:J39"/>
    <mergeCell ref="F29:L29"/>
    <mergeCell ref="E35:J35"/>
    <mergeCell ref="E37:J37"/>
    <mergeCell ref="F30:M30"/>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ColWidth="9.140625"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56" t="s">
        <v>0</v>
      </c>
      <c r="B2" s="756"/>
      <c r="C2" s="756"/>
      <c r="D2" s="652"/>
      <c r="E2" s="652"/>
      <c r="F2" s="2"/>
      <c r="G2" s="2"/>
      <c r="H2" s="2"/>
      <c r="I2" s="2"/>
      <c r="J2" s="2"/>
    </row>
    <row r="3" spans="1:14" x14ac:dyDescent="0.2">
      <c r="A3" s="757" t="s">
        <v>1083</v>
      </c>
      <c r="B3" s="757"/>
      <c r="C3" s="757"/>
      <c r="D3" s="653"/>
      <c r="E3" s="653"/>
      <c r="F3" s="4"/>
      <c r="G3" s="4"/>
      <c r="H3" s="4"/>
      <c r="I3" s="4"/>
      <c r="J3" s="4"/>
    </row>
    <row r="4" spans="1:14" x14ac:dyDescent="0.2">
      <c r="A4" s="758" t="str">
        <f>+BALANCE!A4</f>
        <v>БАНК БУС САНХҮҮГИЙН БАЙГУУЛЛАГА</v>
      </c>
      <c r="B4" s="758"/>
      <c r="C4" s="758"/>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59">
        <v>44651</v>
      </c>
      <c r="B7" s="759"/>
      <c r="C7" s="7"/>
      <c r="D7" s="8"/>
      <c r="E7" s="8"/>
      <c r="F7" s="8"/>
      <c r="G7" s="8"/>
      <c r="H7" s="625"/>
      <c r="I7" s="8"/>
      <c r="J7" s="8"/>
    </row>
    <row r="8" spans="1:14" x14ac:dyDescent="0.2">
      <c r="A8" s="440" t="s">
        <v>2</v>
      </c>
      <c r="B8" s="440" t="s">
        <v>0</v>
      </c>
      <c r="C8" s="21" t="s">
        <v>3</v>
      </c>
      <c r="H8" s="626" t="s">
        <v>4</v>
      </c>
    </row>
    <row r="9" spans="1:14" x14ac:dyDescent="0.2">
      <c r="A9" s="440" t="s">
        <v>5</v>
      </c>
      <c r="B9" s="760" t="s">
        <v>6</v>
      </c>
      <c r="C9" s="760"/>
      <c r="H9" s="627" t="s">
        <v>7</v>
      </c>
    </row>
    <row r="10" spans="1:14" x14ac:dyDescent="0.2">
      <c r="A10" s="750">
        <v>1</v>
      </c>
      <c r="B10" s="23" t="s">
        <v>1288</v>
      </c>
      <c r="C10" s="433">
        <f>SUM(C11:C13)</f>
        <v>0</v>
      </c>
      <c r="D10" s="10" t="str">
        <f>+IF(C10&gt;0,"","Утга нөхөх")</f>
        <v>Утга нөхөх</v>
      </c>
      <c r="E10" s="10"/>
      <c r="F10" s="10"/>
      <c r="H10" s="628"/>
    </row>
    <row r="11" spans="1:14" x14ac:dyDescent="0.2">
      <c r="A11" s="750"/>
      <c r="B11" s="24" t="s">
        <v>8</v>
      </c>
      <c r="C11" s="25"/>
      <c r="D11" s="10" t="str">
        <f>+IF(C11&gt;0,"","Утга нөхөх")</f>
        <v>Утга нөхөх</v>
      </c>
      <c r="E11" s="10"/>
      <c r="F11" s="10"/>
      <c r="H11" s="629" t="s">
        <v>9</v>
      </c>
    </row>
    <row r="12" spans="1:14" x14ac:dyDescent="0.2">
      <c r="A12" s="750"/>
      <c r="B12" s="24" t="s">
        <v>1080</v>
      </c>
      <c r="C12" s="25"/>
      <c r="D12" s="10"/>
      <c r="E12" s="10"/>
      <c r="F12" s="10"/>
      <c r="H12" s="628" t="s">
        <v>11</v>
      </c>
    </row>
    <row r="13" spans="1:14" x14ac:dyDescent="0.2">
      <c r="A13" s="750"/>
      <c r="B13" s="24" t="s">
        <v>10</v>
      </c>
      <c r="C13" s="25"/>
      <c r="F13" s="10"/>
      <c r="H13" s="628"/>
    </row>
    <row r="14" spans="1:14" x14ac:dyDescent="0.2">
      <c r="A14" s="750"/>
      <c r="B14" s="24" t="s">
        <v>42</v>
      </c>
      <c r="C14" s="25"/>
      <c r="D14" s="10" t="str">
        <f>IF(BALANCE!H11&gt;0,IF(Statistic!C14&gt;0,"","Утга нөхөх"),"")</f>
        <v/>
      </c>
      <c r="E14" s="10"/>
      <c r="F14" s="10"/>
      <c r="H14" s="628"/>
    </row>
    <row r="15" spans="1:14" x14ac:dyDescent="0.2">
      <c r="A15" s="750"/>
      <c r="B15" s="24" t="s">
        <v>43</v>
      </c>
      <c r="C15" s="25"/>
      <c r="D15" s="10" t="str">
        <f>IF(BALANCE!H75&gt;0,IF(Statistic!C15&gt;0,"","Утга нөхөх"),"")</f>
        <v/>
      </c>
      <c r="E15" s="10"/>
      <c r="F15" s="10"/>
      <c r="H15" s="625"/>
    </row>
    <row r="16" spans="1:14" x14ac:dyDescent="0.2">
      <c r="A16" s="751">
        <v>2</v>
      </c>
      <c r="B16" s="26" t="s">
        <v>1289</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51"/>
      <c r="B17" s="27" t="s">
        <v>12</v>
      </c>
      <c r="C17" s="28"/>
      <c r="F17" s="10"/>
    </row>
    <row r="18" spans="1:6" x14ac:dyDescent="0.2">
      <c r="A18" s="751"/>
      <c r="B18" s="27" t="s">
        <v>1164</v>
      </c>
      <c r="C18" s="28"/>
      <c r="F18" s="10"/>
    </row>
    <row r="19" spans="1:6" x14ac:dyDescent="0.2">
      <c r="A19" s="751"/>
      <c r="B19" s="29" t="s">
        <v>471</v>
      </c>
      <c r="C19" s="434">
        <f>SUM(C20:C22)</f>
        <v>0</v>
      </c>
      <c r="F19" s="10"/>
    </row>
    <row r="20" spans="1:6" x14ac:dyDescent="0.2">
      <c r="A20" s="751"/>
      <c r="B20" s="27" t="s">
        <v>13</v>
      </c>
      <c r="C20" s="28"/>
      <c r="F20" s="10"/>
    </row>
    <row r="21" spans="1:6" x14ac:dyDescent="0.2">
      <c r="A21" s="751"/>
      <c r="B21" s="27" t="s">
        <v>14</v>
      </c>
      <c r="C21" s="28"/>
      <c r="F21" s="10"/>
    </row>
    <row r="22" spans="1:6" x14ac:dyDescent="0.2">
      <c r="A22" s="751"/>
      <c r="B22" s="27" t="s">
        <v>15</v>
      </c>
      <c r="C22" s="28"/>
      <c r="F22" s="10"/>
    </row>
    <row r="23" spans="1:6" ht="13.5" x14ac:dyDescent="0.25">
      <c r="A23" s="751">
        <v>3</v>
      </c>
      <c r="B23" s="30" t="s">
        <v>16</v>
      </c>
      <c r="C23" s="433">
        <f>SUM(C24:C27)</f>
        <v>0</v>
      </c>
      <c r="D23" s="10" t="str">
        <f>+IF(C23=C28,"","Зээлдэгчийн боловсролын судалгааг нөхнө үү")</f>
        <v/>
      </c>
      <c r="E23" s="10"/>
      <c r="F23" s="10"/>
    </row>
    <row r="24" spans="1:6" x14ac:dyDescent="0.2">
      <c r="A24" s="751"/>
      <c r="B24" s="31" t="s">
        <v>17</v>
      </c>
      <c r="C24" s="28"/>
      <c r="F24" s="10"/>
    </row>
    <row r="25" spans="1:6" x14ac:dyDescent="0.2">
      <c r="A25" s="751"/>
      <c r="B25" s="31" t="s">
        <v>18</v>
      </c>
      <c r="C25" s="28"/>
      <c r="F25" s="10"/>
    </row>
    <row r="26" spans="1:6" x14ac:dyDescent="0.2">
      <c r="A26" s="751"/>
      <c r="B26" s="27" t="s">
        <v>19</v>
      </c>
      <c r="C26" s="28"/>
      <c r="F26" s="10"/>
    </row>
    <row r="27" spans="1:6" x14ac:dyDescent="0.2">
      <c r="A27" s="751"/>
      <c r="B27" s="27" t="s">
        <v>20</v>
      </c>
      <c r="C27" s="28"/>
      <c r="F27" s="10"/>
    </row>
    <row r="28" spans="1:6" ht="13.5" x14ac:dyDescent="0.25">
      <c r="A28" s="751">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51"/>
      <c r="B29" s="32" t="s">
        <v>22</v>
      </c>
      <c r="C29" s="28"/>
      <c r="F29" s="10"/>
    </row>
    <row r="30" spans="1:6" x14ac:dyDescent="0.2">
      <c r="A30" s="751"/>
      <c r="B30" s="32" t="s">
        <v>23</v>
      </c>
      <c r="C30" s="28"/>
      <c r="F30" s="10"/>
    </row>
    <row r="31" spans="1:6" x14ac:dyDescent="0.2">
      <c r="A31" s="751"/>
      <c r="B31" s="32" t="s">
        <v>24</v>
      </c>
      <c r="C31" s="28"/>
      <c r="F31" s="10"/>
    </row>
    <row r="32" spans="1:6" x14ac:dyDescent="0.2">
      <c r="A32" s="751"/>
      <c r="B32" s="32" t="s">
        <v>25</v>
      </c>
      <c r="C32" s="28"/>
      <c r="F32" s="10"/>
    </row>
    <row r="33" spans="1:6" x14ac:dyDescent="0.2">
      <c r="A33" s="751"/>
      <c r="B33" s="32" t="s">
        <v>26</v>
      </c>
      <c r="C33" s="28"/>
    </row>
    <row r="34" spans="1:6" x14ac:dyDescent="0.2">
      <c r="A34" s="440" t="s">
        <v>27</v>
      </c>
      <c r="B34" s="752" t="s">
        <v>28</v>
      </c>
      <c r="C34" s="752"/>
    </row>
    <row r="35" spans="1:6" x14ac:dyDescent="0.2">
      <c r="A35" s="753">
        <v>7</v>
      </c>
      <c r="B35" s="33" t="s">
        <v>29</v>
      </c>
      <c r="C35" s="35"/>
      <c r="D35" s="10" t="str">
        <f>+IF(C35&gt;0,"","Утга нөхөх")</f>
        <v>Утга нөхөх</v>
      </c>
      <c r="E35" s="10"/>
    </row>
    <row r="36" spans="1:6" x14ac:dyDescent="0.2">
      <c r="A36" s="753"/>
      <c r="B36" s="36" t="s">
        <v>30</v>
      </c>
      <c r="C36" s="34"/>
      <c r="D36" s="10" t="str">
        <f>+IF(C36&gt;0,IF(C36&lt;=C35,"","Зөвхөн эмэгтэй ажилтнуудын тоог оруулна уу!"),"Утга нөхөх")</f>
        <v>Утга нөхөх</v>
      </c>
      <c r="E36" s="10"/>
    </row>
    <row r="37" spans="1:6" x14ac:dyDescent="0.2">
      <c r="A37" s="746">
        <v>9</v>
      </c>
      <c r="B37" s="26" t="s">
        <v>32</v>
      </c>
      <c r="C37" s="40"/>
      <c r="D37" s="10" t="str">
        <f>+IF(C37&gt;0,"","Сонгох")</f>
        <v>Сонгох</v>
      </c>
      <c r="E37" s="10"/>
    </row>
    <row r="38" spans="1:6" x14ac:dyDescent="0.2">
      <c r="A38" s="746"/>
      <c r="B38" s="41" t="s">
        <v>38</v>
      </c>
      <c r="C38" s="38"/>
      <c r="D38" s="10" t="str">
        <f>+IF(C38&gt;0,"","Утга нөхөх")</f>
        <v>Утга нөхөх</v>
      </c>
      <c r="E38" s="10"/>
    </row>
    <row r="39" spans="1:6" x14ac:dyDescent="0.2">
      <c r="A39" s="746"/>
      <c r="B39" s="41" t="s">
        <v>40</v>
      </c>
      <c r="C39" s="38"/>
      <c r="D39" s="10" t="str">
        <f>+IF(C39&gt;0,"","Утга нөхөх")</f>
        <v>Утга нөхөх</v>
      </c>
      <c r="E39" s="10"/>
    </row>
    <row r="40" spans="1:6" x14ac:dyDescent="0.2">
      <c r="A40" s="746">
        <v>10</v>
      </c>
      <c r="B40" s="754" t="s">
        <v>1146</v>
      </c>
      <c r="C40" s="755"/>
      <c r="D40" s="10"/>
      <c r="E40" s="10"/>
    </row>
    <row r="41" spans="1:6" x14ac:dyDescent="0.2">
      <c r="A41" s="746"/>
      <c r="B41" s="48" t="s">
        <v>41</v>
      </c>
      <c r="C41" s="119"/>
      <c r="D41" s="10" t="str">
        <f>IF(C41&gt;200000,"","Заавал нөхнө үү!")</f>
        <v>Заавал нөхнө үү!</v>
      </c>
      <c r="E41" s="10"/>
    </row>
    <row r="42" spans="1:6" ht="15" x14ac:dyDescent="0.25">
      <c r="A42" s="746"/>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46"/>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47">
        <v>17</v>
      </c>
      <c r="B46" s="748" t="s">
        <v>34</v>
      </c>
      <c r="C46" s="748"/>
    </row>
    <row r="47" spans="1:6" x14ac:dyDescent="0.2">
      <c r="A47" s="747"/>
      <c r="B47" s="45" t="s">
        <v>1115</v>
      </c>
      <c r="C47" s="46"/>
      <c r="D47" s="10" t="str">
        <f>IF(C47&gt;0,IF(C50&gt;0,"","C50 нүдэнд харгалзах дүнг оруулна уу"),"")</f>
        <v/>
      </c>
      <c r="E47" s="10"/>
    </row>
    <row r="48" spans="1:6" x14ac:dyDescent="0.2">
      <c r="A48" s="747"/>
      <c r="B48" s="45" t="s">
        <v>1116</v>
      </c>
      <c r="C48" s="46"/>
      <c r="D48" s="10" t="str">
        <f>IF(C48&gt;0,IF(C51&gt;0,"","C51 нүдэнд харгалзах дүнг оруулна уу"),"")</f>
        <v/>
      </c>
      <c r="E48" s="10"/>
    </row>
    <row r="49" spans="1:7" x14ac:dyDescent="0.2">
      <c r="A49" s="747"/>
      <c r="B49" s="748" t="s">
        <v>35</v>
      </c>
      <c r="C49" s="748"/>
      <c r="D49" s="10"/>
      <c r="E49" s="10"/>
    </row>
    <row r="50" spans="1:7" x14ac:dyDescent="0.2">
      <c r="A50" s="747"/>
      <c r="B50" s="45" t="s">
        <v>1117</v>
      </c>
      <c r="C50" s="47"/>
      <c r="D50" s="10"/>
      <c r="E50" s="10"/>
    </row>
    <row r="51" spans="1:7" x14ac:dyDescent="0.2">
      <c r="A51" s="747"/>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49" t="s">
        <v>36</v>
      </c>
      <c r="B56" s="749"/>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45" t="s">
        <v>1096</v>
      </c>
      <c r="C60" s="745"/>
    </row>
    <row r="61" spans="1:7" x14ac:dyDescent="0.2">
      <c r="A61" s="50"/>
      <c r="B61" s="19"/>
      <c r="C61" s="19"/>
    </row>
    <row r="62" spans="1:7" x14ac:dyDescent="0.2">
      <c r="A62" s="50"/>
      <c r="B62" s="745" t="s">
        <v>1097</v>
      </c>
      <c r="C62" s="745"/>
    </row>
    <row r="63" spans="1:7" x14ac:dyDescent="0.2">
      <c r="A63" s="50"/>
      <c r="B63" s="19"/>
      <c r="C63" s="19"/>
    </row>
    <row r="64" spans="1:7" x14ac:dyDescent="0.2">
      <c r="A64" s="50"/>
      <c r="B64" s="745"/>
      <c r="C64" s="745"/>
    </row>
  </sheetData>
  <sheetProtection algorithmName="SHA-512" hashValue="Hhr1ZmRqDzOQxUk2+6BP4Z6A0XacwUXdFRtY1MLkSzQ1AUYKzk1odqoBGgXpHgzrC+txC/APj67c0nJRMEczMQ==" saltValue="SNtamKtuJK/NdnshFkLjFA==" spinCount="100000" sheet="1" objects="1" scenarios="1"/>
  <mergeCells count="21">
    <mergeCell ref="A2:C2"/>
    <mergeCell ref="A3:C3"/>
    <mergeCell ref="A4:C4"/>
    <mergeCell ref="A7:B7"/>
    <mergeCell ref="B9:C9"/>
    <mergeCell ref="A10:A15"/>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40625"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13" t="s">
        <v>875</v>
      </c>
      <c r="B2" s="1013"/>
      <c r="C2" s="1013"/>
      <c r="D2" s="1013"/>
      <c r="E2" s="1013"/>
      <c r="F2" s="1013"/>
      <c r="G2" s="1013"/>
      <c r="H2" s="1013"/>
      <c r="I2" s="1013"/>
      <c r="J2" s="1013"/>
      <c r="K2" s="1013"/>
      <c r="L2" s="1013"/>
      <c r="M2" s="1013"/>
      <c r="N2" s="1013"/>
      <c r="O2" s="1013"/>
      <c r="P2" s="1013"/>
    </row>
    <row r="3" spans="1:18" x14ac:dyDescent="0.2">
      <c r="A3" s="1014" t="str">
        <f>+BALANCE!A3</f>
        <v>БАНК БУС САНХҮҮГИЙН БАЙГУУЛЛАГЫН НЭР</v>
      </c>
      <c r="B3" s="1014"/>
      <c r="C3" s="1014"/>
      <c r="D3" s="1014"/>
      <c r="E3" s="1014"/>
      <c r="F3" s="1014"/>
      <c r="G3" s="1014"/>
      <c r="H3" s="1014"/>
      <c r="I3" s="1014"/>
      <c r="J3" s="1014"/>
      <c r="K3" s="1014"/>
      <c r="L3" s="1014"/>
      <c r="M3" s="1014"/>
      <c r="N3" s="1014"/>
      <c r="O3" s="1014"/>
      <c r="P3" s="1014"/>
    </row>
    <row r="4" spans="1:18" x14ac:dyDescent="0.2">
      <c r="A4" s="1015" t="str">
        <f>+BALANCE!A4</f>
        <v>БАНК БУС САНХҮҮГИЙН БАЙГУУЛЛАГА</v>
      </c>
      <c r="B4" s="1015"/>
      <c r="C4" s="1015"/>
      <c r="D4" s="1015"/>
      <c r="E4" s="1015"/>
      <c r="F4" s="1015"/>
      <c r="G4" s="1015"/>
      <c r="H4" s="1015"/>
      <c r="I4" s="1015"/>
      <c r="J4" s="1015"/>
      <c r="K4" s="1015"/>
      <c r="L4" s="1015"/>
      <c r="M4" s="1015"/>
      <c r="N4" s="1015"/>
      <c r="O4" s="1015"/>
      <c r="P4" s="1015"/>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16"/>
      <c r="I6" s="1016"/>
      <c r="J6" s="1016"/>
      <c r="K6" s="561"/>
      <c r="L6" s="561"/>
      <c r="M6" s="561"/>
      <c r="O6" s="1017" t="s">
        <v>439</v>
      </c>
      <c r="P6" s="1017"/>
    </row>
    <row r="7" spans="1:18" ht="12.75" customHeight="1" x14ac:dyDescent="0.2">
      <c r="A7" s="1024" t="s">
        <v>876</v>
      </c>
      <c r="B7" s="1018" t="s">
        <v>867</v>
      </c>
      <c r="C7" s="1018"/>
      <c r="D7" s="1018" t="s">
        <v>877</v>
      </c>
      <c r="E7" s="1018"/>
      <c r="F7" s="1025" t="s">
        <v>1067</v>
      </c>
      <c r="G7" s="1018" t="s">
        <v>878</v>
      </c>
      <c r="H7" s="1018"/>
      <c r="I7" s="1019" t="s">
        <v>1098</v>
      </c>
      <c r="J7" s="1018" t="s">
        <v>879</v>
      </c>
      <c r="K7" s="1018"/>
      <c r="L7" s="1018"/>
      <c r="M7" s="1018"/>
      <c r="N7" s="1018"/>
      <c r="O7" s="1022" t="s">
        <v>880</v>
      </c>
      <c r="P7" s="1022"/>
    </row>
    <row r="8" spans="1:18" ht="23.25" customHeight="1" x14ac:dyDescent="0.2">
      <c r="A8" s="1024"/>
      <c r="B8" s="563" t="s">
        <v>881</v>
      </c>
      <c r="C8" s="564" t="s">
        <v>882</v>
      </c>
      <c r="D8" s="563" t="s">
        <v>881</v>
      </c>
      <c r="E8" s="564" t="s">
        <v>882</v>
      </c>
      <c r="F8" s="1025"/>
      <c r="G8" s="563" t="s">
        <v>881</v>
      </c>
      <c r="H8" s="564" t="s">
        <v>882</v>
      </c>
      <c r="I8" s="1020"/>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04" t="s">
        <v>1076</v>
      </c>
      <c r="C51" s="1005"/>
      <c r="D51" s="614">
        <f>SUM(D52:D58)</f>
        <v>0</v>
      </c>
      <c r="E51" s="394">
        <f>SUM(E52:E58)</f>
        <v>0</v>
      </c>
      <c r="F51" s="593" t="e">
        <f>(D52*F52+D53*F53+D54*F54+D55*F55+D56*F56+D57*F57+D58*F58)/D51</f>
        <v>#DIV/0!</v>
      </c>
      <c r="G51" s="614">
        <f>SUM(G52:G58)</f>
        <v>0</v>
      </c>
      <c r="H51" s="394">
        <f>SUM(H52:H58)</f>
        <v>0</v>
      </c>
      <c r="I51" s="1004" t="s">
        <v>1076</v>
      </c>
      <c r="J51" s="1005"/>
      <c r="K51" s="1005"/>
      <c r="L51" s="1005"/>
      <c r="M51" s="1005"/>
      <c r="N51" s="1005"/>
      <c r="O51" s="1005"/>
      <c r="P51" s="1006"/>
      <c r="Q51" s="551"/>
      <c r="R51" s="674"/>
    </row>
    <row r="52" spans="1:18" s="572" customFormat="1" x14ac:dyDescent="0.2">
      <c r="A52" s="571" t="s">
        <v>1102</v>
      </c>
      <c r="B52" s="1007"/>
      <c r="C52" s="1008"/>
      <c r="D52" s="618"/>
      <c r="E52" s="403"/>
      <c r="F52" s="412"/>
      <c r="G52" s="618"/>
      <c r="H52" s="403"/>
      <c r="I52" s="1007"/>
      <c r="J52" s="1008"/>
      <c r="K52" s="1008"/>
      <c r="L52" s="1008"/>
      <c r="M52" s="1008"/>
      <c r="N52" s="1008"/>
      <c r="O52" s="1008"/>
      <c r="P52" s="1009"/>
      <c r="Q52" s="551" t="str">
        <f t="shared" ref="Q52:Q58" si="7">+IF(D52&gt;0,IF(AND(F52&gt;0,F52&lt;0.15),"","ЗЖДХ-г сараар шивнэ үү."),"")</f>
        <v/>
      </c>
      <c r="R52" s="674"/>
    </row>
    <row r="53" spans="1:18" s="572" customFormat="1" x14ac:dyDescent="0.2">
      <c r="A53" s="571" t="s">
        <v>1103</v>
      </c>
      <c r="B53" s="1007"/>
      <c r="C53" s="1008"/>
      <c r="D53" s="618"/>
      <c r="E53" s="403"/>
      <c r="F53" s="412"/>
      <c r="G53" s="618"/>
      <c r="H53" s="403"/>
      <c r="I53" s="1007"/>
      <c r="J53" s="1008"/>
      <c r="K53" s="1008"/>
      <c r="L53" s="1008"/>
      <c r="M53" s="1008"/>
      <c r="N53" s="1008"/>
      <c r="O53" s="1008"/>
      <c r="P53" s="1009"/>
      <c r="Q53" s="551" t="str">
        <f t="shared" si="7"/>
        <v/>
      </c>
      <c r="R53" s="674"/>
    </row>
    <row r="54" spans="1:18" s="572" customFormat="1" x14ac:dyDescent="0.2">
      <c r="A54" s="571" t="s">
        <v>1104</v>
      </c>
      <c r="B54" s="1007"/>
      <c r="C54" s="1008"/>
      <c r="D54" s="618"/>
      <c r="E54" s="403"/>
      <c r="F54" s="412"/>
      <c r="G54" s="618"/>
      <c r="H54" s="403"/>
      <c r="I54" s="1007"/>
      <c r="J54" s="1008"/>
      <c r="K54" s="1008"/>
      <c r="L54" s="1008"/>
      <c r="M54" s="1008"/>
      <c r="N54" s="1008"/>
      <c r="O54" s="1008"/>
      <c r="P54" s="1009"/>
      <c r="Q54" s="551" t="str">
        <f t="shared" si="7"/>
        <v/>
      </c>
      <c r="R54" s="674"/>
    </row>
    <row r="55" spans="1:18" s="572" customFormat="1" x14ac:dyDescent="0.2">
      <c r="A55" s="571" t="s">
        <v>1105</v>
      </c>
      <c r="B55" s="1007"/>
      <c r="C55" s="1008"/>
      <c r="D55" s="618"/>
      <c r="E55" s="403"/>
      <c r="F55" s="412"/>
      <c r="G55" s="618"/>
      <c r="H55" s="403"/>
      <c r="I55" s="1007"/>
      <c r="J55" s="1008"/>
      <c r="K55" s="1008"/>
      <c r="L55" s="1008"/>
      <c r="M55" s="1008"/>
      <c r="N55" s="1008"/>
      <c r="O55" s="1008"/>
      <c r="P55" s="1009"/>
      <c r="Q55" s="551" t="str">
        <f t="shared" si="7"/>
        <v/>
      </c>
      <c r="R55" s="674"/>
    </row>
    <row r="56" spans="1:18" s="572" customFormat="1" x14ac:dyDescent="0.2">
      <c r="A56" s="571" t="s">
        <v>1106</v>
      </c>
      <c r="B56" s="1007"/>
      <c r="C56" s="1008"/>
      <c r="D56" s="618"/>
      <c r="E56" s="403"/>
      <c r="F56" s="412"/>
      <c r="G56" s="618"/>
      <c r="H56" s="403"/>
      <c r="I56" s="1007"/>
      <c r="J56" s="1008"/>
      <c r="K56" s="1008"/>
      <c r="L56" s="1008"/>
      <c r="M56" s="1008"/>
      <c r="N56" s="1008"/>
      <c r="O56" s="1008"/>
      <c r="P56" s="1009"/>
      <c r="Q56" s="551" t="str">
        <f t="shared" si="7"/>
        <v/>
      </c>
      <c r="R56" s="674"/>
    </row>
    <row r="57" spans="1:18" s="572" customFormat="1" x14ac:dyDescent="0.2">
      <c r="A57" s="571" t="s">
        <v>1107</v>
      </c>
      <c r="B57" s="1007"/>
      <c r="C57" s="1008"/>
      <c r="D57" s="618"/>
      <c r="E57" s="403"/>
      <c r="F57" s="412"/>
      <c r="G57" s="618"/>
      <c r="H57" s="403"/>
      <c r="I57" s="1007"/>
      <c r="J57" s="1008"/>
      <c r="K57" s="1008"/>
      <c r="L57" s="1008"/>
      <c r="M57" s="1008"/>
      <c r="N57" s="1008"/>
      <c r="O57" s="1008"/>
      <c r="P57" s="1009"/>
      <c r="Q57" s="551" t="str">
        <f t="shared" si="7"/>
        <v/>
      </c>
      <c r="R57" s="674"/>
    </row>
    <row r="58" spans="1:18" s="572" customFormat="1" x14ac:dyDescent="0.2">
      <c r="A58" s="571" t="s">
        <v>1108</v>
      </c>
      <c r="B58" s="1010"/>
      <c r="C58" s="1011"/>
      <c r="D58" s="618"/>
      <c r="E58" s="403"/>
      <c r="F58" s="412"/>
      <c r="G58" s="618"/>
      <c r="H58" s="403"/>
      <c r="I58" s="1010"/>
      <c r="J58" s="1011"/>
      <c r="K58" s="1011"/>
      <c r="L58" s="1011"/>
      <c r="M58" s="1011"/>
      <c r="N58" s="1011"/>
      <c r="O58" s="1011"/>
      <c r="P58" s="1012"/>
      <c r="Q58" s="551" t="str">
        <f t="shared" si="7"/>
        <v/>
      </c>
      <c r="R58" s="674"/>
    </row>
    <row r="59" spans="1:18" s="566" customFormat="1" x14ac:dyDescent="0.2">
      <c r="A59" s="1030" t="s">
        <v>1148</v>
      </c>
      <c r="B59" s="1031"/>
      <c r="C59" s="1031"/>
      <c r="D59" s="1031"/>
      <c r="E59" s="1031"/>
      <c r="F59" s="1031"/>
      <c r="G59" s="1031"/>
      <c r="H59" s="1031"/>
      <c r="I59" s="1031"/>
      <c r="J59" s="1031"/>
      <c r="K59" s="1031"/>
      <c r="L59" s="1031"/>
      <c r="M59" s="1031"/>
      <c r="N59" s="1031"/>
      <c r="O59" s="1031"/>
      <c r="P59" s="1032"/>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26" t="s">
        <v>1122</v>
      </c>
      <c r="B76" s="1026"/>
      <c r="C76" s="1026"/>
      <c r="D76" s="1026"/>
      <c r="E76" s="1026"/>
      <c r="F76" s="1026"/>
      <c r="G76" s="1026"/>
      <c r="H76" s="1026"/>
      <c r="I76" s="1026"/>
      <c r="J76" s="1026"/>
      <c r="K76" s="1026"/>
      <c r="L76" s="1026"/>
      <c r="M76" s="1026"/>
      <c r="N76" s="1026"/>
      <c r="O76" s="1026"/>
      <c r="P76" s="1026"/>
    </row>
    <row r="77" spans="1:253" x14ac:dyDescent="0.2">
      <c r="A77" s="1027" t="s">
        <v>1123</v>
      </c>
      <c r="B77" s="1027"/>
      <c r="C77" s="1027"/>
      <c r="D77" s="1027"/>
      <c r="E77" s="1027"/>
      <c r="F77" s="1027"/>
      <c r="G77" s="1027"/>
      <c r="H77" s="1027"/>
      <c r="I77" s="1027"/>
      <c r="J77" s="1027"/>
      <c r="K77" s="1027"/>
      <c r="L77" s="1027"/>
      <c r="M77" s="1027"/>
      <c r="N77" s="1027"/>
      <c r="O77" s="1027"/>
      <c r="P77" s="1027"/>
    </row>
    <row r="78" spans="1:253" x14ac:dyDescent="0.2">
      <c r="A78" s="1028" t="s">
        <v>928</v>
      </c>
      <c r="B78" s="1028"/>
      <c r="C78" s="1028"/>
      <c r="D78" s="573"/>
      <c r="E78" s="573"/>
      <c r="F78" s="594"/>
      <c r="G78" s="573"/>
      <c r="H78" s="573"/>
      <c r="I78" s="573"/>
      <c r="J78" s="573"/>
      <c r="K78" s="573"/>
      <c r="L78" s="573"/>
      <c r="M78" s="573"/>
      <c r="N78" s="573"/>
      <c r="O78" s="573"/>
      <c r="P78" s="573"/>
    </row>
    <row r="79" spans="1:253" x14ac:dyDescent="0.2">
      <c r="A79" s="553" t="s">
        <v>1099</v>
      </c>
    </row>
    <row r="80" spans="1:253" x14ac:dyDescent="0.2">
      <c r="B80" s="1023" t="s">
        <v>36</v>
      </c>
      <c r="C80" s="1023"/>
      <c r="D80" s="576"/>
      <c r="E80" s="577"/>
      <c r="F80" s="578"/>
      <c r="H80" s="410"/>
      <c r="I80" s="410"/>
    </row>
    <row r="81" spans="2:13" x14ac:dyDescent="0.2">
      <c r="B81" s="579"/>
      <c r="C81" s="579"/>
      <c r="D81" s="576"/>
      <c r="E81" s="577"/>
      <c r="F81" s="578"/>
    </row>
    <row r="82" spans="2:13" x14ac:dyDescent="0.2">
      <c r="B82" s="1029" t="s">
        <v>437</v>
      </c>
      <c r="C82" s="1029"/>
      <c r="D82" s="1029"/>
      <c r="E82" s="577"/>
      <c r="F82" s="578"/>
    </row>
    <row r="83" spans="2:13" x14ac:dyDescent="0.2">
      <c r="B83" s="579"/>
      <c r="C83" s="579"/>
      <c r="D83" s="576"/>
      <c r="E83" s="577"/>
      <c r="F83" s="578"/>
    </row>
    <row r="84" spans="2:13" x14ac:dyDescent="0.2">
      <c r="B84" s="579"/>
      <c r="C84" s="579"/>
      <c r="D84" s="1021" t="str">
        <f>+BALANCE!D361</f>
        <v>ГҮЙЦЭТГЭХ ЗАХИРАЛ.................................................................//</v>
      </c>
      <c r="E84" s="1021"/>
      <c r="F84" s="1021"/>
      <c r="G84" s="1021"/>
      <c r="H84" s="1021"/>
      <c r="I84" s="1021"/>
      <c r="J84" s="1021"/>
      <c r="K84" s="580"/>
      <c r="L84" s="580"/>
      <c r="M84" s="580"/>
    </row>
    <row r="85" spans="2:13" x14ac:dyDescent="0.2">
      <c r="B85" s="579"/>
      <c r="C85" s="579"/>
      <c r="D85" s="576"/>
      <c r="E85" s="577"/>
      <c r="F85" s="578"/>
    </row>
    <row r="86" spans="2:13" x14ac:dyDescent="0.2">
      <c r="B86" s="579"/>
      <c r="C86" s="579"/>
      <c r="D86" s="1021" t="str">
        <f>+BALANCE!D363</f>
        <v>ЕРӨНХИЙ НЯГТЛАН БОДОГЧ....................................................//</v>
      </c>
      <c r="E86" s="1021"/>
      <c r="F86" s="1021"/>
      <c r="G86" s="1021"/>
      <c r="H86" s="1021"/>
      <c r="I86" s="1021"/>
      <c r="J86" s="1021"/>
      <c r="K86" s="580"/>
      <c r="L86" s="580"/>
      <c r="M86" s="580"/>
    </row>
    <row r="87" spans="2:13" x14ac:dyDescent="0.2">
      <c r="B87" s="579"/>
      <c r="C87" s="579"/>
      <c r="D87" s="576"/>
      <c r="E87" s="577"/>
      <c r="F87" s="578"/>
    </row>
    <row r="88" spans="2:13" x14ac:dyDescent="0.2">
      <c r="B88" s="579"/>
      <c r="C88" s="579"/>
      <c r="D88" s="1021">
        <f>+BALANCE!D365</f>
        <v>0</v>
      </c>
      <c r="E88" s="1021"/>
      <c r="F88" s="1021"/>
      <c r="G88" s="1021"/>
      <c r="H88" s="1021"/>
      <c r="I88" s="1021"/>
      <c r="J88" s="1021"/>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 ref="I51:P58"/>
    <mergeCell ref="A2:P2"/>
    <mergeCell ref="A3:P3"/>
    <mergeCell ref="A4:P4"/>
    <mergeCell ref="H6:J6"/>
    <mergeCell ref="O6:P6"/>
    <mergeCell ref="J7:N7"/>
    <mergeCell ref="I7:I8"/>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40625"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6" t="s">
        <v>929</v>
      </c>
      <c r="B2" s="766"/>
      <c r="C2" s="766"/>
      <c r="D2" s="766"/>
      <c r="E2" s="766"/>
      <c r="F2" s="766"/>
      <c r="G2" s="766"/>
      <c r="H2" s="766"/>
      <c r="I2" s="766"/>
      <c r="J2" s="766"/>
      <c r="K2" s="766"/>
      <c r="L2" s="766"/>
    </row>
    <row r="3" spans="1:12" x14ac:dyDescent="0.2">
      <c r="A3" s="823" t="str">
        <f>+BALANCE!A3</f>
        <v>БАНК БУС САНХҮҮГИЙН БАЙГУУЛЛАГЫН НЭР</v>
      </c>
      <c r="B3" s="823"/>
      <c r="C3" s="823"/>
      <c r="D3" s="823"/>
      <c r="E3" s="823"/>
      <c r="F3" s="823"/>
      <c r="G3" s="823"/>
      <c r="H3" s="823"/>
      <c r="I3" s="823"/>
      <c r="J3" s="823"/>
      <c r="K3" s="823"/>
      <c r="L3" s="823"/>
    </row>
    <row r="4" spans="1:12" x14ac:dyDescent="0.2">
      <c r="A4" s="756" t="str">
        <f>+BALANCE!A4</f>
        <v>БАНК БУС САНХҮҮГИЙН БАЙГУУЛЛАГА</v>
      </c>
      <c r="B4" s="756"/>
      <c r="C4" s="756"/>
      <c r="D4" s="756"/>
      <c r="E4" s="756"/>
      <c r="F4" s="756"/>
      <c r="G4" s="756"/>
      <c r="H4" s="756"/>
      <c r="I4" s="756"/>
      <c r="J4" s="756"/>
      <c r="K4" s="756"/>
      <c r="L4" s="756"/>
    </row>
    <row r="5" spans="1:12" x14ac:dyDescent="0.2">
      <c r="A5" s="824">
        <f>+BALANCE!A6</f>
        <v>44651</v>
      </c>
      <c r="B5" s="824"/>
      <c r="K5" s="1033" t="s">
        <v>439</v>
      </c>
      <c r="L5" s="1033"/>
    </row>
    <row r="6" spans="1:12" ht="15" customHeight="1" x14ac:dyDescent="0.2">
      <c r="A6" s="1034" t="s">
        <v>930</v>
      </c>
      <c r="B6" s="1034"/>
      <c r="C6" s="1034"/>
      <c r="D6" s="1034" t="s">
        <v>931</v>
      </c>
      <c r="E6" s="1035" t="s">
        <v>932</v>
      </c>
      <c r="F6" s="1035"/>
      <c r="G6" s="1035"/>
      <c r="H6" s="1035"/>
      <c r="I6" s="1035"/>
      <c r="J6" s="1035" t="s">
        <v>933</v>
      </c>
      <c r="K6" s="1035"/>
      <c r="L6" s="1034" t="s">
        <v>799</v>
      </c>
    </row>
    <row r="7" spans="1:12" ht="38.25" x14ac:dyDescent="0.2">
      <c r="A7" s="1034"/>
      <c r="B7" s="1034"/>
      <c r="C7" s="1034"/>
      <c r="D7" s="1034"/>
      <c r="E7" s="542" t="s">
        <v>934</v>
      </c>
      <c r="F7" s="542" t="s">
        <v>935</v>
      </c>
      <c r="G7" s="542" t="s">
        <v>936</v>
      </c>
      <c r="H7" s="542" t="s">
        <v>937</v>
      </c>
      <c r="I7" s="542" t="s">
        <v>938</v>
      </c>
      <c r="J7" s="542" t="s">
        <v>934</v>
      </c>
      <c r="K7" s="542" t="s">
        <v>939</v>
      </c>
      <c r="L7" s="1034"/>
    </row>
    <row r="8" spans="1:12" x14ac:dyDescent="0.2">
      <c r="A8" s="1036" t="s">
        <v>940</v>
      </c>
      <c r="B8" s="1036"/>
      <c r="C8" s="1036"/>
      <c r="D8" s="420" t="s">
        <v>941</v>
      </c>
      <c r="E8" s="543"/>
      <c r="F8" s="121"/>
      <c r="G8" s="121"/>
      <c r="H8" s="121"/>
      <c r="I8" s="121"/>
      <c r="J8" s="121"/>
      <c r="K8" s="121"/>
      <c r="L8" s="121" t="s">
        <v>942</v>
      </c>
    </row>
    <row r="9" spans="1:12" ht="15" customHeight="1" x14ac:dyDescent="0.2">
      <c r="A9" s="1037" t="s">
        <v>943</v>
      </c>
      <c r="B9" s="1037"/>
      <c r="C9" s="419" t="s">
        <v>944</v>
      </c>
      <c r="D9" s="420">
        <v>1</v>
      </c>
      <c r="E9" s="121">
        <v>0</v>
      </c>
      <c r="F9" s="121">
        <v>0</v>
      </c>
      <c r="G9" s="121">
        <v>0</v>
      </c>
      <c r="H9" s="121">
        <v>0</v>
      </c>
      <c r="I9" s="121">
        <v>0</v>
      </c>
      <c r="J9" s="121">
        <v>0</v>
      </c>
      <c r="K9" s="121">
        <v>0</v>
      </c>
      <c r="L9" s="122">
        <f>SUM(E9:K9)</f>
        <v>0</v>
      </c>
    </row>
    <row r="10" spans="1:12" x14ac:dyDescent="0.2">
      <c r="A10" s="1037"/>
      <c r="B10" s="1037"/>
      <c r="C10" s="419" t="s">
        <v>945</v>
      </c>
      <c r="D10" s="420">
        <v>2</v>
      </c>
      <c r="E10" s="121">
        <v>0</v>
      </c>
      <c r="F10" s="121">
        <v>0</v>
      </c>
      <c r="G10" s="121">
        <v>0</v>
      </c>
      <c r="H10" s="121">
        <v>0</v>
      </c>
      <c r="I10" s="121">
        <v>0</v>
      </c>
      <c r="J10" s="121">
        <v>0</v>
      </c>
      <c r="K10" s="121">
        <v>0</v>
      </c>
      <c r="L10" s="122">
        <f>SUM(E10:K10)</f>
        <v>0</v>
      </c>
    </row>
    <row r="11" spans="1:12" ht="15" customHeight="1" x14ac:dyDescent="0.2">
      <c r="A11" s="1037" t="s">
        <v>946</v>
      </c>
      <c r="B11" s="1038" t="s">
        <v>947</v>
      </c>
      <c r="C11" s="1038"/>
      <c r="D11" s="420">
        <v>3</v>
      </c>
      <c r="E11" s="121">
        <v>0</v>
      </c>
      <c r="F11" s="121">
        <v>0</v>
      </c>
      <c r="G11" s="121">
        <v>0</v>
      </c>
      <c r="H11" s="121">
        <v>0</v>
      </c>
      <c r="I11" s="121">
        <v>0</v>
      </c>
      <c r="J11" s="121">
        <v>0</v>
      </c>
      <c r="K11" s="121">
        <v>0</v>
      </c>
      <c r="L11" s="122">
        <f t="shared" ref="L11:L35" si="0">SUM(E11:K11)</f>
        <v>0</v>
      </c>
    </row>
    <row r="12" spans="1:12" ht="15" customHeight="1" x14ac:dyDescent="0.2">
      <c r="A12" s="1037"/>
      <c r="B12" s="1037" t="s">
        <v>948</v>
      </c>
      <c r="C12" s="419" t="s">
        <v>949</v>
      </c>
      <c r="D12" s="420">
        <v>4</v>
      </c>
      <c r="E12" s="121">
        <v>0</v>
      </c>
      <c r="F12" s="121">
        <v>0</v>
      </c>
      <c r="G12" s="121">
        <v>0</v>
      </c>
      <c r="H12" s="121">
        <v>0</v>
      </c>
      <c r="I12" s="121">
        <v>0</v>
      </c>
      <c r="J12" s="121">
        <v>0</v>
      </c>
      <c r="K12" s="121">
        <v>0</v>
      </c>
      <c r="L12" s="122">
        <f t="shared" si="0"/>
        <v>0</v>
      </c>
    </row>
    <row r="13" spans="1:12" x14ac:dyDescent="0.2">
      <c r="A13" s="1037"/>
      <c r="B13" s="1037"/>
      <c r="C13" s="419" t="s">
        <v>878</v>
      </c>
      <c r="D13" s="420">
        <v>5</v>
      </c>
      <c r="E13" s="121">
        <v>0</v>
      </c>
      <c r="F13" s="121">
        <v>0</v>
      </c>
      <c r="G13" s="121">
        <v>0</v>
      </c>
      <c r="H13" s="121">
        <v>0</v>
      </c>
      <c r="I13" s="121">
        <v>0</v>
      </c>
      <c r="J13" s="121">
        <v>0</v>
      </c>
      <c r="K13" s="121">
        <v>0</v>
      </c>
      <c r="L13" s="122">
        <f t="shared" si="0"/>
        <v>0</v>
      </c>
    </row>
    <row r="14" spans="1:12" x14ac:dyDescent="0.2">
      <c r="A14" s="1037"/>
      <c r="B14" s="1037"/>
      <c r="C14" s="419" t="s">
        <v>950</v>
      </c>
      <c r="D14" s="420">
        <v>6</v>
      </c>
      <c r="E14" s="121">
        <v>0</v>
      </c>
      <c r="F14" s="121">
        <v>0</v>
      </c>
      <c r="G14" s="121">
        <v>0</v>
      </c>
      <c r="H14" s="121">
        <v>0</v>
      </c>
      <c r="I14" s="121">
        <v>0</v>
      </c>
      <c r="J14" s="121">
        <v>0</v>
      </c>
      <c r="K14" s="121">
        <v>0</v>
      </c>
      <c r="L14" s="122">
        <f t="shared" si="0"/>
        <v>0</v>
      </c>
    </row>
    <row r="15" spans="1:12" ht="15" customHeight="1" x14ac:dyDescent="0.2">
      <c r="A15" s="1037"/>
      <c r="B15" s="1037" t="s">
        <v>951</v>
      </c>
      <c r="C15" s="419" t="s">
        <v>952</v>
      </c>
      <c r="D15" s="420">
        <v>7</v>
      </c>
      <c r="E15" s="121">
        <v>0</v>
      </c>
      <c r="F15" s="121">
        <v>0</v>
      </c>
      <c r="G15" s="121">
        <v>0</v>
      </c>
      <c r="H15" s="121">
        <v>0</v>
      </c>
      <c r="I15" s="121">
        <v>0</v>
      </c>
      <c r="J15" s="121">
        <v>0</v>
      </c>
      <c r="K15" s="121">
        <v>0</v>
      </c>
      <c r="L15" s="122">
        <f t="shared" si="0"/>
        <v>0</v>
      </c>
    </row>
    <row r="16" spans="1:12" x14ac:dyDescent="0.2">
      <c r="A16" s="1037"/>
      <c r="B16" s="1037"/>
      <c r="C16" s="419" t="s">
        <v>953</v>
      </c>
      <c r="D16" s="420">
        <v>8</v>
      </c>
      <c r="E16" s="121">
        <v>0</v>
      </c>
      <c r="F16" s="121">
        <v>0</v>
      </c>
      <c r="G16" s="121">
        <v>0</v>
      </c>
      <c r="H16" s="121">
        <v>0</v>
      </c>
      <c r="I16" s="121">
        <v>0</v>
      </c>
      <c r="J16" s="121">
        <v>0</v>
      </c>
      <c r="K16" s="121">
        <v>0</v>
      </c>
      <c r="L16" s="122">
        <f t="shared" si="0"/>
        <v>0</v>
      </c>
    </row>
    <row r="17" spans="1:12" x14ac:dyDescent="0.2">
      <c r="A17" s="1037"/>
      <c r="B17" s="1038" t="s">
        <v>954</v>
      </c>
      <c r="C17" s="1038"/>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6" t="s">
        <v>955</v>
      </c>
      <c r="B18" s="1036"/>
      <c r="C18" s="419" t="s">
        <v>956</v>
      </c>
      <c r="D18" s="420">
        <v>10</v>
      </c>
      <c r="E18" s="121">
        <v>0</v>
      </c>
      <c r="F18" s="121">
        <v>0</v>
      </c>
      <c r="G18" s="121">
        <v>0</v>
      </c>
      <c r="H18" s="121">
        <v>0</v>
      </c>
      <c r="I18" s="121">
        <v>0</v>
      </c>
      <c r="J18" s="121">
        <v>0</v>
      </c>
      <c r="K18" s="121">
        <v>0</v>
      </c>
      <c r="L18" s="122">
        <f t="shared" si="0"/>
        <v>0</v>
      </c>
    </row>
    <row r="19" spans="1:12" x14ac:dyDescent="0.2">
      <c r="A19" s="1036"/>
      <c r="B19" s="1036"/>
      <c r="C19" s="419" t="s">
        <v>957</v>
      </c>
      <c r="D19" s="420">
        <v>11</v>
      </c>
      <c r="E19" s="121">
        <v>0</v>
      </c>
      <c r="F19" s="121">
        <v>0</v>
      </c>
      <c r="G19" s="121">
        <v>0</v>
      </c>
      <c r="H19" s="121">
        <v>0</v>
      </c>
      <c r="I19" s="121">
        <v>0</v>
      </c>
      <c r="J19" s="121">
        <v>0</v>
      </c>
      <c r="K19" s="121">
        <v>0</v>
      </c>
      <c r="L19" s="122">
        <f t="shared" si="0"/>
        <v>0</v>
      </c>
    </row>
    <row r="20" spans="1:12" ht="15" customHeight="1" x14ac:dyDescent="0.2">
      <c r="A20" s="1037" t="s">
        <v>958</v>
      </c>
      <c r="B20" s="1036" t="s">
        <v>959</v>
      </c>
      <c r="C20" s="1036"/>
      <c r="D20" s="420">
        <v>12</v>
      </c>
      <c r="E20" s="121">
        <v>0</v>
      </c>
      <c r="F20" s="121">
        <v>0</v>
      </c>
      <c r="G20" s="121">
        <v>0</v>
      </c>
      <c r="H20" s="121">
        <v>0</v>
      </c>
      <c r="I20" s="121">
        <v>0</v>
      </c>
      <c r="J20" s="121">
        <v>0</v>
      </c>
      <c r="K20" s="121">
        <v>0</v>
      </c>
      <c r="L20" s="122">
        <f t="shared" si="0"/>
        <v>0</v>
      </c>
    </row>
    <row r="21" spans="1:12" x14ac:dyDescent="0.2">
      <c r="A21" s="1037"/>
      <c r="B21" s="1036" t="s">
        <v>960</v>
      </c>
      <c r="C21" s="1036"/>
      <c r="D21" s="420">
        <v>13</v>
      </c>
      <c r="E21" s="121">
        <v>0</v>
      </c>
      <c r="F21" s="121">
        <v>0</v>
      </c>
      <c r="G21" s="121">
        <v>0</v>
      </c>
      <c r="H21" s="121">
        <v>0</v>
      </c>
      <c r="I21" s="121">
        <v>0</v>
      </c>
      <c r="J21" s="121">
        <v>0</v>
      </c>
      <c r="K21" s="121">
        <v>0</v>
      </c>
      <c r="L21" s="122">
        <f t="shared" si="0"/>
        <v>0</v>
      </c>
    </row>
    <row r="22" spans="1:12" ht="15" customHeight="1" x14ac:dyDescent="0.2">
      <c r="A22" s="1037"/>
      <c r="B22" s="1037" t="s">
        <v>961</v>
      </c>
      <c r="C22" s="419" t="s">
        <v>962</v>
      </c>
      <c r="D22" s="420">
        <v>14</v>
      </c>
      <c r="E22" s="121">
        <v>0</v>
      </c>
      <c r="F22" s="121">
        <v>0</v>
      </c>
      <c r="G22" s="121">
        <v>0</v>
      </c>
      <c r="H22" s="121">
        <v>0</v>
      </c>
      <c r="I22" s="121">
        <v>0</v>
      </c>
      <c r="J22" s="121">
        <v>0</v>
      </c>
      <c r="K22" s="121">
        <v>0</v>
      </c>
      <c r="L22" s="122">
        <f t="shared" si="0"/>
        <v>0</v>
      </c>
    </row>
    <row r="23" spans="1:12" x14ac:dyDescent="0.2">
      <c r="A23" s="1037"/>
      <c r="B23" s="1037"/>
      <c r="C23" s="419" t="s">
        <v>963</v>
      </c>
      <c r="D23" s="420">
        <v>15</v>
      </c>
      <c r="E23" s="121">
        <v>0</v>
      </c>
      <c r="F23" s="121">
        <v>0</v>
      </c>
      <c r="G23" s="121">
        <v>0</v>
      </c>
      <c r="H23" s="121">
        <v>0</v>
      </c>
      <c r="I23" s="121">
        <v>0</v>
      </c>
      <c r="J23" s="121">
        <v>0</v>
      </c>
      <c r="K23" s="121">
        <v>0</v>
      </c>
      <c r="L23" s="122">
        <f t="shared" si="0"/>
        <v>0</v>
      </c>
    </row>
    <row r="24" spans="1:12" ht="15" customHeight="1" x14ac:dyDescent="0.2">
      <c r="A24" s="1037" t="s">
        <v>964</v>
      </c>
      <c r="B24" s="1037"/>
      <c r="C24" s="420" t="s">
        <v>959</v>
      </c>
      <c r="D24" s="420">
        <v>16</v>
      </c>
      <c r="E24" s="123">
        <v>0</v>
      </c>
      <c r="F24" s="123">
        <v>0</v>
      </c>
      <c r="G24" s="123">
        <v>0</v>
      </c>
      <c r="H24" s="123">
        <v>0</v>
      </c>
      <c r="I24" s="123">
        <v>0</v>
      </c>
      <c r="J24" s="123">
        <v>0</v>
      </c>
      <c r="K24" s="123">
        <v>0</v>
      </c>
      <c r="L24" s="544">
        <f t="shared" si="0"/>
        <v>0</v>
      </c>
    </row>
    <row r="25" spans="1:12" x14ac:dyDescent="0.2">
      <c r="A25" s="1037"/>
      <c r="B25" s="1037"/>
      <c r="C25" s="420" t="s">
        <v>960</v>
      </c>
      <c r="D25" s="420">
        <v>17</v>
      </c>
      <c r="E25" s="123">
        <v>0</v>
      </c>
      <c r="F25" s="123">
        <v>0</v>
      </c>
      <c r="G25" s="123">
        <v>0</v>
      </c>
      <c r="H25" s="123">
        <v>0</v>
      </c>
      <c r="I25" s="123">
        <v>0</v>
      </c>
      <c r="J25" s="123">
        <v>0</v>
      </c>
      <c r="K25" s="123">
        <v>0</v>
      </c>
      <c r="L25" s="544">
        <f t="shared" si="0"/>
        <v>0</v>
      </c>
    </row>
    <row r="26" spans="1:12" x14ac:dyDescent="0.2">
      <c r="A26" s="1037"/>
      <c r="B26" s="1037"/>
      <c r="C26" s="420" t="s">
        <v>961</v>
      </c>
      <c r="D26" s="420">
        <v>18</v>
      </c>
      <c r="E26" s="123">
        <v>0</v>
      </c>
      <c r="F26" s="123">
        <v>0</v>
      </c>
      <c r="G26" s="123">
        <v>0</v>
      </c>
      <c r="H26" s="123">
        <v>0</v>
      </c>
      <c r="I26" s="123">
        <v>0</v>
      </c>
      <c r="J26" s="123">
        <v>0</v>
      </c>
      <c r="K26" s="123">
        <v>0</v>
      </c>
      <c r="L26" s="544">
        <f t="shared" si="0"/>
        <v>0</v>
      </c>
    </row>
    <row r="27" spans="1:12" ht="15" customHeight="1" x14ac:dyDescent="0.2">
      <c r="A27" s="1037" t="s">
        <v>965</v>
      </c>
      <c r="B27" s="1037"/>
      <c r="C27" s="419" t="s">
        <v>966</v>
      </c>
      <c r="D27" s="420">
        <v>19</v>
      </c>
      <c r="E27" s="121">
        <v>0</v>
      </c>
      <c r="F27" s="121">
        <v>0</v>
      </c>
      <c r="G27" s="121">
        <v>0</v>
      </c>
      <c r="H27" s="121">
        <v>0</v>
      </c>
      <c r="I27" s="121">
        <v>0</v>
      </c>
      <c r="J27" s="121">
        <v>0</v>
      </c>
      <c r="K27" s="121">
        <v>0</v>
      </c>
      <c r="L27" s="122">
        <f t="shared" si="0"/>
        <v>0</v>
      </c>
    </row>
    <row r="28" spans="1:12" x14ac:dyDescent="0.2">
      <c r="A28" s="1037"/>
      <c r="B28" s="1037"/>
      <c r="C28" s="419" t="s">
        <v>967</v>
      </c>
      <c r="D28" s="420">
        <v>20</v>
      </c>
      <c r="E28" s="121">
        <v>0</v>
      </c>
      <c r="F28" s="121">
        <v>0</v>
      </c>
      <c r="G28" s="121">
        <v>0</v>
      </c>
      <c r="H28" s="121">
        <v>0</v>
      </c>
      <c r="I28" s="121">
        <v>0</v>
      </c>
      <c r="J28" s="121">
        <v>0</v>
      </c>
      <c r="K28" s="121">
        <v>0</v>
      </c>
      <c r="L28" s="122">
        <f t="shared" si="0"/>
        <v>0</v>
      </c>
    </row>
    <row r="29" spans="1:12" ht="15" customHeight="1" x14ac:dyDescent="0.2">
      <c r="A29" s="1037" t="s">
        <v>1178</v>
      </c>
      <c r="B29" s="1036" t="s">
        <v>968</v>
      </c>
      <c r="C29" s="1036"/>
      <c r="D29" s="420">
        <v>21</v>
      </c>
      <c r="E29" s="121">
        <v>0</v>
      </c>
      <c r="F29" s="121">
        <v>0</v>
      </c>
      <c r="G29" s="121">
        <v>0</v>
      </c>
      <c r="H29" s="121">
        <v>0</v>
      </c>
      <c r="I29" s="121">
        <v>0</v>
      </c>
      <c r="J29" s="121">
        <v>0</v>
      </c>
      <c r="K29" s="121">
        <v>0</v>
      </c>
      <c r="L29" s="122">
        <f t="shared" si="0"/>
        <v>0</v>
      </c>
    </row>
    <row r="30" spans="1:12" x14ac:dyDescent="0.2">
      <c r="A30" s="1037"/>
      <c r="B30" s="1036" t="s">
        <v>969</v>
      </c>
      <c r="C30" s="1036"/>
      <c r="D30" s="420">
        <v>22</v>
      </c>
      <c r="E30" s="121">
        <v>0</v>
      </c>
      <c r="F30" s="121">
        <v>0</v>
      </c>
      <c r="G30" s="121">
        <v>0</v>
      </c>
      <c r="H30" s="121">
        <v>0</v>
      </c>
      <c r="I30" s="121">
        <v>0</v>
      </c>
      <c r="J30" s="121">
        <v>0</v>
      </c>
      <c r="K30" s="121">
        <v>0</v>
      </c>
      <c r="L30" s="122">
        <f t="shared" si="0"/>
        <v>0</v>
      </c>
    </row>
    <row r="31" spans="1:12" x14ac:dyDescent="0.2">
      <c r="A31" s="1037"/>
      <c r="B31" s="1036" t="s">
        <v>970</v>
      </c>
      <c r="C31" s="419" t="s">
        <v>1164</v>
      </c>
      <c r="D31" s="420">
        <v>23</v>
      </c>
      <c r="E31" s="121">
        <v>0</v>
      </c>
      <c r="F31" s="121">
        <v>0</v>
      </c>
      <c r="G31" s="121">
        <v>0</v>
      </c>
      <c r="H31" s="121">
        <v>0</v>
      </c>
      <c r="I31" s="121">
        <v>0</v>
      </c>
      <c r="J31" s="121">
        <v>0</v>
      </c>
      <c r="K31" s="121">
        <v>0</v>
      </c>
      <c r="L31" s="122">
        <f t="shared" si="0"/>
        <v>0</v>
      </c>
    </row>
    <row r="32" spans="1:12" x14ac:dyDescent="0.2">
      <c r="A32" s="1037"/>
      <c r="B32" s="1036"/>
      <c r="C32" s="419" t="s">
        <v>481</v>
      </c>
      <c r="D32" s="420">
        <v>24</v>
      </c>
      <c r="E32" s="121">
        <v>0</v>
      </c>
      <c r="F32" s="121">
        <v>0</v>
      </c>
      <c r="G32" s="121">
        <v>0</v>
      </c>
      <c r="H32" s="121">
        <v>0</v>
      </c>
      <c r="I32" s="121">
        <v>0</v>
      </c>
      <c r="J32" s="121">
        <v>0</v>
      </c>
      <c r="K32" s="121">
        <v>0</v>
      </c>
      <c r="L32" s="122">
        <f t="shared" si="0"/>
        <v>0</v>
      </c>
    </row>
    <row r="33" spans="1:12" x14ac:dyDescent="0.2">
      <c r="A33" s="1037"/>
      <c r="B33" s="1036"/>
      <c r="C33" s="419" t="s">
        <v>474</v>
      </c>
      <c r="D33" s="420">
        <v>25</v>
      </c>
      <c r="E33" s="121">
        <v>0</v>
      </c>
      <c r="F33" s="121">
        <v>0</v>
      </c>
      <c r="G33" s="121">
        <v>0</v>
      </c>
      <c r="H33" s="121">
        <v>0</v>
      </c>
      <c r="I33" s="121">
        <v>0</v>
      </c>
      <c r="J33" s="121">
        <v>0</v>
      </c>
      <c r="K33" s="121">
        <v>0</v>
      </c>
      <c r="L33" s="122">
        <f t="shared" si="0"/>
        <v>0</v>
      </c>
    </row>
    <row r="34" spans="1:12" x14ac:dyDescent="0.2">
      <c r="A34" s="1037"/>
      <c r="B34" s="1036"/>
      <c r="C34" s="419" t="s">
        <v>971</v>
      </c>
      <c r="D34" s="420">
        <v>26</v>
      </c>
      <c r="E34" s="121">
        <v>0</v>
      </c>
      <c r="F34" s="121">
        <v>0</v>
      </c>
      <c r="G34" s="121">
        <v>0</v>
      </c>
      <c r="H34" s="121">
        <v>0</v>
      </c>
      <c r="I34" s="121">
        <v>0</v>
      </c>
      <c r="J34" s="121">
        <v>0</v>
      </c>
      <c r="K34" s="121">
        <v>0</v>
      </c>
      <c r="L34" s="122">
        <f t="shared" si="0"/>
        <v>0</v>
      </c>
    </row>
    <row r="35" spans="1:12" ht="15" customHeight="1" x14ac:dyDescent="0.2">
      <c r="A35" s="1037" t="s">
        <v>972</v>
      </c>
      <c r="B35" s="1037"/>
      <c r="C35" s="419" t="s">
        <v>973</v>
      </c>
      <c r="D35" s="420">
        <v>27</v>
      </c>
      <c r="E35" s="121">
        <v>0</v>
      </c>
      <c r="F35" s="121">
        <v>0</v>
      </c>
      <c r="G35" s="121">
        <v>0</v>
      </c>
      <c r="H35" s="121">
        <v>0</v>
      </c>
      <c r="I35" s="121">
        <v>0</v>
      </c>
      <c r="J35" s="121">
        <v>0</v>
      </c>
      <c r="K35" s="121">
        <v>0</v>
      </c>
      <c r="L35" s="122">
        <f t="shared" si="0"/>
        <v>0</v>
      </c>
    </row>
    <row r="36" spans="1:12" x14ac:dyDescent="0.2">
      <c r="A36" s="1037"/>
      <c r="B36" s="1037"/>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931" t="str">
        <f>+BALANCE!D361</f>
        <v>ГҮЙЦЭТГЭХ ЗАХИРАЛ.................................................................//</v>
      </c>
      <c r="D42" s="931"/>
      <c r="E42" s="931"/>
      <c r="F42" s="931"/>
      <c r="G42" s="931"/>
      <c r="H42" s="931"/>
      <c r="I42" s="931"/>
      <c r="J42" s="931"/>
    </row>
    <row r="43" spans="1:12" x14ac:dyDescent="0.2">
      <c r="B43" s="15"/>
      <c r="C43" s="16"/>
      <c r="D43" s="136"/>
      <c r="E43" s="139"/>
      <c r="F43" s="139"/>
      <c r="G43" s="139"/>
    </row>
    <row r="44" spans="1:12" ht="15" customHeight="1" x14ac:dyDescent="0.2">
      <c r="B44" s="15"/>
      <c r="C44" s="931" t="str">
        <f>+BALANCE!D363</f>
        <v>ЕРӨНХИЙ НЯГТЛАН БОДОГЧ....................................................//</v>
      </c>
      <c r="D44" s="931"/>
      <c r="E44" s="931"/>
      <c r="F44" s="931"/>
      <c r="G44" s="931"/>
      <c r="H44" s="931"/>
      <c r="I44" s="931"/>
      <c r="J44" s="931"/>
    </row>
    <row r="45" spans="1:12" x14ac:dyDescent="0.2">
      <c r="B45" s="15"/>
      <c r="C45" s="16"/>
      <c r="D45" s="136"/>
      <c r="E45" s="139"/>
      <c r="F45" s="139"/>
      <c r="G45" s="139"/>
    </row>
    <row r="46" spans="1:12" ht="15" customHeight="1" x14ac:dyDescent="0.2">
      <c r="B46" s="15"/>
      <c r="C46" s="931">
        <f>+BALANCE!D365</f>
        <v>0</v>
      </c>
      <c r="D46" s="931"/>
      <c r="E46" s="931"/>
      <c r="F46" s="931"/>
      <c r="G46" s="931"/>
      <c r="H46" s="931"/>
      <c r="I46" s="931"/>
      <c r="J46" s="931"/>
    </row>
  </sheetData>
  <sheetProtection password="CA9F" sheet="1"/>
  <mergeCells count="32">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40625"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56" t="s">
        <v>975</v>
      </c>
      <c r="B2" s="756"/>
      <c r="C2" s="756"/>
      <c r="D2" s="756"/>
      <c r="E2" s="756"/>
      <c r="F2" s="756"/>
      <c r="G2" s="756"/>
      <c r="H2" s="756"/>
      <c r="I2" s="756"/>
    </row>
    <row r="3" spans="1:9" x14ac:dyDescent="0.2">
      <c r="A3" s="823" t="str">
        <f>+BALANCE!A3</f>
        <v>БАНК БУС САНХҮҮГИЙН БАЙГУУЛЛАГЫН НЭР</v>
      </c>
      <c r="B3" s="823"/>
      <c r="C3" s="823"/>
      <c r="D3" s="823"/>
      <c r="E3" s="823"/>
      <c r="F3" s="823"/>
      <c r="G3" s="823"/>
      <c r="H3" s="823"/>
      <c r="I3" s="823"/>
    </row>
    <row r="4" spans="1:9" x14ac:dyDescent="0.2">
      <c r="A4" s="756" t="str">
        <f>+BALANCE!A4</f>
        <v>БАНК БУС САНХҮҮГИЙН БАЙГУУЛЛАГА</v>
      </c>
      <c r="B4" s="756"/>
      <c r="C4" s="756"/>
      <c r="D4" s="756"/>
      <c r="E4" s="756"/>
      <c r="F4" s="756"/>
      <c r="G4" s="756"/>
      <c r="H4" s="756"/>
      <c r="I4" s="756"/>
    </row>
    <row r="5" spans="1:9" ht="15.75" customHeight="1" x14ac:dyDescent="0.2">
      <c r="A5" s="824">
        <f>+BALANCE!A6</f>
        <v>44651</v>
      </c>
      <c r="B5" s="824"/>
      <c r="H5" s="944" t="s">
        <v>439</v>
      </c>
      <c r="I5" s="944"/>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8" t="s">
        <v>824</v>
      </c>
      <c r="B27" s="968"/>
      <c r="C27" s="202">
        <f>+SUM(C7:C26)</f>
        <v>0</v>
      </c>
      <c r="D27" s="128"/>
      <c r="E27" s="128"/>
      <c r="F27" s="315">
        <f>+SUM(F7:F26)</f>
        <v>0</v>
      </c>
      <c r="G27" s="315">
        <f>+SUM(G7:G26)</f>
        <v>0</v>
      </c>
      <c r="H27" s="316">
        <f>SUM(H7:H26)</f>
        <v>0</v>
      </c>
      <c r="I27" s="317" t="e">
        <f>SUM(I7:I26)</f>
        <v>#DIV/0!</v>
      </c>
    </row>
    <row r="28" spans="1:9" ht="15.75" customHeight="1" x14ac:dyDescent="0.2">
      <c r="A28" s="1039" t="s">
        <v>983</v>
      </c>
      <c r="B28" s="1039"/>
      <c r="C28" s="1039"/>
      <c r="D28" s="1039"/>
      <c r="E28" s="1039"/>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07" t="s">
        <v>437</v>
      </c>
      <c r="D32" s="807"/>
      <c r="E32" s="137"/>
      <c r="F32" s="17"/>
      <c r="G32" s="3"/>
    </row>
    <row r="33" spans="3:8" x14ac:dyDescent="0.2">
      <c r="C33" s="16"/>
      <c r="D33" s="136"/>
      <c r="E33" s="135"/>
      <c r="F33" s="13"/>
      <c r="G33" s="14"/>
    </row>
    <row r="34" spans="3:8" x14ac:dyDescent="0.2">
      <c r="C34" s="177"/>
      <c r="D34" s="177"/>
      <c r="E34" s="931" t="str">
        <f>+BALANCE!D361</f>
        <v>ГҮЙЦЭТГЭХ ЗАХИРАЛ.................................................................//</v>
      </c>
      <c r="F34" s="931"/>
      <c r="G34" s="931"/>
      <c r="H34" s="931"/>
    </row>
    <row r="35" spans="3:8" x14ac:dyDescent="0.2">
      <c r="C35" s="138"/>
      <c r="D35" s="138"/>
      <c r="E35" s="138"/>
      <c r="F35" s="138"/>
      <c r="G35" s="138"/>
    </row>
    <row r="36" spans="3:8" x14ac:dyDescent="0.2">
      <c r="C36" s="177"/>
      <c r="D36" s="177"/>
      <c r="E36" s="931" t="str">
        <f>+BALANCE!D363</f>
        <v>ЕРӨНХИЙ НЯГТЛАН БОДОГЧ....................................................//</v>
      </c>
      <c r="F36" s="931"/>
      <c r="G36" s="931"/>
      <c r="H36" s="931"/>
    </row>
    <row r="37" spans="3:8" x14ac:dyDescent="0.2">
      <c r="C37" s="138"/>
      <c r="D37" s="138"/>
      <c r="E37" s="138"/>
      <c r="F37" s="138"/>
      <c r="G37" s="138"/>
    </row>
    <row r="38" spans="3:8" x14ac:dyDescent="0.2">
      <c r="C38" s="177"/>
      <c r="D38" s="177"/>
      <c r="E38" s="931">
        <f>+BALANCE!D365</f>
        <v>0</v>
      </c>
      <c r="F38" s="931"/>
      <c r="G38" s="931"/>
      <c r="H38" s="931"/>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40625"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56" t="s">
        <v>984</v>
      </c>
      <c r="B2" s="756"/>
      <c r="C2" s="756"/>
      <c r="D2" s="756"/>
      <c r="E2" s="756"/>
      <c r="F2" s="756"/>
      <c r="G2" s="756"/>
      <c r="H2" s="756"/>
      <c r="I2" s="756"/>
      <c r="J2" s="756"/>
    </row>
    <row r="3" spans="1:12" x14ac:dyDescent="0.2">
      <c r="A3" s="823" t="str">
        <f>BALANCE!A3</f>
        <v>БАНК БУС САНХҮҮГИЙН БАЙГУУЛЛАГЫН НЭР</v>
      </c>
      <c r="B3" s="823"/>
      <c r="C3" s="823"/>
      <c r="D3" s="823"/>
      <c r="E3" s="823"/>
      <c r="F3" s="823"/>
      <c r="G3" s="823"/>
      <c r="H3" s="823"/>
      <c r="I3" s="823"/>
      <c r="J3" s="823"/>
    </row>
    <row r="4" spans="1:12" x14ac:dyDescent="0.2">
      <c r="A4" s="756" t="str">
        <f>BALANCE!A4</f>
        <v>БАНК БУС САНХҮҮГИЙН БАЙГУУЛЛАГА</v>
      </c>
      <c r="B4" s="756"/>
      <c r="C4" s="756"/>
      <c r="D4" s="756"/>
      <c r="E4" s="756"/>
      <c r="F4" s="756"/>
      <c r="G4" s="756"/>
      <c r="H4" s="756"/>
      <c r="I4" s="756"/>
      <c r="J4" s="756"/>
    </row>
    <row r="5" spans="1:12" x14ac:dyDescent="0.2">
      <c r="A5" s="824">
        <f>BALANCE!A6</f>
        <v>44651</v>
      </c>
      <c r="B5" s="824"/>
      <c r="C5" s="443"/>
      <c r="I5" s="1042" t="s">
        <v>439</v>
      </c>
      <c r="J5" s="1042"/>
    </row>
    <row r="6" spans="1:12" ht="25.5" customHeight="1" x14ac:dyDescent="0.2">
      <c r="A6" s="989" t="s">
        <v>2</v>
      </c>
      <c r="B6" s="991" t="s">
        <v>1062</v>
      </c>
      <c r="C6" s="992"/>
      <c r="D6" s="972" t="s">
        <v>985</v>
      </c>
      <c r="E6" s="974" t="s">
        <v>1068</v>
      </c>
      <c r="F6" s="987" t="s">
        <v>1069</v>
      </c>
      <c r="G6" s="989" t="s">
        <v>986</v>
      </c>
      <c r="H6" s="989" t="s">
        <v>816</v>
      </c>
      <c r="I6" s="1040" t="s">
        <v>759</v>
      </c>
      <c r="J6" s="974" t="s">
        <v>987</v>
      </c>
    </row>
    <row r="7" spans="1:12" x14ac:dyDescent="0.2">
      <c r="A7" s="990"/>
      <c r="B7" s="448" t="s">
        <v>1056</v>
      </c>
      <c r="C7" s="448" t="s">
        <v>1057</v>
      </c>
      <c r="D7" s="973"/>
      <c r="E7" s="975"/>
      <c r="F7" s="988"/>
      <c r="G7" s="990"/>
      <c r="H7" s="990"/>
      <c r="I7" s="1041"/>
      <c r="J7" s="975"/>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8" t="s">
        <v>824</v>
      </c>
      <c r="B28" s="968"/>
      <c r="C28" s="446"/>
      <c r="D28" s="202">
        <f>+SUM(D8:D27)</f>
        <v>0</v>
      </c>
      <c r="E28" s="325"/>
      <c r="F28" s="446"/>
      <c r="G28" s="128"/>
      <c r="H28" s="128"/>
      <c r="I28" s="202">
        <f>SUM(I8:I27)</f>
        <v>0</v>
      </c>
      <c r="J28" s="325"/>
      <c r="K28" s="612"/>
    </row>
    <row r="29" spans="1:11" x14ac:dyDescent="0.2">
      <c r="H29" s="998" t="s">
        <v>988</v>
      </c>
      <c r="I29" s="998"/>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07" t="s">
        <v>437</v>
      </c>
      <c r="C33" s="807"/>
      <c r="D33" s="807"/>
      <c r="E33" s="807"/>
      <c r="F33" s="807"/>
    </row>
    <row r="34" spans="2:9" x14ac:dyDescent="0.2">
      <c r="B34" s="16"/>
      <c r="C34" s="16"/>
      <c r="D34" s="136"/>
      <c r="E34" s="135"/>
      <c r="F34" s="16"/>
      <c r="G34" s="14"/>
    </row>
    <row r="35" spans="2:9" ht="15" customHeight="1" x14ac:dyDescent="0.2">
      <c r="B35" s="177"/>
      <c r="C35" s="177"/>
      <c r="D35" s="931" t="str">
        <f>BALANCE!D361</f>
        <v>ГҮЙЦЭТГЭХ ЗАХИРАЛ.................................................................//</v>
      </c>
      <c r="E35" s="931"/>
      <c r="F35" s="931"/>
      <c r="G35" s="931"/>
      <c r="H35" s="931"/>
      <c r="I35" s="931"/>
    </row>
    <row r="36" spans="2:9" x14ac:dyDescent="0.2">
      <c r="B36" s="445"/>
      <c r="C36" s="445"/>
      <c r="D36" s="445"/>
      <c r="E36" s="310"/>
      <c r="F36" s="445"/>
      <c r="G36" s="445"/>
    </row>
    <row r="37" spans="2:9" ht="15" customHeight="1" x14ac:dyDescent="0.2">
      <c r="B37" s="177"/>
      <c r="C37" s="177"/>
      <c r="D37" s="931" t="str">
        <f>BALANCE!D363</f>
        <v>ЕРӨНХИЙ НЯГТЛАН БОДОГЧ....................................................//</v>
      </c>
      <c r="E37" s="931"/>
      <c r="F37" s="931"/>
      <c r="G37" s="931"/>
      <c r="H37" s="931"/>
      <c r="I37" s="931"/>
    </row>
    <row r="38" spans="2:9" x14ac:dyDescent="0.2">
      <c r="B38" s="445"/>
      <c r="C38" s="445"/>
      <c r="D38" s="445"/>
      <c r="E38" s="310"/>
      <c r="F38" s="445"/>
      <c r="G38" s="445"/>
    </row>
    <row r="39" spans="2:9" ht="15" customHeight="1" x14ac:dyDescent="0.2">
      <c r="B39" s="177"/>
      <c r="C39" s="177"/>
      <c r="D39" s="931">
        <f>BALANCE!D365</f>
        <v>0</v>
      </c>
      <c r="E39" s="931"/>
      <c r="F39" s="931"/>
      <c r="G39" s="931"/>
      <c r="H39" s="931"/>
      <c r="I39" s="931"/>
    </row>
  </sheetData>
  <sheetProtection password="CA9F" sheet="1"/>
  <mergeCells count="20">
    <mergeCell ref="J6:J7"/>
    <mergeCell ref="I6:I7"/>
    <mergeCell ref="A2:J2"/>
    <mergeCell ref="A3:J3"/>
    <mergeCell ref="A4:J4"/>
    <mergeCell ref="A5:B5"/>
    <mergeCell ref="I5:J5"/>
    <mergeCell ref="B33:F33"/>
    <mergeCell ref="D35:I35"/>
    <mergeCell ref="D37:I37"/>
    <mergeCell ref="D39:I39"/>
    <mergeCell ref="A6:A7"/>
    <mergeCell ref="D6:D7"/>
    <mergeCell ref="A28:B28"/>
    <mergeCell ref="H29:I29"/>
    <mergeCell ref="H6:H7"/>
    <mergeCell ref="G6:G7"/>
    <mergeCell ref="F6:F7"/>
    <mergeCell ref="E6:E7"/>
    <mergeCell ref="B6:C6"/>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40625"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56" t="s">
        <v>989</v>
      </c>
      <c r="B2" s="756"/>
      <c r="C2" s="756"/>
      <c r="D2" s="756"/>
      <c r="E2" s="756"/>
      <c r="F2" s="756"/>
      <c r="G2" s="756"/>
      <c r="H2" s="756"/>
      <c r="I2" s="756"/>
      <c r="J2" s="756"/>
      <c r="K2" s="756"/>
      <c r="L2" s="2"/>
    </row>
    <row r="3" spans="1:12" x14ac:dyDescent="0.2">
      <c r="A3" s="823" t="str">
        <f>+BALANCE!A3</f>
        <v>БАНК БУС САНХҮҮГИЙН БАЙГУУЛЛАГЫН НЭР</v>
      </c>
      <c r="B3" s="823"/>
      <c r="C3" s="823"/>
      <c r="D3" s="823"/>
      <c r="E3" s="823"/>
      <c r="F3" s="823"/>
      <c r="G3" s="823"/>
      <c r="H3" s="823"/>
      <c r="I3" s="823"/>
      <c r="J3" s="823"/>
      <c r="K3" s="823"/>
      <c r="L3" s="104"/>
    </row>
    <row r="4" spans="1:12" x14ac:dyDescent="0.2">
      <c r="A4" s="756" t="str">
        <f>+BALANCE!A4</f>
        <v>БАНК БУС САНХҮҮГИЙН БАЙГУУЛЛАГА</v>
      </c>
      <c r="B4" s="756"/>
      <c r="C4" s="756"/>
      <c r="D4" s="756"/>
      <c r="E4" s="756"/>
      <c r="F4" s="756"/>
      <c r="G4" s="756"/>
      <c r="H4" s="756"/>
      <c r="I4" s="756"/>
      <c r="J4" s="756"/>
      <c r="K4" s="756"/>
      <c r="L4" s="2"/>
    </row>
    <row r="5" spans="1:12" ht="15" customHeight="1" x14ac:dyDescent="0.2">
      <c r="A5" s="824">
        <f>+BALANCE!A6</f>
        <v>44651</v>
      </c>
      <c r="B5" s="824"/>
      <c r="C5" s="350"/>
      <c r="J5" s="1033" t="s">
        <v>439</v>
      </c>
      <c r="K5" s="1033"/>
      <c r="L5" s="2"/>
    </row>
    <row r="6" spans="1:12" ht="38.25" customHeight="1" x14ac:dyDescent="0.2">
      <c r="A6" s="987" t="s">
        <v>2</v>
      </c>
      <c r="B6" s="1000" t="s">
        <v>1064</v>
      </c>
      <c r="C6" s="1001"/>
      <c r="D6" s="972" t="s">
        <v>990</v>
      </c>
      <c r="E6" s="987" t="s">
        <v>991</v>
      </c>
      <c r="F6" s="987" t="s">
        <v>1065</v>
      </c>
      <c r="G6" s="987" t="s">
        <v>992</v>
      </c>
      <c r="H6" s="987" t="s">
        <v>816</v>
      </c>
      <c r="I6" s="987" t="s">
        <v>869</v>
      </c>
      <c r="J6" s="972" t="s">
        <v>1100</v>
      </c>
      <c r="K6" s="974" t="s">
        <v>823</v>
      </c>
      <c r="L6" s="50"/>
    </row>
    <row r="7" spans="1:12" x14ac:dyDescent="0.2">
      <c r="A7" s="988"/>
      <c r="B7" s="354" t="s">
        <v>1056</v>
      </c>
      <c r="C7" s="354" t="s">
        <v>1057</v>
      </c>
      <c r="D7" s="973"/>
      <c r="E7" s="988"/>
      <c r="F7" s="988"/>
      <c r="G7" s="988"/>
      <c r="H7" s="988"/>
      <c r="I7" s="988"/>
      <c r="J7" s="973"/>
      <c r="K7" s="975"/>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9" t="s">
        <v>824</v>
      </c>
      <c r="B28" s="939"/>
      <c r="C28" s="352"/>
      <c r="D28" s="202">
        <f>+SUM(D8:D27)</f>
        <v>0</v>
      </c>
      <c r="E28" s="128"/>
      <c r="F28" s="128"/>
      <c r="G28" s="128"/>
      <c r="H28" s="128"/>
      <c r="I28" s="128"/>
      <c r="J28" s="202">
        <f>SUM(J8:J27)</f>
        <v>0</v>
      </c>
      <c r="K28" s="325"/>
    </row>
    <row r="29" spans="1:12" x14ac:dyDescent="0.2">
      <c r="I29" s="998" t="s">
        <v>988</v>
      </c>
      <c r="J29" s="998"/>
      <c r="K29" s="324" t="e">
        <f>+MAX(K8:K27)</f>
        <v>#DIV/0!</v>
      </c>
    </row>
    <row r="30" spans="1:12" x14ac:dyDescent="0.2">
      <c r="J30" s="597"/>
    </row>
    <row r="32" spans="1:12" x14ac:dyDescent="0.2">
      <c r="A32" s="958" t="s">
        <v>36</v>
      </c>
      <c r="B32" s="958"/>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931" t="str">
        <f>+BALANCE!D361</f>
        <v>ГҮЙЦЭТГЭХ ЗАХИРАЛ.................................................................//</v>
      </c>
      <c r="F36" s="931"/>
      <c r="G36" s="931"/>
      <c r="H36" s="931"/>
      <c r="I36" s="931"/>
      <c r="J36" s="931"/>
    </row>
    <row r="37" spans="2:10" x14ac:dyDescent="0.2">
      <c r="B37" s="138"/>
      <c r="C37" s="351"/>
      <c r="D37" s="138"/>
      <c r="E37" s="138"/>
      <c r="F37" s="351"/>
      <c r="G37" s="138"/>
      <c r="H37" s="138"/>
    </row>
    <row r="38" spans="2:10" x14ac:dyDescent="0.2">
      <c r="B38" s="177"/>
      <c r="C38" s="177"/>
      <c r="D38" s="177"/>
      <c r="E38" s="931" t="str">
        <f>+BALANCE!D363</f>
        <v>ЕРӨНХИЙ НЯГТЛАН БОДОГЧ....................................................//</v>
      </c>
      <c r="F38" s="931"/>
      <c r="G38" s="931"/>
      <c r="H38" s="931"/>
      <c r="I38" s="931"/>
      <c r="J38" s="931"/>
    </row>
    <row r="39" spans="2:10" x14ac:dyDescent="0.2">
      <c r="B39" s="138"/>
      <c r="C39" s="351"/>
      <c r="D39" s="138"/>
      <c r="E39" s="138"/>
      <c r="F39" s="351"/>
      <c r="G39" s="138"/>
      <c r="H39" s="138"/>
    </row>
    <row r="40" spans="2:10" x14ac:dyDescent="0.2">
      <c r="B40" s="177"/>
      <c r="C40" s="177"/>
      <c r="D40" s="177"/>
      <c r="E40" s="931">
        <f>+BALANCE!D365</f>
        <v>0</v>
      </c>
      <c r="F40" s="931"/>
      <c r="G40" s="931"/>
      <c r="H40" s="931"/>
      <c r="I40" s="931"/>
      <c r="J40" s="931"/>
    </row>
  </sheetData>
  <sheetProtection password="CA9F" sheet="1"/>
  <mergeCells count="21">
    <mergeCell ref="K6:K7"/>
    <mergeCell ref="E36:J36"/>
    <mergeCell ref="I29:J29"/>
    <mergeCell ref="A2:K2"/>
    <mergeCell ref="A3:K3"/>
    <mergeCell ref="A4:K4"/>
    <mergeCell ref="A5:B5"/>
    <mergeCell ref="J5:K5"/>
    <mergeCell ref="E40:J40"/>
    <mergeCell ref="B6:C6"/>
    <mergeCell ref="I6:I7"/>
    <mergeCell ref="H6:H7"/>
    <mergeCell ref="G6:G7"/>
    <mergeCell ref="A32:B32"/>
    <mergeCell ref="A28:B28"/>
    <mergeCell ref="E38:J38"/>
    <mergeCell ref="J6:J7"/>
    <mergeCell ref="A6:A7"/>
    <mergeCell ref="F6:F7"/>
    <mergeCell ref="D6:D7"/>
    <mergeCell ref="E6:E7"/>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40625"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56" t="s">
        <v>993</v>
      </c>
      <c r="B2" s="756"/>
      <c r="C2" s="756"/>
      <c r="D2" s="756"/>
      <c r="E2" s="756"/>
      <c r="F2" s="756"/>
      <c r="G2" s="756"/>
      <c r="H2" s="756"/>
      <c r="I2" s="756"/>
      <c r="J2" s="756"/>
      <c r="K2" s="756"/>
      <c r="L2" s="756"/>
      <c r="M2" s="756"/>
      <c r="N2" s="756"/>
      <c r="O2" s="756"/>
    </row>
    <row r="3" spans="1:15" x14ac:dyDescent="0.2">
      <c r="A3" s="823" t="str">
        <f>+BALANCE!A3</f>
        <v>БАНК БУС САНХҮҮГИЙН БАЙГУУЛЛАГЫН НЭР</v>
      </c>
      <c r="B3" s="823"/>
      <c r="C3" s="823"/>
      <c r="D3" s="823"/>
      <c r="E3" s="823"/>
      <c r="F3" s="823"/>
      <c r="G3" s="823"/>
      <c r="H3" s="823"/>
      <c r="I3" s="823"/>
      <c r="J3" s="823"/>
      <c r="K3" s="823"/>
      <c r="L3" s="823"/>
      <c r="M3" s="823"/>
      <c r="N3" s="823"/>
      <c r="O3" s="823"/>
    </row>
    <row r="4" spans="1:15" x14ac:dyDescent="0.2">
      <c r="A4" s="756" t="str">
        <f>+BALANCE!A4</f>
        <v>БАНК БУС САНХҮҮГИЙН БАЙГУУЛЛАГА</v>
      </c>
      <c r="B4" s="756"/>
      <c r="C4" s="756"/>
      <c r="D4" s="756"/>
      <c r="E4" s="756"/>
      <c r="F4" s="756"/>
      <c r="G4" s="756"/>
      <c r="H4" s="756"/>
      <c r="I4" s="756"/>
      <c r="J4" s="756"/>
      <c r="K4" s="756"/>
      <c r="L4" s="756"/>
      <c r="M4" s="756"/>
      <c r="N4" s="756"/>
      <c r="O4" s="756"/>
    </row>
    <row r="5" spans="1:15" x14ac:dyDescent="0.2">
      <c r="A5" s="1"/>
      <c r="B5" s="1"/>
      <c r="C5" s="1"/>
      <c r="D5" s="1"/>
      <c r="E5" s="1"/>
      <c r="F5" s="1"/>
      <c r="G5" s="1"/>
      <c r="H5" s="1"/>
      <c r="I5" s="1"/>
      <c r="J5" s="1"/>
      <c r="K5" s="1"/>
      <c r="L5" s="1"/>
      <c r="M5" s="1"/>
      <c r="N5" s="1"/>
      <c r="O5" s="1"/>
    </row>
    <row r="6" spans="1:15" x14ac:dyDescent="0.2">
      <c r="A6" s="1043">
        <f>+BALANCE!A6</f>
        <v>44651</v>
      </c>
      <c r="B6" s="1043"/>
      <c r="N6" s="1033" t="s">
        <v>439</v>
      </c>
      <c r="O6" s="1033"/>
    </row>
    <row r="7" spans="1:15" ht="21" customHeight="1" x14ac:dyDescent="0.2">
      <c r="A7" s="1044" t="s">
        <v>2</v>
      </c>
      <c r="B7" s="1045" t="s">
        <v>47</v>
      </c>
      <c r="C7" s="1044" t="s">
        <v>994</v>
      </c>
      <c r="D7" s="1044" t="s">
        <v>995</v>
      </c>
      <c r="E7" s="1044" t="s">
        <v>996</v>
      </c>
      <c r="F7" s="1045" t="s">
        <v>997</v>
      </c>
      <c r="G7" s="1044" t="s">
        <v>998</v>
      </c>
      <c r="H7" s="1044" t="s">
        <v>995</v>
      </c>
      <c r="I7" s="1045" t="s">
        <v>999</v>
      </c>
      <c r="J7" s="1044" t="s">
        <v>1000</v>
      </c>
      <c r="K7" s="1044"/>
      <c r="L7" s="1044"/>
      <c r="M7" s="1049" t="s">
        <v>1001</v>
      </c>
      <c r="N7" s="1049"/>
      <c r="O7" s="1047" t="s">
        <v>823</v>
      </c>
    </row>
    <row r="8" spans="1:15" ht="21" customHeight="1" x14ac:dyDescent="0.2">
      <c r="A8" s="1044"/>
      <c r="B8" s="1045"/>
      <c r="C8" s="1044"/>
      <c r="D8" s="1044"/>
      <c r="E8" s="1044"/>
      <c r="F8" s="1045"/>
      <c r="G8" s="1044"/>
      <c r="H8" s="1044"/>
      <c r="I8" s="1045"/>
      <c r="J8" s="125" t="s">
        <v>1002</v>
      </c>
      <c r="K8" s="125" t="s">
        <v>1003</v>
      </c>
      <c r="L8" s="125" t="s">
        <v>1004</v>
      </c>
      <c r="M8" s="313" t="s">
        <v>732</v>
      </c>
      <c r="N8" s="313" t="s">
        <v>839</v>
      </c>
      <c r="O8" s="1047"/>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6" t="s">
        <v>3</v>
      </c>
      <c r="B14" s="1046"/>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6" t="s">
        <v>3</v>
      </c>
      <c r="B20" s="1046"/>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6" t="s">
        <v>3</v>
      </c>
      <c r="B26" s="1046"/>
      <c r="C26" s="131"/>
      <c r="D26" s="131"/>
      <c r="E26" s="131"/>
      <c r="F26" s="131"/>
      <c r="G26" s="131"/>
      <c r="H26" s="131"/>
      <c r="I26" s="131"/>
      <c r="J26" s="131"/>
      <c r="K26" s="131"/>
      <c r="L26" s="131"/>
      <c r="M26" s="326">
        <f>+SUM(M21:M25)</f>
        <v>0</v>
      </c>
      <c r="N26" s="326">
        <f>+SUM(N21:N25)</f>
        <v>0</v>
      </c>
      <c r="O26" s="312"/>
    </row>
    <row r="27" spans="1:15" x14ac:dyDescent="0.2">
      <c r="A27" s="939" t="s">
        <v>824</v>
      </c>
      <c r="B27" s="939"/>
      <c r="C27" s="128"/>
      <c r="D27" s="128"/>
      <c r="E27" s="128"/>
      <c r="F27" s="128"/>
      <c r="G27" s="128"/>
      <c r="H27" s="128"/>
      <c r="I27" s="128"/>
      <c r="J27" s="128"/>
      <c r="K27" s="128"/>
      <c r="L27" s="128"/>
      <c r="M27" s="327">
        <f>+SUM(M14,M20,M26)</f>
        <v>0</v>
      </c>
      <c r="N27" s="327">
        <f>+SUM(N14,N20,N26)</f>
        <v>0</v>
      </c>
      <c r="O27" s="325"/>
    </row>
    <row r="28" spans="1:15" x14ac:dyDescent="0.2">
      <c r="M28" s="1048" t="s">
        <v>988</v>
      </c>
      <c r="N28" s="1048"/>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07" t="s">
        <v>437</v>
      </c>
      <c r="E32" s="807"/>
      <c r="F32" s="17"/>
    </row>
    <row r="33" spans="3:9" x14ac:dyDescent="0.2">
      <c r="C33" s="16"/>
      <c r="D33" s="136"/>
      <c r="E33" s="135"/>
      <c r="F33" s="13"/>
      <c r="G33" s="14"/>
    </row>
    <row r="34" spans="3:9" ht="15" customHeight="1" x14ac:dyDescent="0.2">
      <c r="C34" s="177"/>
      <c r="D34" s="177"/>
      <c r="E34" s="931" t="str">
        <f>+BALANCE!D361</f>
        <v>ГҮЙЦЭТГЭХ ЗАХИРАЛ.................................................................//</v>
      </c>
      <c r="F34" s="931"/>
      <c r="G34" s="931"/>
      <c r="H34" s="931"/>
      <c r="I34" s="931"/>
    </row>
    <row r="35" spans="3:9" x14ac:dyDescent="0.2">
      <c r="C35" s="138"/>
      <c r="D35" s="138"/>
      <c r="E35" s="138"/>
      <c r="F35" s="138"/>
      <c r="G35" s="138"/>
    </row>
    <row r="36" spans="3:9" ht="15" customHeight="1" x14ac:dyDescent="0.2">
      <c r="C36" s="177"/>
      <c r="D36" s="177"/>
      <c r="E36" s="931" t="str">
        <f>+BALANCE!D363</f>
        <v>ЕРӨНХИЙ НЯГТЛАН БОДОГЧ....................................................//</v>
      </c>
      <c r="F36" s="931"/>
      <c r="G36" s="931"/>
      <c r="H36" s="931"/>
      <c r="I36" s="931"/>
    </row>
    <row r="37" spans="3:9" x14ac:dyDescent="0.2">
      <c r="C37" s="138"/>
      <c r="D37" s="138"/>
      <c r="E37" s="138"/>
      <c r="F37" s="138"/>
      <c r="G37" s="138"/>
    </row>
    <row r="38" spans="3:9" ht="15" customHeight="1" x14ac:dyDescent="0.2">
      <c r="C38" s="177"/>
      <c r="D38" s="177"/>
      <c r="E38" s="931">
        <f>+BALANCE!D365</f>
        <v>0</v>
      </c>
      <c r="F38" s="931"/>
      <c r="G38" s="931"/>
      <c r="H38" s="931"/>
      <c r="I38" s="931"/>
    </row>
  </sheetData>
  <sheetProtection password="CA9F" sheet="1"/>
  <mergeCells count="26">
    <mergeCell ref="D32:E32"/>
    <mergeCell ref="O7:O8"/>
    <mergeCell ref="H7:H8"/>
    <mergeCell ref="A20:B20"/>
    <mergeCell ref="A26:B26"/>
    <mergeCell ref="A27:B27"/>
    <mergeCell ref="M28:N28"/>
    <mergeCell ref="I7:I8"/>
    <mergeCell ref="J7:L7"/>
    <mergeCell ref="M7:N7"/>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40625"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56" t="s">
        <v>1005</v>
      </c>
      <c r="B2" s="756"/>
      <c r="C2" s="756"/>
      <c r="D2" s="756"/>
      <c r="E2" s="756"/>
      <c r="F2" s="756"/>
      <c r="G2" s="756"/>
      <c r="H2" s="756"/>
      <c r="I2" s="329"/>
      <c r="J2" s="2"/>
      <c r="K2" s="2"/>
      <c r="L2" s="2"/>
      <c r="M2" s="2"/>
      <c r="N2" s="2"/>
      <c r="O2" s="2"/>
      <c r="P2" s="2"/>
      <c r="Q2" s="2"/>
      <c r="R2" s="2"/>
      <c r="S2" s="2"/>
      <c r="T2" s="2"/>
      <c r="U2" s="2"/>
      <c r="V2" s="2"/>
      <c r="W2" s="2"/>
      <c r="X2" s="2"/>
      <c r="Y2" s="2"/>
      <c r="Z2" s="2"/>
    </row>
    <row r="3" spans="1:26" x14ac:dyDescent="0.2">
      <c r="A3" s="823" t="str">
        <f>+BALANCE!A3</f>
        <v>БАНК БУС САНХҮҮГИЙН БАЙГУУЛЛАГЫН НЭР</v>
      </c>
      <c r="B3" s="823"/>
      <c r="C3" s="823"/>
      <c r="D3" s="823"/>
      <c r="E3" s="823"/>
      <c r="F3" s="823"/>
      <c r="G3" s="823"/>
      <c r="H3" s="823"/>
      <c r="I3" s="330"/>
      <c r="J3" s="104"/>
      <c r="K3" s="104"/>
      <c r="L3" s="104"/>
      <c r="M3" s="104"/>
      <c r="N3" s="104"/>
      <c r="O3" s="104"/>
      <c r="P3" s="104"/>
      <c r="Q3" s="104"/>
      <c r="R3" s="104"/>
      <c r="S3" s="104"/>
      <c r="T3" s="104"/>
      <c r="U3" s="104"/>
      <c r="V3" s="104"/>
      <c r="W3" s="104"/>
      <c r="X3" s="104"/>
      <c r="Y3" s="104"/>
      <c r="Z3" s="104"/>
    </row>
    <row r="4" spans="1:26" x14ac:dyDescent="0.2">
      <c r="A4" s="756" t="str">
        <f>+BALANCE!A4</f>
        <v>БАНК БУС САНХҮҮГИЙН БАЙГУУЛЛАГА</v>
      </c>
      <c r="B4" s="756"/>
      <c r="C4" s="756"/>
      <c r="D4" s="756"/>
      <c r="E4" s="756"/>
      <c r="F4" s="756"/>
      <c r="G4" s="756"/>
      <c r="H4" s="756"/>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4">
        <f>+BALANCE!A6</f>
        <v>44651</v>
      </c>
      <c r="B6" s="824"/>
      <c r="H6" s="944" t="s">
        <v>439</v>
      </c>
      <c r="I6" s="944"/>
    </row>
    <row r="7" spans="1:26" ht="14.25" customHeight="1" x14ac:dyDescent="0.2">
      <c r="A7" s="1045" t="s">
        <v>2</v>
      </c>
      <c r="B7" s="1045" t="s">
        <v>1006</v>
      </c>
      <c r="C7" s="1052" t="s">
        <v>1007</v>
      </c>
      <c r="D7" s="1052"/>
      <c r="E7" s="1052"/>
      <c r="F7" s="1052"/>
      <c r="G7" s="1052"/>
      <c r="H7" s="1052"/>
      <c r="I7" s="1052"/>
    </row>
    <row r="8" spans="1:26" x14ac:dyDescent="0.2">
      <c r="A8" s="1045"/>
      <c r="B8" s="1045"/>
      <c r="C8" s="1051" t="s">
        <v>1008</v>
      </c>
      <c r="D8" s="1051"/>
      <c r="E8" s="1051"/>
      <c r="F8" s="1052" t="s">
        <v>1009</v>
      </c>
      <c r="G8" s="1052"/>
      <c r="H8" s="1052"/>
      <c r="I8" s="1053" t="s">
        <v>530</v>
      </c>
    </row>
    <row r="9" spans="1:26" s="16" customFormat="1" x14ac:dyDescent="0.25">
      <c r="A9" s="1045"/>
      <c r="B9" s="1045"/>
      <c r="C9" s="1054" t="s">
        <v>1010</v>
      </c>
      <c r="D9" s="984" t="s">
        <v>1011</v>
      </c>
      <c r="E9" s="984" t="s">
        <v>1012</v>
      </c>
      <c r="F9" s="1054" t="s">
        <v>1010</v>
      </c>
      <c r="G9" s="984" t="s">
        <v>1011</v>
      </c>
      <c r="H9" s="984" t="s">
        <v>1012</v>
      </c>
      <c r="I9" s="1053"/>
    </row>
    <row r="10" spans="1:26" s="16" customFormat="1" ht="15.75" customHeight="1" x14ac:dyDescent="0.25">
      <c r="A10" s="1045"/>
      <c r="B10" s="1045"/>
      <c r="C10" s="1054"/>
      <c r="D10" s="984"/>
      <c r="E10" s="984"/>
      <c r="F10" s="1054"/>
      <c r="G10" s="984"/>
      <c r="H10" s="984"/>
      <c r="I10" s="1053"/>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50" t="s">
        <v>824</v>
      </c>
      <c r="B20" s="1050"/>
      <c r="C20" s="416">
        <f t="shared" ref="C20:H20" si="0">+SUM(C11:C19)</f>
        <v>0</v>
      </c>
      <c r="D20" s="416">
        <f t="shared" si="0"/>
        <v>0</v>
      </c>
      <c r="E20" s="417">
        <f>+SUM(E11:E19)</f>
        <v>0</v>
      </c>
      <c r="F20" s="417">
        <f t="shared" si="0"/>
        <v>0</v>
      </c>
      <c r="G20" s="417">
        <f t="shared" si="0"/>
        <v>0</v>
      </c>
      <c r="H20" s="417">
        <f t="shared" si="0"/>
        <v>0</v>
      </c>
      <c r="I20" s="418"/>
    </row>
    <row r="21" spans="1:9" x14ac:dyDescent="0.2">
      <c r="G21" s="1048" t="s">
        <v>988</v>
      </c>
      <c r="H21" s="1048"/>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931" t="str">
        <f>+BALANCE!D361</f>
        <v>ГҮЙЦЭТГЭХ ЗАХИРАЛ.................................................................//</v>
      </c>
      <c r="E28" s="931"/>
      <c r="F28" s="931"/>
      <c r="G28" s="931"/>
    </row>
    <row r="29" spans="1:9" x14ac:dyDescent="0.2">
      <c r="B29" s="138"/>
      <c r="C29" s="138"/>
      <c r="D29" s="138"/>
      <c r="E29" s="138"/>
      <c r="F29" s="138"/>
    </row>
    <row r="30" spans="1:9" x14ac:dyDescent="0.2">
      <c r="B30" s="177"/>
      <c r="C30" s="177"/>
      <c r="D30" s="931" t="str">
        <f>+BALANCE!D363</f>
        <v>ЕРӨНХИЙ НЯГТЛАН БОДОГЧ....................................................//</v>
      </c>
      <c r="E30" s="931"/>
      <c r="F30" s="931"/>
      <c r="G30" s="931"/>
    </row>
    <row r="31" spans="1:9" x14ac:dyDescent="0.2">
      <c r="B31" s="138"/>
      <c r="C31" s="138"/>
      <c r="D31" s="138"/>
      <c r="E31" s="138"/>
      <c r="F31" s="138"/>
    </row>
    <row r="32" spans="1:9" x14ac:dyDescent="0.2">
      <c r="B32" s="177"/>
      <c r="C32" s="177"/>
      <c r="D32" s="931">
        <f>+BALANCE!D365</f>
        <v>0</v>
      </c>
      <c r="E32" s="931"/>
      <c r="F32" s="931"/>
      <c r="G32" s="931"/>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40625"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56" t="s">
        <v>1017</v>
      </c>
      <c r="B2" s="756"/>
      <c r="C2" s="756"/>
      <c r="D2" s="756"/>
      <c r="E2" s="756"/>
    </row>
    <row r="3" spans="1:5" x14ac:dyDescent="0.2">
      <c r="A3" s="823" t="str">
        <f>+BALANCE!A3</f>
        <v>БАНК БУС САНХҮҮГИЙН БАЙГУУЛЛАГЫН НЭР</v>
      </c>
      <c r="B3" s="823"/>
      <c r="C3" s="823"/>
      <c r="D3" s="823"/>
      <c r="E3" s="823"/>
    </row>
    <row r="4" spans="1:5" x14ac:dyDescent="0.2">
      <c r="A4" s="756" t="str">
        <f>+BALANCE!A4</f>
        <v>БАНК БУС САНХҮҮГИЙН БАЙГУУЛЛАГА</v>
      </c>
      <c r="B4" s="756"/>
      <c r="C4" s="756"/>
      <c r="D4" s="756"/>
      <c r="E4" s="756"/>
    </row>
    <row r="5" spans="1:5" x14ac:dyDescent="0.2">
      <c r="A5" s="1"/>
      <c r="B5" s="1"/>
      <c r="C5" s="1"/>
      <c r="D5" s="1"/>
      <c r="E5" s="18"/>
    </row>
    <row r="6" spans="1:5" x14ac:dyDescent="0.2">
      <c r="A6" s="1056">
        <f>+BALANCE!A6</f>
        <v>44651</v>
      </c>
      <c r="B6" s="1056"/>
    </row>
    <row r="7" spans="1:5" x14ac:dyDescent="0.2">
      <c r="A7" s="334" t="s">
        <v>2</v>
      </c>
      <c r="B7" s="22" t="s">
        <v>1018</v>
      </c>
      <c r="C7" s="334" t="s">
        <v>1019</v>
      </c>
      <c r="D7" s="335" t="s">
        <v>1020</v>
      </c>
      <c r="E7" s="334" t="s">
        <v>1021</v>
      </c>
    </row>
    <row r="8" spans="1:5" x14ac:dyDescent="0.2">
      <c r="A8" s="334" t="s">
        <v>763</v>
      </c>
      <c r="B8" s="760" t="s">
        <v>1022</v>
      </c>
      <c r="C8" s="760"/>
      <c r="D8" s="760"/>
      <c r="E8" s="760"/>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60" t="s">
        <v>1025</v>
      </c>
      <c r="C12" s="760"/>
      <c r="D12" s="760"/>
      <c r="E12" s="760"/>
    </row>
    <row r="13" spans="1:5" x14ac:dyDescent="0.2">
      <c r="A13" s="44">
        <v>4</v>
      </c>
      <c r="B13" s="39" t="s">
        <v>1025</v>
      </c>
      <c r="C13" s="44" t="s">
        <v>1026</v>
      </c>
      <c r="D13" s="340" t="str">
        <f>+Liquidity!E27</f>
        <v>-</v>
      </c>
      <c r="E13" s="358" t="str">
        <f>+Liquidity!E28</f>
        <v>-</v>
      </c>
    </row>
    <row r="14" spans="1:5" x14ac:dyDescent="0.2">
      <c r="A14" s="334" t="s">
        <v>774</v>
      </c>
      <c r="B14" s="760" t="s">
        <v>1027</v>
      </c>
      <c r="C14" s="760"/>
      <c r="D14" s="760"/>
      <c r="E14" s="760"/>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60" t="s">
        <v>1041</v>
      </c>
      <c r="C25" s="760"/>
      <c r="D25" s="760"/>
      <c r="E25" s="760"/>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60" t="s">
        <v>1071</v>
      </c>
      <c r="C27" s="760"/>
      <c r="D27" s="760"/>
      <c r="E27" s="760"/>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60" t="s">
        <v>1046</v>
      </c>
      <c r="C30" s="760"/>
      <c r="D30" s="760"/>
      <c r="E30" s="760"/>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60" t="s">
        <v>1051</v>
      </c>
      <c r="C32" s="760"/>
      <c r="D32" s="760"/>
      <c r="E32" s="760"/>
    </row>
    <row r="33" spans="1:5" ht="15.75" customHeight="1" x14ac:dyDescent="0.2">
      <c r="A33" s="44">
        <v>19</v>
      </c>
      <c r="B33" s="39" t="s">
        <v>1052</v>
      </c>
      <c r="C33" s="1055" t="e">
        <f>+INCOME!E140/((Statistic!C44+BALANCESHEET!C116)/2)</f>
        <v>#DIV/0!</v>
      </c>
      <c r="D33" s="1055"/>
      <c r="E33" s="1055"/>
    </row>
    <row r="34" spans="1:5" ht="15.75" customHeight="1" x14ac:dyDescent="0.2">
      <c r="A34" s="44">
        <v>20</v>
      </c>
      <c r="B34" s="39" t="s">
        <v>1053</v>
      </c>
      <c r="C34" s="1055" t="e">
        <f>+INCOME!E140/((Statistic!C45+BALANCESHEET!G82)/2)</f>
        <v>#DIV/0!</v>
      </c>
      <c r="D34" s="1055"/>
      <c r="E34" s="1055"/>
    </row>
    <row r="37" spans="1:5" x14ac:dyDescent="0.2">
      <c r="A37" s="749" t="s">
        <v>36</v>
      </c>
      <c r="B37" s="749"/>
      <c r="C37" s="135"/>
      <c r="D37" s="13"/>
      <c r="E37" s="50"/>
    </row>
    <row r="38" spans="1:5" x14ac:dyDescent="0.2">
      <c r="A38" s="70"/>
      <c r="B38" s="136"/>
      <c r="C38" s="135"/>
      <c r="D38" s="13"/>
      <c r="E38" s="50"/>
    </row>
    <row r="39" spans="1:5" x14ac:dyDescent="0.2">
      <c r="A39" s="133"/>
      <c r="B39" s="17" t="s">
        <v>437</v>
      </c>
      <c r="C39" s="137"/>
      <c r="D39" s="17"/>
    </row>
    <row r="41" spans="1:5" x14ac:dyDescent="0.2">
      <c r="B41" s="1057" t="str">
        <f>+BALANCE!D361</f>
        <v>ГҮЙЦЭТГЭХ ЗАХИРАЛ.................................................................//</v>
      </c>
      <c r="C41" s="1057"/>
      <c r="D41" s="1057"/>
    </row>
    <row r="43" spans="1:5" x14ac:dyDescent="0.2">
      <c r="B43" s="1057" t="str">
        <f>+BALANCE!D363</f>
        <v>ЕРӨНХИЙ НЯГТЛАН БОДОГЧ....................................................//</v>
      </c>
      <c r="C43" s="1057"/>
      <c r="D43" s="1057"/>
    </row>
    <row r="45" spans="1:5" x14ac:dyDescent="0.2">
      <c r="B45" s="1057">
        <f>+BALANCE!D365</f>
        <v>0</v>
      </c>
      <c r="C45" s="1057"/>
      <c r="D45" s="1057"/>
    </row>
  </sheetData>
  <sheetProtection password="CA9F" sheet="1"/>
  <mergeCells count="17">
    <mergeCell ref="C34:E34"/>
    <mergeCell ref="A37:B37"/>
    <mergeCell ref="B41:D41"/>
    <mergeCell ref="B43:D43"/>
    <mergeCell ref="B45:D45"/>
    <mergeCell ref="C33:E33"/>
    <mergeCell ref="A2:E2"/>
    <mergeCell ref="A3:E3"/>
    <mergeCell ref="A4:E4"/>
    <mergeCell ref="A6:B6"/>
    <mergeCell ref="B8:E8"/>
    <mergeCell ref="B12:E12"/>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40625"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5" t="s">
        <v>1184</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82"/>
      <c r="B5" s="678"/>
      <c r="C5" s="678"/>
    </row>
    <row r="6" spans="1:3" x14ac:dyDescent="0.2">
      <c r="A6" s="682"/>
      <c r="B6" s="678"/>
      <c r="C6" s="678"/>
    </row>
    <row r="7" spans="1:3" x14ac:dyDescent="0.2">
      <c r="A7" s="762">
        <f>+Statistic!A7</f>
        <v>44651</v>
      </c>
      <c r="B7" s="762"/>
      <c r="C7" s="683"/>
    </row>
    <row r="8" spans="1:3" x14ac:dyDescent="0.2">
      <c r="A8" s="684" t="s">
        <v>2</v>
      </c>
      <c r="B8" s="763" t="s">
        <v>1265</v>
      </c>
      <c r="C8" s="763"/>
    </row>
    <row r="9" spans="1:3" x14ac:dyDescent="0.2">
      <c r="A9" s="685">
        <v>1</v>
      </c>
      <c r="B9" s="686" t="s">
        <v>1266</v>
      </c>
      <c r="C9" s="692"/>
    </row>
    <row r="10" spans="1:3" x14ac:dyDescent="0.2">
      <c r="A10" s="685">
        <v>2</v>
      </c>
      <c r="B10" s="686" t="s">
        <v>1268</v>
      </c>
      <c r="C10" s="692"/>
    </row>
    <row r="11" spans="1:3" ht="25.5" x14ac:dyDescent="0.2">
      <c r="A11" s="685">
        <v>3</v>
      </c>
      <c r="B11" s="686" t="s">
        <v>1267</v>
      </c>
      <c r="C11" s="692"/>
    </row>
    <row r="12" spans="1:3" x14ac:dyDescent="0.2">
      <c r="A12" s="685">
        <v>4</v>
      </c>
      <c r="B12" s="686" t="s">
        <v>1264</v>
      </c>
      <c r="C12" s="692"/>
    </row>
    <row r="13" spans="1:3" x14ac:dyDescent="0.2">
      <c r="A13" s="685">
        <v>5</v>
      </c>
      <c r="B13" s="686" t="s">
        <v>1180</v>
      </c>
      <c r="C13" s="692"/>
    </row>
    <row r="14" spans="1:3" ht="171.75" customHeight="1" x14ac:dyDescent="0.2">
      <c r="A14" s="685">
        <v>6</v>
      </c>
      <c r="B14" s="687" t="s">
        <v>1181</v>
      </c>
      <c r="C14" s="693"/>
    </row>
    <row r="15" spans="1:3" ht="81" customHeight="1" x14ac:dyDescent="0.2">
      <c r="A15" s="685">
        <v>7</v>
      </c>
      <c r="B15" s="687" t="s">
        <v>1182</v>
      </c>
      <c r="C15" s="692"/>
    </row>
    <row r="16" spans="1:3" x14ac:dyDescent="0.2">
      <c r="A16" s="685">
        <v>8</v>
      </c>
      <c r="B16" s="686" t="s">
        <v>1183</v>
      </c>
      <c r="C16" s="692"/>
    </row>
    <row r="17" spans="1:3" x14ac:dyDescent="0.2">
      <c r="A17" s="483"/>
    </row>
    <row r="18" spans="1:3" x14ac:dyDescent="0.2">
      <c r="A18" s="483"/>
    </row>
    <row r="19" spans="1:3" x14ac:dyDescent="0.2">
      <c r="A19" s="767" t="s">
        <v>36</v>
      </c>
      <c r="B19" s="767"/>
      <c r="C19" s="513"/>
    </row>
    <row r="20" spans="1:3" x14ac:dyDescent="0.2">
      <c r="A20" s="517"/>
      <c r="B20" s="688"/>
      <c r="C20" s="513"/>
    </row>
    <row r="21" spans="1:3" x14ac:dyDescent="0.2">
      <c r="A21" s="689" t="s">
        <v>37</v>
      </c>
      <c r="B21" s="689"/>
      <c r="C21" s="690"/>
    </row>
    <row r="22" spans="1:3" x14ac:dyDescent="0.2">
      <c r="A22" s="691"/>
      <c r="B22" s="60"/>
      <c r="C22" s="513"/>
    </row>
    <row r="23" spans="1:3" x14ac:dyDescent="0.2">
      <c r="A23" s="691"/>
      <c r="B23" s="761" t="str">
        <f>+Statistic!B60</f>
        <v>ГҮЙЦЭТГЭХ ЗАХИРАЛ.................................................................//</v>
      </c>
      <c r="C23" s="761"/>
    </row>
    <row r="24" spans="1:3" x14ac:dyDescent="0.2">
      <c r="A24" s="691"/>
      <c r="B24" s="677"/>
      <c r="C24" s="677"/>
    </row>
    <row r="25" spans="1:3" x14ac:dyDescent="0.2">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40625"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5" t="s">
        <v>1261</v>
      </c>
      <c r="C2" s="765"/>
      <c r="D2" s="765"/>
      <c r="E2" s="765"/>
      <c r="F2" s="765"/>
      <c r="G2" s="765"/>
      <c r="H2" s="765"/>
      <c r="I2" s="765"/>
      <c r="J2" s="765"/>
      <c r="K2" s="765"/>
      <c r="L2" s="765"/>
      <c r="M2" s="765"/>
      <c r="N2" s="765"/>
    </row>
    <row r="3" spans="2:14" x14ac:dyDescent="0.25">
      <c r="B3" s="764" t="str">
        <f>+Statistic!A3</f>
        <v>БАНК БУС САНХҮҮГИЙН БАЙГУУЛЛАГЫН НЭР</v>
      </c>
      <c r="C3" s="764"/>
      <c r="D3" s="764"/>
      <c r="E3" s="764"/>
      <c r="F3" s="764"/>
      <c r="G3" s="764"/>
      <c r="H3" s="764"/>
      <c r="I3" s="764"/>
      <c r="J3" s="764"/>
      <c r="K3" s="764"/>
      <c r="L3" s="764"/>
      <c r="M3" s="764"/>
      <c r="N3" s="764"/>
    </row>
    <row r="4" spans="2:14" x14ac:dyDescent="0.25">
      <c r="B4" s="766" t="str">
        <f>+Statistic!A4</f>
        <v>БАНК БУС САНХҮҮГИЙН БАЙГУУЛЛАГА</v>
      </c>
      <c r="C4" s="766"/>
      <c r="D4" s="766"/>
      <c r="E4" s="766"/>
      <c r="F4" s="766"/>
      <c r="G4" s="766"/>
      <c r="H4" s="766"/>
      <c r="I4" s="766"/>
      <c r="J4" s="766"/>
      <c r="K4" s="766"/>
      <c r="L4" s="766"/>
      <c r="M4" s="766"/>
      <c r="N4" s="766"/>
    </row>
    <row r="5" spans="2:14" x14ac:dyDescent="0.25">
      <c r="D5" s="678"/>
      <c r="E5" s="678"/>
      <c r="F5" s="678"/>
    </row>
    <row r="6" spans="2:14" x14ac:dyDescent="0.25">
      <c r="D6" s="678"/>
      <c r="E6" s="678"/>
      <c r="F6" s="678"/>
    </row>
    <row r="7" spans="2:14" x14ac:dyDescent="0.25">
      <c r="B7" s="769">
        <f>+Statistic!A7</f>
        <v>44651</v>
      </c>
      <c r="C7" s="769"/>
      <c r="D7" s="769"/>
      <c r="E7" s="695"/>
      <c r="F7" s="683"/>
    </row>
    <row r="8" spans="2:14" x14ac:dyDescent="0.25">
      <c r="B8" s="770" t="s">
        <v>1277</v>
      </c>
      <c r="C8" s="770"/>
      <c r="D8" s="770"/>
      <c r="E8" s="768" t="s">
        <v>31</v>
      </c>
      <c r="F8" s="768"/>
      <c r="G8" s="768"/>
      <c r="H8" s="768"/>
      <c r="I8" s="770" t="s">
        <v>1245</v>
      </c>
      <c r="J8" s="770"/>
      <c r="K8" s="768" t="s">
        <v>1246</v>
      </c>
      <c r="L8" s="768"/>
      <c r="M8" s="768"/>
      <c r="N8" s="768"/>
    </row>
    <row r="9" spans="2:14" x14ac:dyDescent="0.25">
      <c r="B9" s="770"/>
      <c r="C9" s="770"/>
      <c r="D9" s="770"/>
      <c r="E9" s="768" t="s">
        <v>1244</v>
      </c>
      <c r="F9" s="768"/>
      <c r="G9" s="768" t="s">
        <v>1243</v>
      </c>
      <c r="H9" s="768"/>
      <c r="I9" s="768" t="s">
        <v>1249</v>
      </c>
      <c r="J9" s="768" t="s">
        <v>1250</v>
      </c>
      <c r="K9" s="768" t="s">
        <v>1247</v>
      </c>
      <c r="L9" s="768"/>
      <c r="M9" s="768" t="s">
        <v>1248</v>
      </c>
      <c r="N9" s="768"/>
    </row>
    <row r="10" spans="2:14" x14ac:dyDescent="0.25">
      <c r="B10" s="770"/>
      <c r="C10" s="770"/>
      <c r="D10" s="770"/>
      <c r="E10" s="696" t="s">
        <v>1249</v>
      </c>
      <c r="F10" s="696" t="s">
        <v>1250</v>
      </c>
      <c r="G10" s="696" t="s">
        <v>1249</v>
      </c>
      <c r="H10" s="696" t="s">
        <v>1250</v>
      </c>
      <c r="I10" s="768"/>
      <c r="J10" s="768"/>
      <c r="K10" s="696" t="s">
        <v>1249</v>
      </c>
      <c r="L10" s="696" t="s">
        <v>1250</v>
      </c>
      <c r="M10" s="696" t="s">
        <v>1249</v>
      </c>
      <c r="N10" s="696" t="s">
        <v>1250</v>
      </c>
    </row>
    <row r="11" spans="2:14" x14ac:dyDescent="0.25">
      <c r="B11" s="685">
        <v>1</v>
      </c>
      <c r="C11" s="771" t="s">
        <v>1273</v>
      </c>
      <c r="D11" s="697" t="s">
        <v>1270</v>
      </c>
      <c r="E11" s="372"/>
      <c r="F11" s="372"/>
      <c r="G11" s="372"/>
      <c r="H11" s="370"/>
      <c r="I11" s="736"/>
      <c r="J11" s="736"/>
      <c r="K11" s="736"/>
      <c r="L11" s="736"/>
      <c r="M11" s="736"/>
      <c r="N11" s="736"/>
    </row>
    <row r="12" spans="2:14" x14ac:dyDescent="0.25">
      <c r="B12" s="685">
        <v>2</v>
      </c>
      <c r="C12" s="772"/>
      <c r="D12" s="698" t="s">
        <v>1271</v>
      </c>
      <c r="E12" s="372"/>
      <c r="F12" s="372"/>
      <c r="G12" s="372"/>
      <c r="H12" s="370"/>
      <c r="I12" s="736"/>
      <c r="J12" s="736"/>
      <c r="K12" s="736"/>
      <c r="L12" s="736"/>
      <c r="M12" s="736"/>
      <c r="N12" s="736"/>
    </row>
    <row r="13" spans="2:14" x14ac:dyDescent="0.25">
      <c r="B13" s="685">
        <v>3</v>
      </c>
      <c r="C13" s="771" t="s">
        <v>1274</v>
      </c>
      <c r="D13" s="697" t="s">
        <v>1269</v>
      </c>
      <c r="E13" s="633"/>
      <c r="F13" s="633"/>
      <c r="G13" s="633"/>
      <c r="H13" s="734"/>
      <c r="I13" s="735"/>
      <c r="J13" s="735"/>
      <c r="K13" s="735"/>
      <c r="L13" s="735"/>
      <c r="M13" s="735"/>
      <c r="N13" s="735"/>
    </row>
    <row r="14" spans="2:14" x14ac:dyDescent="0.25">
      <c r="B14" s="685">
        <v>4</v>
      </c>
      <c r="C14" s="772"/>
      <c r="D14" s="698" t="s">
        <v>1272</v>
      </c>
      <c r="E14" s="633"/>
      <c r="F14" s="633"/>
      <c r="G14" s="633"/>
      <c r="H14" s="734"/>
      <c r="I14" s="735"/>
      <c r="J14" s="735"/>
      <c r="K14" s="735"/>
      <c r="L14" s="735"/>
      <c r="M14" s="735"/>
      <c r="N14" s="735"/>
    </row>
    <row r="15" spans="2:14" x14ac:dyDescent="0.25">
      <c r="B15" s="685">
        <v>5</v>
      </c>
      <c r="C15" s="771" t="s">
        <v>1275</v>
      </c>
      <c r="D15" s="697" t="s">
        <v>1270</v>
      </c>
      <c r="E15" s="372"/>
      <c r="F15" s="372"/>
      <c r="G15" s="372"/>
      <c r="H15" s="370"/>
      <c r="I15" s="736"/>
      <c r="J15" s="736"/>
      <c r="K15" s="736"/>
      <c r="L15" s="736"/>
      <c r="M15" s="736"/>
      <c r="N15" s="736"/>
    </row>
    <row r="16" spans="2:14" x14ac:dyDescent="0.25">
      <c r="B16" s="685">
        <v>6</v>
      </c>
      <c r="C16" s="772"/>
      <c r="D16" s="698" t="s">
        <v>1271</v>
      </c>
      <c r="E16" s="372"/>
      <c r="F16" s="372"/>
      <c r="G16" s="372"/>
      <c r="H16" s="370"/>
      <c r="I16" s="736"/>
      <c r="J16" s="736"/>
      <c r="K16" s="736"/>
      <c r="L16" s="736"/>
      <c r="M16" s="736"/>
      <c r="N16" s="736"/>
    </row>
    <row r="17" spans="2:14" x14ac:dyDescent="0.25">
      <c r="B17" s="685">
        <v>7</v>
      </c>
      <c r="C17" s="771" t="s">
        <v>1276</v>
      </c>
      <c r="D17" s="697" t="s">
        <v>1270</v>
      </c>
      <c r="E17" s="372"/>
      <c r="F17" s="372"/>
      <c r="G17" s="372"/>
      <c r="H17" s="370"/>
      <c r="I17" s="736"/>
      <c r="J17" s="736"/>
      <c r="K17" s="736"/>
      <c r="L17" s="736"/>
      <c r="M17" s="736"/>
      <c r="N17" s="736"/>
    </row>
    <row r="18" spans="2:14" x14ac:dyDescent="0.25">
      <c r="B18" s="685">
        <v>8</v>
      </c>
      <c r="C18" s="772"/>
      <c r="D18" s="698" t="s">
        <v>1271</v>
      </c>
      <c r="E18" s="372"/>
      <c r="F18" s="372"/>
      <c r="G18" s="372"/>
      <c r="H18" s="370"/>
      <c r="I18" s="736"/>
      <c r="J18" s="736"/>
      <c r="K18" s="736"/>
      <c r="L18" s="736"/>
      <c r="M18" s="736"/>
      <c r="N18" s="736"/>
    </row>
    <row r="22" spans="2:14" x14ac:dyDescent="0.25">
      <c r="D22" s="767" t="s">
        <v>36</v>
      </c>
      <c r="E22" s="767"/>
      <c r="F22" s="513"/>
    </row>
    <row r="23" spans="2:14" x14ac:dyDescent="0.25">
      <c r="D23" s="517"/>
      <c r="E23" s="688"/>
      <c r="F23" s="513"/>
    </row>
    <row r="24" spans="2:14" x14ac:dyDescent="0.25">
      <c r="D24" s="689" t="s">
        <v>37</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40625"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5" t="s">
        <v>1239</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78"/>
      <c r="B5" s="678"/>
      <c r="C5" s="678"/>
    </row>
    <row r="6" spans="1:3" x14ac:dyDescent="0.2">
      <c r="A6" s="678"/>
      <c r="B6" s="678"/>
      <c r="C6" s="678"/>
    </row>
    <row r="7" spans="1:3" x14ac:dyDescent="0.2">
      <c r="A7" s="774">
        <f>+Statistic!A7</f>
        <v>44651</v>
      </c>
      <c r="B7" s="774"/>
      <c r="C7" s="737" t="s">
        <v>1280</v>
      </c>
    </row>
    <row r="8" spans="1:3" x14ac:dyDescent="0.2">
      <c r="A8" s="700" t="s">
        <v>1185</v>
      </c>
      <c r="B8" s="700" t="s">
        <v>1011</v>
      </c>
      <c r="C8" s="700" t="s">
        <v>1194</v>
      </c>
    </row>
    <row r="9" spans="1:3" x14ac:dyDescent="0.2">
      <c r="A9" s="775" t="s">
        <v>1195</v>
      </c>
      <c r="B9" s="776"/>
      <c r="C9" s="777"/>
    </row>
    <row r="10" spans="1:3" x14ac:dyDescent="0.2">
      <c r="A10" s="701" t="s">
        <v>1196</v>
      </c>
      <c r="B10" s="710"/>
      <c r="C10" s="710"/>
    </row>
    <row r="11" spans="1:3" x14ac:dyDescent="0.2">
      <c r="A11" s="775" t="s">
        <v>1192</v>
      </c>
      <c r="B11" s="776"/>
      <c r="C11" s="777"/>
    </row>
    <row r="12" spans="1:3" x14ac:dyDescent="0.2">
      <c r="A12" s="701" t="s">
        <v>1197</v>
      </c>
      <c r="B12" s="710"/>
      <c r="C12" s="710"/>
    </row>
    <row r="13" spans="1:3" x14ac:dyDescent="0.2">
      <c r="A13" s="701" t="s">
        <v>1198</v>
      </c>
      <c r="B13" s="710"/>
      <c r="C13" s="710"/>
    </row>
    <row r="14" spans="1:3" x14ac:dyDescent="0.2">
      <c r="A14" s="701" t="s">
        <v>1199</v>
      </c>
      <c r="B14" s="710"/>
      <c r="C14" s="710"/>
    </row>
    <row r="15" spans="1:3" x14ac:dyDescent="0.2">
      <c r="A15" s="775" t="s">
        <v>1200</v>
      </c>
      <c r="B15" s="776"/>
      <c r="C15" s="777"/>
    </row>
    <row r="16" spans="1:3" x14ac:dyDescent="0.2">
      <c r="A16" s="701" t="s">
        <v>1197</v>
      </c>
      <c r="B16" s="710"/>
      <c r="C16" s="710"/>
    </row>
    <row r="17" spans="1:3" x14ac:dyDescent="0.2">
      <c r="A17" s="701" t="s">
        <v>1201</v>
      </c>
      <c r="B17" s="710"/>
      <c r="C17" s="710"/>
    </row>
    <row r="18" spans="1:3" x14ac:dyDescent="0.2">
      <c r="A18" s="701" t="s">
        <v>1202</v>
      </c>
      <c r="B18" s="710"/>
      <c r="C18" s="710"/>
    </row>
    <row r="19" spans="1:3" x14ac:dyDescent="0.2">
      <c r="A19" s="701" t="s">
        <v>1203</v>
      </c>
      <c r="B19" s="710"/>
      <c r="C19" s="710"/>
    </row>
    <row r="20" spans="1:3" x14ac:dyDescent="0.2">
      <c r="A20" s="701" t="s">
        <v>1204</v>
      </c>
      <c r="B20" s="710"/>
      <c r="C20" s="710"/>
    </row>
    <row r="21" spans="1:3" x14ac:dyDescent="0.2">
      <c r="A21" s="702"/>
      <c r="B21" s="702"/>
    </row>
    <row r="22" spans="1:3" ht="25.5" x14ac:dyDescent="0.2">
      <c r="A22" s="703"/>
      <c r="B22" s="704" t="s">
        <v>1205</v>
      </c>
      <c r="C22" s="704" t="s">
        <v>1206</v>
      </c>
    </row>
    <row r="23" spans="1:3" x14ac:dyDescent="0.2">
      <c r="A23" s="705" t="s">
        <v>1262</v>
      </c>
      <c r="B23" s="706">
        <f>SUM(B24:B26)</f>
        <v>0</v>
      </c>
      <c r="C23" s="706">
        <f>SUM(C24:C26)</f>
        <v>0</v>
      </c>
    </row>
    <row r="24" spans="1:3" x14ac:dyDescent="0.2">
      <c r="A24" s="707" t="s">
        <v>1207</v>
      </c>
      <c r="B24" s="369"/>
      <c r="C24" s="369"/>
    </row>
    <row r="25" spans="1:3" x14ac:dyDescent="0.2">
      <c r="A25" s="707" t="s">
        <v>1207</v>
      </c>
      <c r="B25" s="369"/>
      <c r="C25" s="369"/>
    </row>
    <row r="26" spans="1:3" x14ac:dyDescent="0.2">
      <c r="A26" s="707" t="s">
        <v>1207</v>
      </c>
      <c r="B26" s="369"/>
      <c r="C26" s="369"/>
    </row>
    <row r="28" spans="1:3" x14ac:dyDescent="0.2">
      <c r="A28" s="696" t="s">
        <v>1185</v>
      </c>
      <c r="B28" s="696" t="s">
        <v>1186</v>
      </c>
    </row>
    <row r="29" spans="1:3" x14ac:dyDescent="0.2">
      <c r="A29" s="707" t="s">
        <v>1187</v>
      </c>
      <c r="B29" s="711"/>
    </row>
    <row r="30" spans="1:3" x14ac:dyDescent="0.2">
      <c r="A30" s="707" t="s">
        <v>1188</v>
      </c>
      <c r="B30" s="711"/>
    </row>
    <row r="31" spans="1:3" x14ac:dyDescent="0.2">
      <c r="A31" s="707" t="s">
        <v>1189</v>
      </c>
      <c r="B31" s="711"/>
    </row>
    <row r="32" spans="1:3" x14ac:dyDescent="0.2">
      <c r="A32" s="707" t="s">
        <v>1190</v>
      </c>
      <c r="B32" s="711"/>
    </row>
    <row r="33" spans="1:3" x14ac:dyDescent="0.2">
      <c r="A33" s="709" t="s">
        <v>1191</v>
      </c>
      <c r="B33" s="711"/>
    </row>
    <row r="34" spans="1:3" x14ac:dyDescent="0.2">
      <c r="A34" s="707" t="s">
        <v>1192</v>
      </c>
      <c r="B34" s="711"/>
    </row>
    <row r="35" spans="1:3" x14ac:dyDescent="0.2">
      <c r="A35" s="707" t="s">
        <v>1193</v>
      </c>
      <c r="B35" s="711"/>
    </row>
    <row r="38" spans="1:3" x14ac:dyDescent="0.2">
      <c r="A38" s="767" t="s">
        <v>36</v>
      </c>
      <c r="B38" s="767"/>
      <c r="C38" s="513"/>
    </row>
    <row r="39" spans="1:3" x14ac:dyDescent="0.2">
      <c r="A39" s="517"/>
      <c r="B39" s="688"/>
      <c r="C39" s="513"/>
    </row>
    <row r="40" spans="1:3" x14ac:dyDescent="0.2">
      <c r="A40" s="689" t="s">
        <v>37</v>
      </c>
      <c r="B40" s="689"/>
      <c r="C40" s="690"/>
    </row>
    <row r="41" spans="1:3" x14ac:dyDescent="0.2">
      <c r="A41" s="691"/>
      <c r="B41" s="60"/>
      <c r="C41" s="513"/>
    </row>
    <row r="42" spans="1:3" x14ac:dyDescent="0.2">
      <c r="A42" s="691"/>
      <c r="B42" s="773" t="str">
        <f>+Statistic!B60</f>
        <v>ГҮЙЦЭТГЭХ ЗАХИРАЛ.................................................................//</v>
      </c>
      <c r="C42" s="773"/>
    </row>
    <row r="43" spans="1:3" x14ac:dyDescent="0.2">
      <c r="A43" s="691"/>
      <c r="B43" s="699"/>
      <c r="C43" s="699"/>
    </row>
    <row r="44" spans="1:3" x14ac:dyDescent="0.2">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heetViews>
  <sheetFormatPr defaultColWidth="9.140625"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5" t="s">
        <v>1236</v>
      </c>
      <c r="B2" s="765"/>
      <c r="C2" s="765"/>
      <c r="D2" s="765"/>
      <c r="E2" s="765"/>
      <c r="F2" s="765"/>
      <c r="G2" s="765"/>
      <c r="H2" s="765"/>
      <c r="I2" s="765"/>
      <c r="J2" s="765"/>
    </row>
    <row r="3" spans="1:12" x14ac:dyDescent="0.2">
      <c r="A3" s="764" t="str">
        <f>+Statistic!A3</f>
        <v>БАНК БУС САНХҮҮГИЙН БАЙГУУЛЛАГЫН НЭР</v>
      </c>
      <c r="B3" s="764"/>
      <c r="C3" s="764"/>
      <c r="D3" s="764"/>
      <c r="E3" s="764"/>
      <c r="F3" s="764"/>
      <c r="G3" s="764"/>
      <c r="H3" s="764"/>
      <c r="I3" s="764"/>
      <c r="J3" s="764"/>
    </row>
    <row r="4" spans="1:12" x14ac:dyDescent="0.2">
      <c r="A4" s="766" t="str">
        <f>+Statistic!A4</f>
        <v>БАНК БУС САНХҮҮГИЙН БАЙГУУЛЛАГА</v>
      </c>
      <c r="B4" s="766"/>
      <c r="C4" s="766"/>
      <c r="D4" s="766"/>
      <c r="E4" s="766"/>
      <c r="F4" s="766"/>
      <c r="G4" s="766"/>
      <c r="H4" s="766"/>
      <c r="I4" s="766"/>
      <c r="J4" s="766"/>
    </row>
    <row r="5" spans="1:12" x14ac:dyDescent="0.2">
      <c r="A5" s="678"/>
      <c r="B5" s="678"/>
      <c r="C5" s="678"/>
    </row>
    <row r="6" spans="1:12" x14ac:dyDescent="0.2">
      <c r="A6" s="678"/>
      <c r="B6" s="678"/>
      <c r="C6" s="678"/>
    </row>
    <row r="7" spans="1:12" x14ac:dyDescent="0.2">
      <c r="A7" s="712">
        <f>+Statistic!A7</f>
        <v>44651</v>
      </c>
      <c r="B7" s="695"/>
      <c r="C7" s="683"/>
      <c r="K7" s="733" t="s">
        <v>1280</v>
      </c>
    </row>
    <row r="8" spans="1:12" x14ac:dyDescent="0.2">
      <c r="A8" s="780" t="s">
        <v>1208</v>
      </c>
      <c r="B8" s="783" t="s">
        <v>1209</v>
      </c>
      <c r="C8" s="784"/>
      <c r="D8" s="783" t="s">
        <v>1210</v>
      </c>
      <c r="E8" s="784"/>
      <c r="F8" s="783" t="s">
        <v>1211</v>
      </c>
      <c r="G8" s="784"/>
      <c r="H8" s="770" t="s">
        <v>1094</v>
      </c>
      <c r="I8" s="770"/>
      <c r="J8" s="770"/>
      <c r="K8" s="770"/>
    </row>
    <row r="9" spans="1:12" ht="29.25" customHeight="1" x14ac:dyDescent="0.2">
      <c r="A9" s="781"/>
      <c r="B9" s="770" t="s">
        <v>1001</v>
      </c>
      <c r="C9" s="770" t="s">
        <v>1186</v>
      </c>
      <c r="D9" s="770" t="s">
        <v>1001</v>
      </c>
      <c r="E9" s="770" t="s">
        <v>1186</v>
      </c>
      <c r="F9" s="770" t="s">
        <v>1001</v>
      </c>
      <c r="G9" s="770" t="s">
        <v>1186</v>
      </c>
      <c r="H9" s="770" t="s">
        <v>1001</v>
      </c>
      <c r="I9" s="770" t="s">
        <v>1186</v>
      </c>
      <c r="J9" s="799" t="s">
        <v>1241</v>
      </c>
      <c r="K9" s="800"/>
    </row>
    <row r="10" spans="1:12" x14ac:dyDescent="0.2">
      <c r="A10" s="782"/>
      <c r="B10" s="770"/>
      <c r="C10" s="770"/>
      <c r="D10" s="770"/>
      <c r="E10" s="770"/>
      <c r="F10" s="770"/>
      <c r="G10" s="770"/>
      <c r="H10" s="770"/>
      <c r="I10" s="770"/>
      <c r="J10" s="700" t="s">
        <v>1001</v>
      </c>
      <c r="K10" s="700" t="s">
        <v>1186</v>
      </c>
    </row>
    <row r="11" spans="1:12" s="726" customFormat="1" x14ac:dyDescent="0.2">
      <c r="A11" s="729" t="s">
        <v>1212</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x14ac:dyDescent="0.2">
      <c r="A12" s="713" t="s">
        <v>12</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x14ac:dyDescent="0.2">
      <c r="A13" s="713" t="s">
        <v>1164</v>
      </c>
      <c r="B13" s="706">
        <f>(BALANCESHEET!C35+BALANCESHEET!C42)*1000</f>
        <v>0</v>
      </c>
      <c r="C13" s="714">
        <f>+Statistic!C18</f>
        <v>0</v>
      </c>
      <c r="D13" s="369"/>
      <c r="E13" s="692"/>
      <c r="F13" s="369"/>
      <c r="G13" s="692"/>
      <c r="H13" s="369"/>
      <c r="I13" s="692"/>
      <c r="J13" s="369"/>
      <c r="K13" s="692"/>
      <c r="L13" s="483" t="str">
        <f t="shared" si="1"/>
        <v/>
      </c>
    </row>
    <row r="14" spans="1:12" x14ac:dyDescent="0.2">
      <c r="A14" s="713" t="s">
        <v>1066</v>
      </c>
      <c r="B14" s="706">
        <f>(BALANCESHEET!C36+BALANCESHEET!C43)*1000</f>
        <v>0</v>
      </c>
      <c r="C14" s="714">
        <f>+Statistic!C19</f>
        <v>0</v>
      </c>
      <c r="D14" s="369"/>
      <c r="E14" s="692"/>
      <c r="F14" s="369"/>
      <c r="G14" s="692"/>
      <c r="H14" s="369"/>
      <c r="I14" s="692"/>
      <c r="J14" s="369"/>
      <c r="K14" s="692"/>
      <c r="L14" s="483" t="str">
        <f t="shared" si="1"/>
        <v/>
      </c>
    </row>
    <row r="15" spans="1:12" s="726" customFormat="1" x14ac:dyDescent="0.2">
      <c r="A15" s="729" t="s">
        <v>1259</v>
      </c>
      <c r="B15" s="730">
        <f>SUM(B16:B19)</f>
        <v>0</v>
      </c>
      <c r="C15" s="731">
        <f>+Statistic!C23</f>
        <v>0</v>
      </c>
      <c r="D15" s="730">
        <f>SUM(D16:D19)</f>
        <v>0</v>
      </c>
      <c r="E15" s="730">
        <f t="shared" ref="E15:G15" si="2">SUM(E16:E19)</f>
        <v>0</v>
      </c>
      <c r="F15" s="730">
        <f t="shared" si="2"/>
        <v>0</v>
      </c>
      <c r="G15" s="730">
        <f t="shared" si="2"/>
        <v>0</v>
      </c>
      <c r="H15" s="785" t="s">
        <v>1279</v>
      </c>
      <c r="I15" s="786"/>
      <c r="J15" s="786"/>
      <c r="K15" s="787"/>
      <c r="L15" s="726" t="str">
        <f>IF(C15=E15+G15,"","Ангилалын дүн нийт дүнгээс зөрүүтэй")</f>
        <v/>
      </c>
    </row>
    <row r="16" spans="1:12" x14ac:dyDescent="0.2">
      <c r="A16" s="713" t="s">
        <v>1213</v>
      </c>
      <c r="B16" s="706">
        <f>SUM(D16+F16)</f>
        <v>0</v>
      </c>
      <c r="C16" s="714">
        <f>+Statistic!C24</f>
        <v>0</v>
      </c>
      <c r="D16" s="369"/>
      <c r="E16" s="692"/>
      <c r="F16" s="369"/>
      <c r="G16" s="692"/>
      <c r="H16" s="788"/>
      <c r="I16" s="789"/>
      <c r="J16" s="789"/>
      <c r="K16" s="790"/>
      <c r="L16" s="483" t="str">
        <f t="shared" ref="L16:L25" si="3">IF(C16=E16+G16,"","Ангилалын дүн нийт дүнгээс зөрүүтэй")</f>
        <v/>
      </c>
    </row>
    <row r="17" spans="1:12" x14ac:dyDescent="0.2">
      <c r="A17" s="713" t="s">
        <v>1214</v>
      </c>
      <c r="B17" s="706">
        <f t="shared" ref="B17:B19" si="4">SUM(D17+F17)</f>
        <v>0</v>
      </c>
      <c r="C17" s="714">
        <f>+Statistic!C25</f>
        <v>0</v>
      </c>
      <c r="D17" s="369"/>
      <c r="E17" s="692"/>
      <c r="F17" s="369"/>
      <c r="G17" s="692"/>
      <c r="H17" s="788"/>
      <c r="I17" s="789"/>
      <c r="J17" s="789"/>
      <c r="K17" s="790"/>
      <c r="L17" s="483" t="str">
        <f t="shared" si="3"/>
        <v/>
      </c>
    </row>
    <row r="18" spans="1:12" x14ac:dyDescent="0.2">
      <c r="A18" s="713" t="s">
        <v>1215</v>
      </c>
      <c r="B18" s="706">
        <f t="shared" si="4"/>
        <v>0</v>
      </c>
      <c r="C18" s="714">
        <f>+Statistic!C26</f>
        <v>0</v>
      </c>
      <c r="D18" s="369"/>
      <c r="E18" s="692"/>
      <c r="F18" s="369"/>
      <c r="G18" s="692"/>
      <c r="H18" s="788"/>
      <c r="I18" s="789"/>
      <c r="J18" s="789"/>
      <c r="K18" s="790"/>
      <c r="L18" s="483" t="str">
        <f t="shared" si="3"/>
        <v/>
      </c>
    </row>
    <row r="19" spans="1:12" x14ac:dyDescent="0.2">
      <c r="A19" s="713" t="s">
        <v>1216</v>
      </c>
      <c r="B19" s="706">
        <f t="shared" si="4"/>
        <v>0</v>
      </c>
      <c r="C19" s="714">
        <f>+Statistic!C27</f>
        <v>0</v>
      </c>
      <c r="D19" s="369"/>
      <c r="E19" s="692"/>
      <c r="F19" s="369"/>
      <c r="G19" s="692"/>
      <c r="H19" s="788"/>
      <c r="I19" s="789"/>
      <c r="J19" s="789"/>
      <c r="K19" s="790"/>
      <c r="L19" s="483" t="str">
        <f t="shared" si="3"/>
        <v/>
      </c>
    </row>
    <row r="20" spans="1:12" s="726" customFormat="1" x14ac:dyDescent="0.2">
      <c r="A20" s="729" t="s">
        <v>1260</v>
      </c>
      <c r="B20" s="730">
        <f>SUM(B21:B25)</f>
        <v>0</v>
      </c>
      <c r="C20" s="731">
        <f>+Statistic!C28</f>
        <v>0</v>
      </c>
      <c r="D20" s="730">
        <f>SUM(D21:D25)</f>
        <v>0</v>
      </c>
      <c r="E20" s="730">
        <f t="shared" ref="E20:G20" si="5">SUM(E21:E25)</f>
        <v>0</v>
      </c>
      <c r="F20" s="730">
        <f t="shared" si="5"/>
        <v>0</v>
      </c>
      <c r="G20" s="730">
        <f t="shared" si="5"/>
        <v>0</v>
      </c>
      <c r="H20" s="791"/>
      <c r="I20" s="792"/>
      <c r="J20" s="792"/>
      <c r="K20" s="793"/>
      <c r="L20" s="726" t="str">
        <f t="shared" si="3"/>
        <v/>
      </c>
    </row>
    <row r="21" spans="1:12" x14ac:dyDescent="0.2">
      <c r="A21" s="715" t="s">
        <v>959</v>
      </c>
      <c r="B21" s="706">
        <f>SUM(D21+F21)</f>
        <v>0</v>
      </c>
      <c r="C21" s="714">
        <f>+Statistic!C29</f>
        <v>0</v>
      </c>
      <c r="D21" s="369"/>
      <c r="E21" s="692"/>
      <c r="F21" s="369"/>
      <c r="G21" s="692"/>
      <c r="H21" s="788"/>
      <c r="I21" s="789"/>
      <c r="J21" s="789"/>
      <c r="K21" s="790"/>
      <c r="L21" s="483" t="str">
        <f t="shared" si="3"/>
        <v/>
      </c>
    </row>
    <row r="22" spans="1:12" x14ac:dyDescent="0.2">
      <c r="A22" s="715" t="s">
        <v>1217</v>
      </c>
      <c r="B22" s="706">
        <f t="shared" ref="B22:B24" si="6">SUM(D22+F22)</f>
        <v>0</v>
      </c>
      <c r="C22" s="714">
        <f>+Statistic!C30</f>
        <v>0</v>
      </c>
      <c r="D22" s="369"/>
      <c r="E22" s="692"/>
      <c r="F22" s="369"/>
      <c r="G22" s="692"/>
      <c r="H22" s="788"/>
      <c r="I22" s="789"/>
      <c r="J22" s="789"/>
      <c r="K22" s="790"/>
      <c r="L22" s="483" t="str">
        <f t="shared" si="3"/>
        <v/>
      </c>
    </row>
    <row r="23" spans="1:12" x14ac:dyDescent="0.2">
      <c r="A23" s="715" t="s">
        <v>1218</v>
      </c>
      <c r="B23" s="706">
        <f t="shared" si="6"/>
        <v>0</v>
      </c>
      <c r="C23" s="714">
        <f>+Statistic!C31</f>
        <v>0</v>
      </c>
      <c r="D23" s="369"/>
      <c r="E23" s="692"/>
      <c r="F23" s="369"/>
      <c r="G23" s="692"/>
      <c r="H23" s="788"/>
      <c r="I23" s="789"/>
      <c r="J23" s="789"/>
      <c r="K23" s="790"/>
      <c r="L23" s="483" t="str">
        <f t="shared" si="3"/>
        <v/>
      </c>
    </row>
    <row r="24" spans="1:12" x14ac:dyDescent="0.2">
      <c r="A24" s="715" t="s">
        <v>1219</v>
      </c>
      <c r="B24" s="706">
        <f t="shared" si="6"/>
        <v>0</v>
      </c>
      <c r="C24" s="714">
        <f>+Statistic!C32</f>
        <v>0</v>
      </c>
      <c r="D24" s="369"/>
      <c r="E24" s="692"/>
      <c r="F24" s="369"/>
      <c r="G24" s="692"/>
      <c r="H24" s="788"/>
      <c r="I24" s="789"/>
      <c r="J24" s="789"/>
      <c r="K24" s="790"/>
      <c r="L24" s="483" t="str">
        <f t="shared" si="3"/>
        <v/>
      </c>
    </row>
    <row r="25" spans="1:12" x14ac:dyDescent="0.2">
      <c r="A25" s="715" t="s">
        <v>1220</v>
      </c>
      <c r="B25" s="706">
        <f>SUM(D25+F25)</f>
        <v>0</v>
      </c>
      <c r="C25" s="714">
        <f>+Statistic!C33</f>
        <v>0</v>
      </c>
      <c r="D25" s="369"/>
      <c r="E25" s="692"/>
      <c r="F25" s="369"/>
      <c r="G25" s="692"/>
      <c r="H25" s="794"/>
      <c r="I25" s="795"/>
      <c r="J25" s="795"/>
      <c r="K25" s="796"/>
      <c r="L25" s="483" t="str">
        <f t="shared" si="3"/>
        <v/>
      </c>
    </row>
    <row r="26" spans="1:12" s="726" customFormat="1" x14ac:dyDescent="0.2">
      <c r="A26" s="703" t="s">
        <v>1251</v>
      </c>
      <c r="B26" s="778" t="s">
        <v>1237</v>
      </c>
      <c r="C26" s="731">
        <f>+Statistic!C10</f>
        <v>0</v>
      </c>
      <c r="D26" s="797" t="s">
        <v>1237</v>
      </c>
      <c r="E26" s="731">
        <f>+Statistic!C12</f>
        <v>0</v>
      </c>
      <c r="F26" s="797" t="s">
        <v>1237</v>
      </c>
      <c r="G26" s="731">
        <f>+Statistic!C11</f>
        <v>0</v>
      </c>
      <c r="H26" s="797" t="s">
        <v>1237</v>
      </c>
      <c r="I26" s="731">
        <f>+Statistic!C13</f>
        <v>0</v>
      </c>
      <c r="J26" s="797" t="s">
        <v>1237</v>
      </c>
      <c r="K26" s="732"/>
      <c r="L26" s="726" t="str">
        <f t="shared" ref="L26:L35" si="7">IF(C26=E26+G26+I26,"","Ангилсан дүн Нийт дүнгээс зөрүүтэй")</f>
        <v/>
      </c>
    </row>
    <row r="27" spans="1:12" x14ac:dyDescent="0.2">
      <c r="A27" s="698" t="s">
        <v>1252</v>
      </c>
      <c r="B27" s="779"/>
      <c r="C27" s="706">
        <f>SUM(E27+G27+I27)</f>
        <v>0</v>
      </c>
      <c r="D27" s="798"/>
      <c r="E27" s="692"/>
      <c r="F27" s="798"/>
      <c r="G27" s="692"/>
      <c r="H27" s="798"/>
      <c r="I27" s="692"/>
      <c r="J27" s="798"/>
      <c r="K27" s="692"/>
      <c r="L27" s="483" t="str">
        <f t="shared" si="7"/>
        <v/>
      </c>
    </row>
    <row r="28" spans="1:12" x14ac:dyDescent="0.2">
      <c r="A28" s="716" t="s">
        <v>1253</v>
      </c>
      <c r="B28" s="706">
        <f>BALANCESHEET!G11*1000</f>
        <v>0</v>
      </c>
      <c r="C28" s="714">
        <f>+Statistic!C14</f>
        <v>0</v>
      </c>
      <c r="D28" s="369"/>
      <c r="E28" s="692"/>
      <c r="F28" s="369"/>
      <c r="G28" s="692"/>
      <c r="H28" s="369"/>
      <c r="I28" s="692"/>
      <c r="J28" s="369"/>
      <c r="K28" s="692"/>
      <c r="L28" s="483" t="str">
        <f t="shared" si="7"/>
        <v/>
      </c>
    </row>
    <row r="29" spans="1:12" x14ac:dyDescent="0.2">
      <c r="A29" s="717" t="s">
        <v>1254</v>
      </c>
      <c r="B29" s="706">
        <f>+BALANCESHEET!G11*1000</f>
        <v>0</v>
      </c>
      <c r="C29" s="706">
        <f>SUM(E29+G29+I29)</f>
        <v>0</v>
      </c>
      <c r="D29" s="369"/>
      <c r="E29" s="692"/>
      <c r="F29" s="369"/>
      <c r="G29" s="692"/>
      <c r="H29" s="369"/>
      <c r="I29" s="692"/>
      <c r="J29" s="369"/>
      <c r="K29" s="692"/>
      <c r="L29" s="483" t="str">
        <f t="shared" si="7"/>
        <v/>
      </c>
    </row>
    <row r="30" spans="1:12" x14ac:dyDescent="0.2">
      <c r="A30" s="716" t="s">
        <v>1255</v>
      </c>
      <c r="B30" s="706">
        <f>+BALANCESHEET!G39*1000</f>
        <v>0</v>
      </c>
      <c r="C30" s="714">
        <f>+Statistic!C15</f>
        <v>0</v>
      </c>
      <c r="D30" s="369"/>
      <c r="E30" s="692"/>
      <c r="F30" s="369"/>
      <c r="G30" s="692"/>
      <c r="H30" s="369"/>
      <c r="I30" s="692"/>
      <c r="J30" s="369"/>
      <c r="K30" s="692"/>
      <c r="L30" s="483" t="str">
        <f t="shared" si="7"/>
        <v/>
      </c>
    </row>
    <row r="31" spans="1:12" x14ac:dyDescent="0.2">
      <c r="A31" s="716" t="s">
        <v>1256</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x14ac:dyDescent="0.2">
      <c r="A32" s="716" t="s">
        <v>1257</v>
      </c>
      <c r="B32" s="718" t="s">
        <v>1237</v>
      </c>
      <c r="C32" s="706">
        <f>SUM(E32+G32+I32)</f>
        <v>0</v>
      </c>
      <c r="D32" s="718" t="s">
        <v>1237</v>
      </c>
      <c r="E32" s="692"/>
      <c r="F32" s="718" t="s">
        <v>1237</v>
      </c>
      <c r="G32" s="692"/>
      <c r="H32" s="718" t="s">
        <v>1237</v>
      </c>
      <c r="I32" s="692"/>
      <c r="J32" s="718" t="s">
        <v>1237</v>
      </c>
      <c r="K32" s="692"/>
      <c r="L32" s="483" t="str">
        <f t="shared" si="7"/>
        <v/>
      </c>
    </row>
    <row r="33" spans="1:12" x14ac:dyDescent="0.2">
      <c r="A33" s="717" t="s">
        <v>1221</v>
      </c>
      <c r="B33" s="706">
        <f>SUM(D33+F33+H33)</f>
        <v>0</v>
      </c>
      <c r="C33" s="706">
        <f>SUM(E33+G33+I33)</f>
        <v>0</v>
      </c>
      <c r="D33" s="369"/>
      <c r="E33" s="692"/>
      <c r="F33" s="369"/>
      <c r="G33" s="692"/>
      <c r="H33" s="369"/>
      <c r="I33" s="692"/>
      <c r="J33" s="369"/>
      <c r="K33" s="692"/>
      <c r="L33" s="483" t="str">
        <f t="shared" si="7"/>
        <v/>
      </c>
    </row>
    <row r="34" spans="1:12" x14ac:dyDescent="0.2">
      <c r="A34" s="717" t="s">
        <v>1240</v>
      </c>
      <c r="B34" s="706">
        <f t="shared" ref="B34:B35" si="8">SUM(D34+F34+H34)</f>
        <v>0</v>
      </c>
      <c r="C34" s="706">
        <f t="shared" ref="C34" si="9">SUM(E34+G34+I34)</f>
        <v>0</v>
      </c>
      <c r="D34" s="369"/>
      <c r="E34" s="692"/>
      <c r="F34" s="369"/>
      <c r="G34" s="692"/>
      <c r="H34" s="369"/>
      <c r="I34" s="692"/>
      <c r="J34" s="369"/>
      <c r="K34" s="692"/>
    </row>
    <row r="35" spans="1:12" x14ac:dyDescent="0.2">
      <c r="A35" s="719" t="s">
        <v>1258</v>
      </c>
      <c r="B35" s="706">
        <f t="shared" si="8"/>
        <v>0</v>
      </c>
      <c r="C35" s="706">
        <f>SUM(E35+G35+I35)</f>
        <v>0</v>
      </c>
      <c r="D35" s="369"/>
      <c r="E35" s="692"/>
      <c r="F35" s="369"/>
      <c r="G35" s="692"/>
      <c r="H35" s="369"/>
      <c r="I35" s="692"/>
      <c r="J35" s="369"/>
      <c r="K35" s="692"/>
      <c r="L35" s="483" t="str">
        <f t="shared" si="7"/>
        <v/>
      </c>
    </row>
    <row r="36" spans="1:12" x14ac:dyDescent="0.2">
      <c r="A36" s="716" t="s">
        <v>1242</v>
      </c>
      <c r="B36" s="718" t="s">
        <v>1237</v>
      </c>
      <c r="C36" s="706">
        <f>SUM(E36+G36+I36)</f>
        <v>0</v>
      </c>
      <c r="D36" s="718" t="s">
        <v>1237</v>
      </c>
      <c r="E36" s="692"/>
      <c r="F36" s="718" t="s">
        <v>1237</v>
      </c>
      <c r="G36" s="692"/>
      <c r="H36" s="718" t="s">
        <v>1237</v>
      </c>
      <c r="I36" s="692"/>
      <c r="J36" s="718" t="s">
        <v>1237</v>
      </c>
      <c r="K36" s="119"/>
    </row>
    <row r="40" spans="1:12" x14ac:dyDescent="0.2">
      <c r="B40" s="767" t="s">
        <v>36</v>
      </c>
      <c r="C40" s="767"/>
      <c r="D40" s="513"/>
    </row>
    <row r="41" spans="1:12" x14ac:dyDescent="0.2">
      <c r="B41" s="517"/>
      <c r="C41" s="688"/>
      <c r="D41" s="513"/>
    </row>
    <row r="42" spans="1:12" x14ac:dyDescent="0.2">
      <c r="B42" s="689" t="s">
        <v>37</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algorithmName="SHA-512" hashValue="gCEW47eOMzN3IEhXMnsVIXu5RZymnuIBz2bfe6QUdmr0xU1w948WhSt66WIHlZh0rcP0S6Cyq4Lf5CXzd5hAJg==" saltValue="HYb3F1sMDTBfZitxIt510A=="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40625" defaultRowHeight="12.75" x14ac:dyDescent="0.2"/>
  <cols>
    <col min="1" max="1" width="37.28515625" style="483" customWidth="1"/>
    <col min="2" max="2" width="14.42578125" style="483" customWidth="1"/>
    <col min="3" max="3" width="18.7109375" style="483" customWidth="1"/>
    <col min="4" max="4" width="14.42578125" style="483" customWidth="1"/>
    <col min="5" max="5" width="18.7109375" style="483" customWidth="1"/>
    <col min="6" max="6" width="10.28515625" style="483" customWidth="1"/>
    <col min="7" max="7" width="14.42578125" style="483" customWidth="1"/>
    <col min="8" max="8" width="18.7109375" style="483" customWidth="1"/>
    <col min="9" max="9" width="21.28515625" style="483" customWidth="1"/>
    <col min="10" max="10" width="14.42578125" style="483" customWidth="1"/>
    <col min="11" max="12" width="18.7109375" style="483" customWidth="1"/>
    <col min="13" max="13" width="20.140625" style="483" customWidth="1"/>
    <col min="14" max="14" width="18.7109375" style="483" customWidth="1"/>
    <col min="15" max="16384" width="9.140625" style="483"/>
  </cols>
  <sheetData>
    <row r="1" spans="1:15" x14ac:dyDescent="0.2">
      <c r="A1" s="520"/>
      <c r="C1" s="681"/>
    </row>
    <row r="2" spans="1:15" x14ac:dyDescent="0.2">
      <c r="A2" s="765" t="s">
        <v>1235</v>
      </c>
      <c r="B2" s="765"/>
      <c r="C2" s="765"/>
      <c r="D2" s="765"/>
      <c r="E2" s="765"/>
      <c r="F2" s="765"/>
      <c r="G2" s="765"/>
      <c r="H2" s="765"/>
      <c r="I2" s="765"/>
      <c r="J2" s="765"/>
      <c r="K2" s="765"/>
      <c r="L2" s="765"/>
      <c r="M2" s="765"/>
      <c r="N2" s="765"/>
    </row>
    <row r="3" spans="1:15" x14ac:dyDescent="0.2">
      <c r="A3" s="764" t="str">
        <f>+Statistic!A3</f>
        <v>БАНК БУС САНХҮҮГИЙН БАЙГУУЛЛАГЫН НЭР</v>
      </c>
      <c r="B3" s="764"/>
      <c r="C3" s="764"/>
      <c r="D3" s="764"/>
      <c r="E3" s="764"/>
      <c r="F3" s="764"/>
      <c r="G3" s="764"/>
      <c r="H3" s="764"/>
      <c r="I3" s="764"/>
      <c r="J3" s="764"/>
      <c r="K3" s="764"/>
      <c r="L3" s="764"/>
      <c r="M3" s="764"/>
      <c r="N3" s="764"/>
    </row>
    <row r="4" spans="1:15" x14ac:dyDescent="0.2">
      <c r="A4" s="766" t="str">
        <f>+Statistic!A4</f>
        <v>БАНК БУС САНХҮҮГИЙН БАЙГУУЛЛАГА</v>
      </c>
      <c r="B4" s="766"/>
      <c r="C4" s="766"/>
      <c r="D4" s="766"/>
      <c r="E4" s="766"/>
      <c r="F4" s="766"/>
      <c r="G4" s="766"/>
      <c r="H4" s="766"/>
      <c r="I4" s="766"/>
      <c r="J4" s="766"/>
      <c r="K4" s="766"/>
      <c r="L4" s="766"/>
      <c r="M4" s="766"/>
      <c r="N4" s="766"/>
    </row>
    <row r="5" spans="1:15" x14ac:dyDescent="0.2">
      <c r="A5" s="739"/>
      <c r="B5" s="739"/>
      <c r="C5" s="739"/>
    </row>
    <row r="6" spans="1:15" x14ac:dyDescent="0.2">
      <c r="A6" s="739"/>
      <c r="B6" s="739"/>
      <c r="C6" s="739"/>
    </row>
    <row r="7" spans="1:15" x14ac:dyDescent="0.2">
      <c r="A7" s="774">
        <f>+Statistic!A7</f>
        <v>44651</v>
      </c>
      <c r="B7" s="774"/>
      <c r="C7" s="683"/>
      <c r="N7" s="733" t="s">
        <v>1280</v>
      </c>
    </row>
    <row r="8" spans="1:15" ht="12.75" customHeight="1" x14ac:dyDescent="0.2">
      <c r="A8" s="803" t="s">
        <v>1278</v>
      </c>
      <c r="B8" s="801" t="s">
        <v>1230</v>
      </c>
      <c r="C8" s="801"/>
      <c r="D8" s="801" t="s">
        <v>1232</v>
      </c>
      <c r="E8" s="801"/>
      <c r="F8" s="803" t="s">
        <v>1067</v>
      </c>
      <c r="G8" s="801" t="s">
        <v>1233</v>
      </c>
      <c r="H8" s="801"/>
      <c r="I8" s="803" t="s">
        <v>1098</v>
      </c>
      <c r="J8" s="801" t="s">
        <v>1234</v>
      </c>
      <c r="K8" s="801"/>
      <c r="L8" s="801"/>
      <c r="M8" s="801"/>
      <c r="N8" s="801"/>
    </row>
    <row r="9" spans="1:15" ht="12.75" customHeight="1" x14ac:dyDescent="0.2">
      <c r="A9" s="804"/>
      <c r="B9" s="801" t="s">
        <v>1212</v>
      </c>
      <c r="C9" s="801" t="s">
        <v>1231</v>
      </c>
      <c r="D9" s="801" t="s">
        <v>1212</v>
      </c>
      <c r="E9" s="801" t="s">
        <v>1231</v>
      </c>
      <c r="F9" s="804"/>
      <c r="G9" s="801" t="s">
        <v>1212</v>
      </c>
      <c r="H9" s="801" t="s">
        <v>1231</v>
      </c>
      <c r="I9" s="804"/>
      <c r="J9" s="801" t="s">
        <v>1212</v>
      </c>
      <c r="K9" s="801" t="s">
        <v>1231</v>
      </c>
      <c r="L9" s="801"/>
      <c r="M9" s="801"/>
      <c r="N9" s="801"/>
    </row>
    <row r="10" spans="1:15" ht="15" customHeight="1" x14ac:dyDescent="0.2">
      <c r="A10" s="805"/>
      <c r="B10" s="801"/>
      <c r="C10" s="801"/>
      <c r="D10" s="801"/>
      <c r="E10" s="801"/>
      <c r="F10" s="805"/>
      <c r="G10" s="801"/>
      <c r="H10" s="801"/>
      <c r="I10" s="805"/>
      <c r="J10" s="801"/>
      <c r="K10" s="740" t="s">
        <v>799</v>
      </c>
      <c r="L10" s="740" t="s">
        <v>470</v>
      </c>
      <c r="M10" s="740" t="s">
        <v>1164</v>
      </c>
      <c r="N10" s="740" t="s">
        <v>1066</v>
      </c>
    </row>
    <row r="11" spans="1:15" x14ac:dyDescent="0.2">
      <c r="A11" s="720" t="s">
        <v>1222</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x14ac:dyDescent="0.2">
      <c r="A12" s="720" t="s">
        <v>1223</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x14ac:dyDescent="0.2">
      <c r="A13" s="720" t="s">
        <v>1224</v>
      </c>
      <c r="B13" s="727"/>
      <c r="C13" s="369"/>
      <c r="D13" s="727"/>
      <c r="E13" s="369"/>
      <c r="F13" s="728"/>
      <c r="G13" s="727"/>
      <c r="H13" s="369"/>
      <c r="I13" s="369"/>
      <c r="J13" s="727"/>
      <c r="K13" s="708">
        <f t="shared" si="0"/>
        <v>0</v>
      </c>
      <c r="L13" s="369"/>
      <c r="M13" s="369"/>
      <c r="N13" s="369"/>
      <c r="O13" s="721" t="str">
        <f t="shared" si="1"/>
        <v/>
      </c>
    </row>
    <row r="14" spans="1:15" x14ac:dyDescent="0.2">
      <c r="A14" s="720" t="s">
        <v>1225</v>
      </c>
      <c r="B14" s="727"/>
      <c r="C14" s="369"/>
      <c r="D14" s="727"/>
      <c r="E14" s="369"/>
      <c r="F14" s="728"/>
      <c r="G14" s="727"/>
      <c r="H14" s="369"/>
      <c r="I14" s="369"/>
      <c r="J14" s="727"/>
      <c r="K14" s="708">
        <f t="shared" si="0"/>
        <v>0</v>
      </c>
      <c r="L14" s="369"/>
      <c r="M14" s="369"/>
      <c r="N14" s="369"/>
      <c r="O14" s="721" t="str">
        <f t="shared" si="1"/>
        <v/>
      </c>
    </row>
    <row r="15" spans="1:15" ht="25.5" x14ac:dyDescent="0.2">
      <c r="A15" s="720" t="s">
        <v>1226</v>
      </c>
      <c r="B15" s="727"/>
      <c r="C15" s="369"/>
      <c r="D15" s="727"/>
      <c r="E15" s="369"/>
      <c r="F15" s="728"/>
      <c r="G15" s="727"/>
      <c r="H15" s="369"/>
      <c r="I15" s="369"/>
      <c r="J15" s="727"/>
      <c r="K15" s="708">
        <f t="shared" si="0"/>
        <v>0</v>
      </c>
      <c r="L15" s="369"/>
      <c r="M15" s="369"/>
      <c r="N15" s="369"/>
      <c r="O15" s="721" t="str">
        <f t="shared" si="1"/>
        <v/>
      </c>
    </row>
    <row r="16" spans="1:15" x14ac:dyDescent="0.2">
      <c r="A16" s="720" t="s">
        <v>1227</v>
      </c>
      <c r="B16" s="727"/>
      <c r="C16" s="369"/>
      <c r="D16" s="727"/>
      <c r="E16" s="369"/>
      <c r="F16" s="728"/>
      <c r="G16" s="727"/>
      <c r="H16" s="369"/>
      <c r="I16" s="369"/>
      <c r="J16" s="727"/>
      <c r="K16" s="708">
        <f t="shared" si="0"/>
        <v>0</v>
      </c>
      <c r="L16" s="369"/>
      <c r="M16" s="369"/>
      <c r="N16" s="369"/>
      <c r="O16" s="721" t="str">
        <f t="shared" si="1"/>
        <v/>
      </c>
    </row>
    <row r="17" spans="1:15" ht="25.5" x14ac:dyDescent="0.2">
      <c r="A17" s="720" t="s">
        <v>1228</v>
      </c>
      <c r="B17" s="727"/>
      <c r="C17" s="369"/>
      <c r="D17" s="727"/>
      <c r="E17" s="369"/>
      <c r="F17" s="728"/>
      <c r="G17" s="727"/>
      <c r="H17" s="369"/>
      <c r="I17" s="369"/>
      <c r="J17" s="727"/>
      <c r="K17" s="708">
        <f t="shared" si="0"/>
        <v>0</v>
      </c>
      <c r="L17" s="369"/>
      <c r="M17" s="369"/>
      <c r="N17" s="369"/>
      <c r="O17" s="721" t="str">
        <f t="shared" si="1"/>
        <v/>
      </c>
    </row>
    <row r="18" spans="1:15" x14ac:dyDescent="0.2">
      <c r="A18" s="720" t="s">
        <v>1284</v>
      </c>
      <c r="B18" s="727"/>
      <c r="C18" s="369"/>
      <c r="D18" s="727"/>
      <c r="E18" s="369"/>
      <c r="F18" s="728"/>
      <c r="G18" s="727"/>
      <c r="H18" s="369"/>
      <c r="I18" s="369"/>
      <c r="J18" s="727"/>
      <c r="K18" s="708">
        <f t="shared" si="0"/>
        <v>0</v>
      </c>
      <c r="L18" s="369"/>
      <c r="M18" s="369"/>
      <c r="N18" s="369"/>
      <c r="O18" s="721" t="str">
        <f t="shared" si="1"/>
        <v/>
      </c>
    </row>
    <row r="19" spans="1:15" ht="25.5" x14ac:dyDescent="0.2">
      <c r="A19" s="741" t="s">
        <v>1285</v>
      </c>
      <c r="B19" s="742"/>
      <c r="C19" s="743"/>
      <c r="D19" s="742"/>
      <c r="E19" s="743"/>
      <c r="F19" s="744"/>
      <c r="G19" s="742"/>
      <c r="H19" s="743"/>
      <c r="I19" s="743"/>
      <c r="J19" s="742"/>
      <c r="K19" s="706">
        <f t="shared" si="0"/>
        <v>0</v>
      </c>
      <c r="L19" s="743"/>
      <c r="M19" s="743"/>
      <c r="N19" s="743"/>
      <c r="O19" s="721"/>
    </row>
    <row r="20" spans="1:15" ht="25.5" x14ac:dyDescent="0.2">
      <c r="A20" s="741" t="s">
        <v>1286</v>
      </c>
      <c r="B20" s="742"/>
      <c r="C20" s="743"/>
      <c r="D20" s="742"/>
      <c r="E20" s="743"/>
      <c r="F20" s="744"/>
      <c r="G20" s="742"/>
      <c r="H20" s="743"/>
      <c r="I20" s="743"/>
      <c r="J20" s="742"/>
      <c r="K20" s="706">
        <f t="shared" si="0"/>
        <v>0</v>
      </c>
      <c r="L20" s="743"/>
      <c r="M20" s="743"/>
      <c r="N20" s="743"/>
      <c r="O20" s="721"/>
    </row>
    <row r="21" spans="1:15" ht="25.5" x14ac:dyDescent="0.2">
      <c r="A21" s="741" t="s">
        <v>1287</v>
      </c>
      <c r="B21" s="742"/>
      <c r="C21" s="743"/>
      <c r="D21" s="742"/>
      <c r="E21" s="743"/>
      <c r="F21" s="744"/>
      <c r="G21" s="742"/>
      <c r="H21" s="743"/>
      <c r="I21" s="743"/>
      <c r="J21" s="742"/>
      <c r="K21" s="706">
        <f t="shared" si="0"/>
        <v>0</v>
      </c>
      <c r="L21" s="743"/>
      <c r="M21" s="743"/>
      <c r="N21" s="743"/>
      <c r="O21" s="721"/>
    </row>
    <row r="22" spans="1:15" s="726" customFormat="1" x14ac:dyDescent="0.2">
      <c r="A22" s="722" t="s">
        <v>1229</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5" x14ac:dyDescent="0.25">
      <c r="A24" s="802" t="s">
        <v>1281</v>
      </c>
      <c r="B24" s="802"/>
      <c r="C24" s="802"/>
      <c r="D24" s="802"/>
      <c r="E24" s="802"/>
      <c r="F24" s="802"/>
      <c r="G24" s="802"/>
      <c r="H24" s="802"/>
      <c r="I24" s="802"/>
      <c r="J24" s="802"/>
      <c r="K24" s="802"/>
      <c r="L24" s="802"/>
      <c r="M24" s="802"/>
      <c r="N24" s="802"/>
    </row>
    <row r="27" spans="1:15" x14ac:dyDescent="0.2">
      <c r="B27" s="767" t="s">
        <v>36</v>
      </c>
      <c r="C27" s="767"/>
      <c r="D27" s="513"/>
    </row>
    <row r="28" spans="1:15" x14ac:dyDescent="0.2">
      <c r="B28" s="517"/>
      <c r="C28" s="688"/>
      <c r="D28" s="513"/>
    </row>
    <row r="29" spans="1:15" x14ac:dyDescent="0.2">
      <c r="B29" s="689" t="s">
        <v>37</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8"/>
      <c r="D32" s="738"/>
    </row>
    <row r="33" spans="2:4" x14ac:dyDescent="0.2">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 ref="B27:C27"/>
    <mergeCell ref="B9:B10"/>
    <mergeCell ref="C9:C10"/>
    <mergeCell ref="D9:D10"/>
    <mergeCell ref="E9:E10"/>
    <mergeCell ref="A24:N24"/>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5" x14ac:dyDescent="0.25"/>
  <sheetData>
    <row r="31" spans="2:2" x14ac:dyDescent="0.25">
      <c r="B31" s="679" t="s">
        <v>1263</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opLeftCell="A316" workbookViewId="0">
      <selection activeCell="H341" sqref="H341"/>
    </sheetView>
  </sheetViews>
  <sheetFormatPr defaultColWidth="9.140625"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07" t="s">
        <v>44</v>
      </c>
      <c r="B2" s="807"/>
      <c r="C2" s="807"/>
      <c r="D2" s="807"/>
      <c r="E2" s="807"/>
      <c r="F2" s="807"/>
      <c r="G2" s="807"/>
      <c r="H2" s="807"/>
    </row>
    <row r="3" spans="1:9" x14ac:dyDescent="0.25">
      <c r="A3" s="808" t="str">
        <f>+Statistic!A3</f>
        <v>БАНК БУС САНХҮҮГИЙН БАЙГУУЛЛАГЫН НЭР</v>
      </c>
      <c r="B3" s="808"/>
      <c r="C3" s="808"/>
      <c r="D3" s="808"/>
      <c r="E3" s="808"/>
      <c r="F3" s="808"/>
      <c r="G3" s="808"/>
      <c r="H3" s="808"/>
    </row>
    <row r="4" spans="1:9" ht="13.5" customHeight="1" x14ac:dyDescent="0.25">
      <c r="A4" s="809" t="s">
        <v>1</v>
      </c>
      <c r="B4" s="809"/>
      <c r="C4" s="809"/>
      <c r="D4" s="809"/>
      <c r="E4" s="809"/>
      <c r="F4" s="809"/>
      <c r="G4" s="809"/>
      <c r="H4" s="809"/>
    </row>
    <row r="5" spans="1:9" ht="13.5" customHeight="1" x14ac:dyDescent="0.25">
      <c r="A5" s="54"/>
      <c r="B5" s="54"/>
      <c r="C5" s="54"/>
      <c r="D5" s="54"/>
      <c r="E5" s="54"/>
      <c r="F5" s="54"/>
      <c r="G5" s="54"/>
      <c r="H5" s="54"/>
    </row>
    <row r="6" spans="1:9" x14ac:dyDescent="0.25">
      <c r="A6" s="810">
        <f>+Statistic!A7</f>
        <v>44651</v>
      </c>
      <c r="B6" s="810"/>
      <c r="H6" s="361" t="s">
        <v>45</v>
      </c>
    </row>
    <row r="7" spans="1:9" ht="15.75" customHeight="1" x14ac:dyDescent="0.25">
      <c r="A7" s="747" t="s">
        <v>46</v>
      </c>
      <c r="B7" s="747"/>
      <c r="C7" s="811" t="s">
        <v>47</v>
      </c>
      <c r="D7" s="812"/>
      <c r="E7" s="747" t="s">
        <v>48</v>
      </c>
      <c r="F7" s="747"/>
      <c r="G7" s="811" t="s">
        <v>47</v>
      </c>
      <c r="H7" s="812"/>
    </row>
    <row r="8" spans="1:9" x14ac:dyDescent="0.25">
      <c r="A8" s="747"/>
      <c r="B8" s="747"/>
      <c r="C8" s="811"/>
      <c r="D8" s="812"/>
      <c r="E8" s="747"/>
      <c r="F8" s="747"/>
      <c r="G8" s="811"/>
      <c r="H8" s="812"/>
    </row>
    <row r="9" spans="1:9" ht="15.75" customHeight="1" x14ac:dyDescent="0.25">
      <c r="A9" s="813" t="s">
        <v>49</v>
      </c>
      <c r="B9" s="813"/>
      <c r="C9" s="813"/>
      <c r="D9" s="451">
        <f>SUM(D10,D34,D52,D136,D155,D174,D186,D230)</f>
        <v>0</v>
      </c>
      <c r="E9" s="813" t="s">
        <v>50</v>
      </c>
      <c r="F9" s="813"/>
      <c r="G9" s="813"/>
      <c r="H9" s="451">
        <f>SUM(H10,H14,H59,H75,H78,H105)</f>
        <v>0</v>
      </c>
    </row>
    <row r="10" spans="1:9" ht="15.75" customHeight="1" x14ac:dyDescent="0.25">
      <c r="A10" s="806" t="s">
        <v>51</v>
      </c>
      <c r="B10" s="806"/>
      <c r="C10" s="452"/>
      <c r="D10" s="451">
        <f>SUM(D11,D18,D23,D28,D31)</f>
        <v>0</v>
      </c>
      <c r="E10" s="806" t="s">
        <v>52</v>
      </c>
      <c r="F10" s="806"/>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14" t="s">
        <v>60</v>
      </c>
      <c r="F14" s="814"/>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6" t="s">
        <v>93</v>
      </c>
      <c r="B34" s="806"/>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6" t="s">
        <v>113</v>
      </c>
      <c r="B52" s="806"/>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6" t="s">
        <v>127</v>
      </c>
      <c r="F59" s="806"/>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6" t="s">
        <v>145</v>
      </c>
      <c r="F75" s="806"/>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6" t="s">
        <v>148</v>
      </c>
      <c r="F78" s="806"/>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6" t="s">
        <v>168</v>
      </c>
      <c r="F105" s="806"/>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13" t="s">
        <v>194</v>
      </c>
      <c r="F132" s="813"/>
      <c r="G132" s="813"/>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14" t="s">
        <v>199</v>
      </c>
      <c r="B136" s="814"/>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13" t="s">
        <v>222</v>
      </c>
      <c r="F151" s="813"/>
      <c r="G151" s="813"/>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14" t="s">
        <v>227</v>
      </c>
      <c r="B155" s="814"/>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14" t="s">
        <v>239</v>
      </c>
      <c r="B174" s="814"/>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14" t="s">
        <v>257</v>
      </c>
      <c r="B186" s="814"/>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14" t="s">
        <v>316</v>
      </c>
      <c r="B230" s="814"/>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13" t="s">
        <v>319</v>
      </c>
      <c r="B241" s="813"/>
      <c r="C241" s="813"/>
      <c r="D241" s="451">
        <f>D242</f>
        <v>0</v>
      </c>
      <c r="F241" s="55"/>
      <c r="G241" s="56"/>
      <c r="H241" s="477"/>
    </row>
    <row r="242" spans="1:8" x14ac:dyDescent="0.25">
      <c r="A242" s="806" t="s">
        <v>320</v>
      </c>
      <c r="B242" s="806"/>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13" t="s">
        <v>331</v>
      </c>
      <c r="B253" s="813"/>
      <c r="C253" s="813"/>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13" t="s">
        <v>400</v>
      </c>
      <c r="B326" s="813"/>
      <c r="C326" s="813"/>
      <c r="D326" s="451">
        <f>SUM(D9,D241,D253)</f>
        <v>0</v>
      </c>
      <c r="E326" s="813" t="s">
        <v>400</v>
      </c>
      <c r="F326" s="813"/>
      <c r="G326" s="813"/>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14" t="s">
        <v>401</v>
      </c>
      <c r="C329" s="816" t="s">
        <v>402</v>
      </c>
      <c r="D329" s="817"/>
      <c r="F329" s="818" t="s">
        <v>403</v>
      </c>
      <c r="G329" s="818"/>
      <c r="H329" s="136">
        <f>+H330-H331</f>
        <v>0</v>
      </c>
    </row>
    <row r="330" spans="1:8" ht="15.75" customHeight="1" x14ac:dyDescent="0.25">
      <c r="B330" s="814"/>
      <c r="C330" s="816"/>
      <c r="D330" s="817"/>
      <c r="F330" s="819" t="s">
        <v>404</v>
      </c>
      <c r="G330" s="819"/>
      <c r="H330" s="136">
        <f>+H151</f>
        <v>0</v>
      </c>
    </row>
    <row r="331" spans="1:8" ht="15.75" customHeight="1" x14ac:dyDescent="0.25">
      <c r="B331" s="470" t="s">
        <v>405</v>
      </c>
      <c r="C331" s="452"/>
      <c r="D331" s="478">
        <f>SUM(D332:D333)</f>
        <v>0</v>
      </c>
      <c r="F331" s="819" t="s">
        <v>406</v>
      </c>
      <c r="G331" s="819"/>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2944.6</v>
      </c>
    </row>
    <row r="336" spans="1:8" x14ac:dyDescent="0.2">
      <c r="B336" s="457" t="s">
        <v>414</v>
      </c>
      <c r="C336" s="441">
        <v>9912</v>
      </c>
      <c r="D336" s="479"/>
      <c r="F336" s="59"/>
      <c r="G336" s="482" t="s">
        <v>415</v>
      </c>
      <c r="H336" s="649">
        <v>3276.75</v>
      </c>
    </row>
    <row r="337" spans="2:8" x14ac:dyDescent="0.2">
      <c r="B337" s="457" t="s">
        <v>416</v>
      </c>
      <c r="C337" s="441">
        <v>9913</v>
      </c>
      <c r="D337" s="479"/>
      <c r="F337" s="59"/>
      <c r="G337" s="482" t="s">
        <v>417</v>
      </c>
      <c r="H337" s="649">
        <v>24.16</v>
      </c>
    </row>
    <row r="338" spans="2:8" x14ac:dyDescent="0.2">
      <c r="B338" s="457" t="s">
        <v>418</v>
      </c>
      <c r="C338" s="441">
        <v>9914</v>
      </c>
      <c r="D338" s="479"/>
      <c r="F338" s="59"/>
      <c r="G338" s="482" t="s">
        <v>419</v>
      </c>
      <c r="H338" s="650">
        <v>3172.38</v>
      </c>
    </row>
    <row r="339" spans="2:8" x14ac:dyDescent="0.2">
      <c r="B339" s="457" t="s">
        <v>420</v>
      </c>
      <c r="C339" s="441">
        <v>9915</v>
      </c>
      <c r="D339" s="479"/>
      <c r="F339" s="59"/>
      <c r="G339" s="482" t="s">
        <v>421</v>
      </c>
      <c r="H339" s="649">
        <v>3865.23</v>
      </c>
    </row>
    <row r="340" spans="2:8" x14ac:dyDescent="0.2">
      <c r="B340" s="457" t="s">
        <v>422</v>
      </c>
      <c r="C340" s="441">
        <v>9916</v>
      </c>
      <c r="D340" s="479"/>
      <c r="F340" s="59"/>
      <c r="G340" s="482" t="s">
        <v>423</v>
      </c>
      <c r="H340" s="649">
        <v>463.37</v>
      </c>
    </row>
    <row r="341" spans="2:8" x14ac:dyDescent="0.2">
      <c r="B341" s="457" t="s">
        <v>424</v>
      </c>
      <c r="C341" s="441">
        <v>9917</v>
      </c>
      <c r="D341" s="479"/>
      <c r="F341" s="59"/>
      <c r="G341" s="482" t="s">
        <v>425</v>
      </c>
      <c r="H341" s="649">
        <v>34.74</v>
      </c>
    </row>
    <row r="342" spans="2:8" x14ac:dyDescent="0.2">
      <c r="B342" s="457" t="s">
        <v>128</v>
      </c>
      <c r="C342" s="441">
        <v>9918</v>
      </c>
      <c r="D342" s="479"/>
      <c r="F342" s="59"/>
      <c r="G342" s="482" t="s">
        <v>426</v>
      </c>
      <c r="H342" s="649">
        <v>2.4300000000000002</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20" t="s">
        <v>36</v>
      </c>
      <c r="C357" s="821"/>
    </row>
    <row r="359" spans="2:6" ht="15" customHeight="1" x14ac:dyDescent="0.25">
      <c r="B359" s="822" t="s">
        <v>437</v>
      </c>
      <c r="C359" s="822"/>
      <c r="D359" s="822"/>
    </row>
    <row r="361" spans="2:6" x14ac:dyDescent="0.25">
      <c r="D361" s="815" t="str">
        <f>+Statistic!B60</f>
        <v>ГҮЙЦЭТГЭХ ЗАХИРАЛ.................................................................//</v>
      </c>
      <c r="E361" s="815"/>
      <c r="F361" s="815"/>
    </row>
    <row r="362" spans="2:6" x14ac:dyDescent="0.25">
      <c r="D362" s="436"/>
      <c r="E362" s="436"/>
      <c r="F362" s="436"/>
    </row>
    <row r="363" spans="2:6" x14ac:dyDescent="0.25">
      <c r="D363" s="815" t="str">
        <f>+Statistic!B62</f>
        <v>ЕРӨНХИЙ НЯГТЛАН БОДОГЧ....................................................//</v>
      </c>
      <c r="E363" s="815"/>
      <c r="F363" s="815"/>
    </row>
    <row r="364" spans="2:6" x14ac:dyDescent="0.25">
      <c r="D364" s="436"/>
      <c r="E364" s="436"/>
      <c r="F364" s="436"/>
    </row>
    <row r="365" spans="2:6" x14ac:dyDescent="0.25">
      <c r="D365" s="815">
        <f>+Statistic!B64</f>
        <v>0</v>
      </c>
      <c r="E365" s="815"/>
      <c r="F365" s="815"/>
    </row>
  </sheetData>
  <sheetProtection algorithmName="SHA-512" hashValue="A391RES9r41J0uf7O7mUCX0KwqxqSng06FJig0V30NdarNekuFOMhDWsnoZq18rK711roCu5qXbaHkwVsfFK1A==" saltValue="f2JkNjf/7UJvheJvJY2UJA==" spinCount="100000" sheet="1" objects="1" scenarios="1"/>
  <mergeCells count="44">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2022-04-05T08:00:14Z</dcterms:modified>
</cp:coreProperties>
</file>