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C:\Users\tungalag.FRC\Downloads\Telegram Desktop\"/>
    </mc:Choice>
  </mc:AlternateContent>
  <xr:revisionPtr revIDLastSave="0" documentId="13_ncr:1_{5B5D480F-1CD5-49C1-997B-4BB18783BD8D}" xr6:coauthVersionLast="47" xr6:coauthVersionMax="47" xr10:uidLastSave="{00000000-0000-0000-0000-000000000000}"/>
  <workbookProtection workbookAlgorithmName="SHA-512" workbookHashValue="ZxoJpP9V6IWzhQlkOIYCEmjk/Cea9BkagXZ18Mv8s/kKJItQvHRSE475SwI5VQtxpspV2SSOmR12POh3yzB3kg==" workbookSaltValue="iLntZu84Bo6OIOCvdiTKlg==" workbookSpinCount="100000" lockStructure="1"/>
  <bookViews>
    <workbookView xWindow="-12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externalReferences>
    <externalReference r:id="rId28"/>
  </externalReference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26" l="1"/>
  <c r="B25" i="26"/>
  <c r="B23" i="26"/>
  <c r="A4" i="26"/>
  <c r="A3" i="26"/>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I32" i="22"/>
  <c r="I29" i="22" s="1"/>
  <c r="I30" i="22" s="1"/>
  <c r="H32" i="22"/>
  <c r="G32" i="22"/>
  <c r="F32" i="22"/>
  <c r="E32" i="22"/>
  <c r="D32" i="22"/>
  <c r="C32" i="22"/>
  <c r="M32" i="22" s="1"/>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20"/>
  <c r="A6" i="6"/>
  <c r="A5" i="15"/>
  <c r="A6" i="22"/>
  <c r="A6" i="18"/>
  <c r="A5" i="8"/>
  <c r="A5" i="21"/>
  <c r="A5" i="12"/>
  <c r="A6" i="23"/>
  <c r="A5" i="24"/>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C26" i="23"/>
  <c r="H26" i="23"/>
  <c r="D26" i="23"/>
  <c r="E26" i="23"/>
  <c r="F26" i="23"/>
  <c r="G26" i="23"/>
  <c r="J26" i="23"/>
  <c r="E14" i="6"/>
  <c r="E27" i="6"/>
  <c r="E28" i="6"/>
  <c r="E13" i="20"/>
  <c r="M27" i="22"/>
  <c r="E29" i="8"/>
  <c r="G29" i="8"/>
  <c r="D186" i="2"/>
  <c r="D9" i="2"/>
  <c r="D326" i="2"/>
  <c r="E16" i="8"/>
  <c r="G43" i="3"/>
  <c r="C18" i="8"/>
  <c r="C15" i="8"/>
  <c r="E19" i="8"/>
  <c r="E18" i="8"/>
  <c r="N71" i="13"/>
  <c r="N75" i="13"/>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F328" i="2"/>
  <c r="H328" i="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C48" i="3"/>
  <c r="D8" i="5"/>
  <c r="D18" i="5"/>
  <c r="L13" i="23"/>
  <c r="C65" i="3"/>
  <c r="L20" i="23"/>
  <c r="G82" i="3"/>
  <c r="E45" i="4"/>
  <c r="E138" i="4"/>
  <c r="F8" i="4"/>
  <c r="E107" i="4"/>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C29" i="22"/>
  <c r="C30" i="22" s="1"/>
  <c r="F29" i="22"/>
  <c r="F30" i="22" s="1"/>
  <c r="J29" i="22"/>
  <c r="J30" i="22" s="1"/>
  <c r="D29" i="22"/>
  <c r="D30" i="22" s="1"/>
  <c r="E29" i="22"/>
  <c r="E30" i="22" s="1"/>
  <c r="H29" i="22"/>
  <c r="H30" i="22" s="1"/>
  <c r="K29" i="22"/>
  <c r="K30" i="22"/>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D26"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D11" i="20"/>
  <c r="E56" i="5"/>
  <c r="E11" i="20"/>
  <c r="M25" i="22" l="1"/>
  <c r="G29" i="22"/>
  <c r="G30" i="22" s="1"/>
  <c r="M24" i="22"/>
  <c r="M23" i="22" s="1"/>
  <c r="M28" i="22" s="1"/>
  <c r="L28" i="22" s="1"/>
  <c r="L20" i="22"/>
  <c r="L12" i="22"/>
  <c r="L21" i="22"/>
  <c r="L14" i="22"/>
  <c r="L17" i="22"/>
  <c r="L22" i="22"/>
  <c r="L27" i="22"/>
  <c r="L10" i="22"/>
  <c r="L25" i="22"/>
  <c r="L13" i="22"/>
  <c r="L15" i="22"/>
  <c r="L18" i="22"/>
  <c r="L11" i="22"/>
  <c r="L19" i="22"/>
  <c r="L24" i="22"/>
  <c r="L29" i="22"/>
  <c r="A5" i="14"/>
  <c r="A5" i="16"/>
  <c r="A6" i="3"/>
  <c r="A5" i="4"/>
  <c r="M26" i="22" l="1"/>
  <c r="M30" i="22" s="1"/>
  <c r="D26" i="20" s="1"/>
  <c r="E26" i="20" s="1"/>
  <c r="L23" i="22"/>
  <c r="L9" i="22"/>
  <c r="L16" i="22"/>
  <c r="E46" i="5" l="1"/>
  <c r="E24" i="5" s="1"/>
  <c r="E52" i="5" s="1"/>
  <c r="L26" i="22"/>
  <c r="L30" i="22" s="1"/>
  <c r="E49" i="5" l="1"/>
  <c r="D9" i="20" s="1"/>
  <c r="E53" i="5"/>
  <c r="E10" i="20" s="1"/>
  <c r="D10" i="20"/>
  <c r="E50" i="5" l="1"/>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<sst xmlns="http://schemas.openxmlformats.org/spreadsheetml/2006/main" count="2016" uniqueCount="1290">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</sst>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6">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0" fontId="3" fillId="0" borderId="0" xfId="0" applyFont="1" applyAlignment="1" applyProtection="1">
      <alignment horizont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vertical="center"/>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46" fillId="0" borderId="0" xfId="0" applyFont="1" applyProtection="1"/>
    <xf numFmtId="0" fontId="24" fillId="15" borderId="1" xfId="0" applyFont="1" applyFill="1" applyBorder="1" applyAlignment="1" applyProtection="1">
      <alignment horizontal="center" vertical="center"/>
    </xf>
    <xf numFmtId="0" fontId="24" fillId="0" borderId="0" xfId="0" applyFont="1" applyProtection="1"/>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24" fillId="15" borderId="1" xfId="0" applyFont="1" applyFill="1" applyBorder="1" applyAlignment="1" applyProtection="1">
      <alignment horizontal="center" vertical="center" wrapText="1"/>
    </xf>
    <xf numFmtId="0" fontId="45" fillId="14" borderId="1" xfId="0" applyFont="1" applyFill="1" applyBorder="1" applyAlignment="1" applyProtection="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horizontal="center"/>
    </xf>
    <xf numFmtId="43" fontId="25" fillId="0" borderId="0" xfId="1" applyFont="1" applyAlignment="1" applyProtection="1">
      <alignment horizontal="center" vertical="center"/>
    </xf>
    <xf numFmtId="0" fontId="24" fillId="0" borderId="0" xfId="0" applyFont="1" applyAlignment="1">
      <alignment horizontal="center" vertical="center"/>
    </xf>
    <xf numFmtId="0" fontId="25" fillId="0" borderId="1" xfId="0" applyFont="1" applyBorder="1" applyAlignment="1">
      <alignment vertical="center"/>
    </xf>
    <xf numFmtId="0" fontId="24" fillId="0" borderId="0" xfId="0" applyFont="1" applyAlignment="1">
      <alignment horizontal="left" vertical="center"/>
    </xf>
    <xf numFmtId="0" fontId="3" fillId="0" borderId="0" xfId="0" applyFont="1" applyAlignment="1">
      <alignment vertical="center"/>
    </xf>
    <xf numFmtId="14" fontId="3" fillId="8" borderId="1" xfId="0" applyNumberFormat="1" applyFont="1" applyFill="1" applyBorder="1" applyAlignment="1">
      <alignment vertical="center"/>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0" fontId="24" fillId="0" borderId="0" xfId="0" applyFont="1" applyAlignment="1" applyProtection="1">
      <alignment horizontal="center"/>
    </xf>
    <xf numFmtId="0" fontId="28" fillId="0" borderId="0" xfId="0" applyFont="1" applyAlignment="1" applyProtection="1">
      <alignment horizontal="center"/>
    </xf>
    <xf numFmtId="0" fontId="3" fillId="0" borderId="0" xfId="0" applyFont="1" applyAlignment="1" applyProtection="1">
      <alignment horizontal="center"/>
    </xf>
    <xf numFmtId="14" fontId="3" fillId="0" borderId="25" xfId="0" applyNumberFormat="1" applyFont="1" applyBorder="1" applyAlignment="1" applyProtection="1">
      <alignment horizontal="left"/>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6"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5" fillId="14" borderId="27"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28"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28"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29" xfId="0" applyFont="1" applyFill="1" applyBorder="1" applyAlignment="1" applyProtection="1">
      <alignment horizontal="left" vertical="center"/>
    </xf>
    <xf numFmtId="0" fontId="25" fillId="14" borderId="25"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47" fillId="8" borderId="23" xfId="0" applyFont="1" applyFill="1" applyBorder="1" applyAlignment="1" applyProtection="1">
      <alignment horizontal="center" vertical="center" wrapText="1"/>
    </xf>
    <xf numFmtId="0" fontId="47" fillId="8" borderId="20" xfId="0" applyFont="1" applyFill="1" applyBorder="1" applyAlignment="1" applyProtection="1">
      <alignment horizontal="center" vertical="center" wrapText="1"/>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48"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51"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4" fillId="3" borderId="1" xfId="0" applyFont="1" applyFill="1" applyBorder="1" applyProtection="1"/>
    <xf numFmtId="0" fontId="3" fillId="6" borderId="1" xfId="0" applyFont="1" applyFill="1" applyBorder="1" applyAlignment="1" applyProtection="1">
      <alignment horizontal="left"/>
    </xf>
    <xf numFmtId="0" fontId="3" fillId="6" borderId="1" xfId="0" applyFont="1" applyFill="1" applyBorder="1" applyAlignment="1" applyProtection="1">
      <alignment horizontal="left" wrapText="1"/>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left"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2" fillId="0" borderId="27" xfId="0" applyFont="1" applyBorder="1" applyAlignment="1">
      <alignment vertical="top" wrapText="1"/>
    </xf>
    <xf numFmtId="0" fontId="2" fillId="0" borderId="21" xfId="0" applyFont="1" applyBorder="1" applyAlignment="1">
      <alignment vertical="top" wrapText="1"/>
    </xf>
    <xf numFmtId="0" fontId="4" fillId="0" borderId="28" xfId="0" applyFont="1" applyBorder="1" applyAlignment="1">
      <alignment vertical="top" wrapText="1"/>
    </xf>
    <xf numFmtId="0" fontId="4" fillId="0" borderId="6" xfId="0" applyFont="1" applyBorder="1" applyAlignment="1">
      <alignment vertical="top" wrapText="1"/>
    </xf>
    <xf numFmtId="0" fontId="2" fillId="0" borderId="28"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Fill="1" applyBorder="1" applyAlignment="1" applyProtection="1"/>
    <xf numFmtId="0" fontId="2" fillId="0" borderId="28" xfId="0" applyFont="1" applyBorder="1" applyAlignment="1">
      <alignment horizontal="left" vertical="top" wrapText="1"/>
    </xf>
    <xf numFmtId="0" fontId="2" fillId="0" borderId="0" xfId="0" applyFont="1" applyBorder="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Border="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8" fillId="0" borderId="0" xfId="0" applyFont="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6" fontId="24" fillId="0" borderId="0" xfId="9" applyNumberFormat="1" applyFont="1" applyBorder="1" applyAlignment="1">
      <alignment horizontal="right" vertical="center"/>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0" fontId="35" fillId="0" borderId="0" xfId="0" applyNumberFormat="1" applyFont="1" applyBorder="1" applyAlignment="1">
      <alignment horizontal="left"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Border="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36" fillId="0" borderId="0" xfId="0" applyFont="1" applyAlignment="1" applyProtection="1">
      <alignment horizontal="center" vertical="center"/>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0" fontId="42" fillId="9" borderId="23" xfId="0" applyFont="1" applyFill="1" applyBorder="1" applyAlignment="1" applyProtection="1">
      <alignment horizontal="left" wrapText="1"/>
    </xf>
    <xf numFmtId="0" fontId="42" fillId="9" borderId="26"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52"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left" vertical="center"/>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4" fillId="6"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xf numFmtId="14" fontId="24" fillId="0" borderId="0" xfId="0" applyNumberFormat="1" applyFont="1" applyAlignment="1">
      <alignment horizontal="lef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ungalag.FRC/AppData/Local/Microsoft/Windows/INetCache/Content.Outlook/UMSO0W8F/NBFIXXXXXXXq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йлан бэлдэх зааварчилгаа"/>
      <sheetName val="Statistic"/>
      <sheetName val="Application"/>
      <sheetName val="iRate"/>
      <sheetName val="Wallet"/>
      <sheetName val="Gender"/>
      <sheetName val="Greenloan"/>
      <sheetName val="Greenloan_info"/>
      <sheetName val="BALANCE"/>
      <sheetName val="BALANCESHEET"/>
      <sheetName val="INCOME"/>
      <sheetName val="Capital"/>
      <sheetName val="Liquidity"/>
      <sheetName val="Forex"/>
      <sheetName val="Provision"/>
      <sheetName val="ALM"/>
      <sheetName val="Top40"/>
      <sheetName val="Insider"/>
      <sheetName val="Source"/>
      <sheetName val="Provide"/>
      <sheetName val="Ipotec"/>
      <sheetName val="Securities"/>
      <sheetName val="Bond"/>
      <sheetName val="Trust"/>
      <sheetName val="Off-balance"/>
      <sheetName val="Money transfer"/>
      <sheetName val="Ratio"/>
    </sheetNames>
    <sheetDataSet>
      <sheetData sheetId="0" refreshError="1"/>
      <sheetData sheetId="1">
        <row r="3">
          <cell r="A3" t="str">
            <v>БАНК БУС САНХҮҮГИЙН БАЙГУУЛЛАГЫН НЭР</v>
          </cell>
        </row>
        <row r="60">
          <cell r="B60" t="str">
            <v>ГҮЙЦЭТГЭХ ЗАХИРАЛ.................................................................//</v>
          </cell>
        </row>
        <row r="62">
          <cell r="B62" t="str">
            <v>ЕРӨНХИЙ НЯГТЛАН БОДОГЧ....................................................//</v>
          </cell>
        </row>
      </sheetData>
      <sheetData sheetId="2" refreshError="1"/>
      <sheetData sheetId="3" refreshError="1"/>
      <sheetData sheetId="4" refreshError="1"/>
      <sheetData sheetId="5" refreshError="1"/>
      <sheetData sheetId="6" refreshError="1"/>
      <sheetData sheetId="7" refreshError="1"/>
      <sheetData sheetId="8">
        <row r="4">
          <cell r="A4" t="str">
            <v>БАНК БУС САНХҮҮГИЙН БАЙГУУЛЛАГА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643" t="s">
        <v>1160</v>
      </c>
    </row>
    <row r="2" spans="1:1" ht="41.25" thickBot="1" x14ac:dyDescent="0.25">
      <c r="A2" s="663" t="s">
        <v>1153</v>
      </c>
    </row>
    <row r="3" spans="1:1" x14ac:dyDescent="0.2">
      <c r="A3" s="643"/>
    </row>
    <row r="4" spans="1:1" x14ac:dyDescent="0.2">
      <c r="A4" s="664"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655" t="s">
        <v>1154</v>
      </c>
    </row>
    <row r="14" spans="1:1" x14ac:dyDescent="0.2">
      <c r="A14" s="676" t="s">
        <v>1179</v>
      </c>
    </row>
    <row r="15" spans="1:1" x14ac:dyDescent="0.2">
      <c r="A15" s="644" t="s">
        <v>1149</v>
      </c>
    </row>
    <row r="16" spans="1:1" x14ac:dyDescent="0.2">
      <c r="A16" s="643" t="s">
        <v>1126</v>
      </c>
    </row>
    <row r="17" spans="1:1" x14ac:dyDescent="0.2">
      <c r="A17" s="643" t="s">
        <v>1127</v>
      </c>
    </row>
    <row r="18" spans="1:1" x14ac:dyDescent="0.2">
      <c r="A18" s="643" t="s">
        <v>1128</v>
      </c>
    </row>
    <row r="19" spans="1:1" x14ac:dyDescent="0.2">
      <c r="A19" s="643" t="s">
        <v>1129</v>
      </c>
    </row>
    <row r="20" spans="1:1" x14ac:dyDescent="0.2">
      <c r="A20" s="643" t="s">
        <v>1143</v>
      </c>
    </row>
    <row r="21" spans="1:1" x14ac:dyDescent="0.2">
      <c r="A21" s="645" t="s">
        <v>1130</v>
      </c>
    </row>
    <row r="22" spans="1:1" x14ac:dyDescent="0.2">
      <c r="A22" s="646" t="s">
        <v>1131</v>
      </c>
    </row>
    <row r="23" spans="1:1" x14ac:dyDescent="0.2">
      <c r="A23" s="645" t="s">
        <v>1132</v>
      </c>
    </row>
    <row r="24" spans="1:1" x14ac:dyDescent="0.2">
      <c r="A24" s="646" t="s">
        <v>1133</v>
      </c>
    </row>
    <row r="25" spans="1:1" x14ac:dyDescent="0.2">
      <c r="A25" s="647" t="s">
        <v>1134</v>
      </c>
    </row>
    <row r="26" spans="1:1" ht="25.5" x14ac:dyDescent="0.2">
      <c r="A26" s="643" t="s">
        <v>1135</v>
      </c>
    </row>
    <row r="27" spans="1:1" ht="25.5" x14ac:dyDescent="0.2">
      <c r="A27" s="643" t="s">
        <v>1136</v>
      </c>
    </row>
    <row r="28" spans="1:1" x14ac:dyDescent="0.2">
      <c r="A28" s="643" t="s">
        <v>1137</v>
      </c>
    </row>
    <row r="29" spans="1:1" x14ac:dyDescent="0.2">
      <c r="A29" s="643" t="s">
        <v>1138</v>
      </c>
    </row>
    <row r="30" spans="1:1" x14ac:dyDescent="0.2">
      <c r="A30" s="643"/>
    </row>
    <row r="31" spans="1:1" x14ac:dyDescent="0.2">
      <c r="A31" s="647" t="s">
        <v>1139</v>
      </c>
    </row>
    <row r="32" spans="1:1" x14ac:dyDescent="0.2">
      <c r="A32" s="643" t="s">
        <v>1128</v>
      </c>
    </row>
    <row r="33" spans="1:1" x14ac:dyDescent="0.2">
      <c r="A33" s="643"/>
    </row>
    <row r="34" spans="1:1" x14ac:dyDescent="0.2">
      <c r="A34" s="647" t="s">
        <v>1140</v>
      </c>
    </row>
    <row r="35" spans="1:1" x14ac:dyDescent="0.2">
      <c r="A35" s="645" t="s">
        <v>1144</v>
      </c>
    </row>
    <row r="36" spans="1:1" x14ac:dyDescent="0.2">
      <c r="A36" s="646"/>
    </row>
    <row r="37" spans="1:1" x14ac:dyDescent="0.2">
      <c r="A37" s="647" t="s">
        <v>1141</v>
      </c>
    </row>
    <row r="38" spans="1:1" x14ac:dyDescent="0.2">
      <c r="A38" s="643" t="s">
        <v>1145</v>
      </c>
    </row>
    <row r="39" spans="1:1" x14ac:dyDescent="0.2">
      <c r="A39" s="646"/>
    </row>
    <row r="40" spans="1:1" x14ac:dyDescent="0.2">
      <c r="A40" s="645" t="s">
        <v>1142</v>
      </c>
    </row>
    <row r="41" spans="1:1" x14ac:dyDescent="0.2">
      <c r="A41" s="669" t="s">
        <v>1161</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44" t="s">
        <v>438</v>
      </c>
      <c r="B2" s="744"/>
      <c r="C2" s="744"/>
      <c r="D2" s="744"/>
      <c r="E2" s="744"/>
      <c r="F2" s="744"/>
      <c r="G2" s="744"/>
      <c r="H2" s="744"/>
    </row>
    <row r="3" spans="1:8" x14ac:dyDescent="0.2">
      <c r="A3" s="762" t="str">
        <f>+BALANCE!A3</f>
        <v>БАНК БУС САНХҮҮГИЙН БАЙГУУЛЛАГЫН НЭР</v>
      </c>
      <c r="B3" s="762"/>
      <c r="C3" s="762"/>
      <c r="D3" s="762"/>
      <c r="E3" s="762"/>
      <c r="F3" s="762"/>
      <c r="G3" s="762"/>
      <c r="H3" s="762"/>
    </row>
    <row r="4" spans="1:8" x14ac:dyDescent="0.2">
      <c r="A4" s="744" t="str">
        <f>+BALANCE!A4</f>
        <v>БАНК БУС САНХҮҮГИЙН БАЙГУУЛЛАГА</v>
      </c>
      <c r="B4" s="744"/>
      <c r="C4" s="744"/>
      <c r="D4" s="744"/>
      <c r="E4" s="744"/>
      <c r="F4" s="744"/>
      <c r="G4" s="744"/>
      <c r="H4" s="744"/>
    </row>
    <row r="5" spans="1:8" x14ac:dyDescent="0.2">
      <c r="A5" s="1"/>
      <c r="B5" s="1"/>
      <c r="C5" s="1"/>
      <c r="D5" s="1"/>
      <c r="E5" s="1"/>
      <c r="F5" s="1"/>
      <c r="G5" s="1"/>
      <c r="H5" s="1"/>
    </row>
    <row r="6" spans="1:8" ht="15.75" customHeight="1" x14ac:dyDescent="0.2">
      <c r="A6" s="829">
        <f>+BALANCE!A6</f>
        <v>44742</v>
      </c>
      <c r="B6" s="829"/>
      <c r="G6" s="830" t="s">
        <v>439</v>
      </c>
      <c r="H6" s="830"/>
    </row>
    <row r="7" spans="1:8" ht="17.25" customHeight="1" x14ac:dyDescent="0.2">
      <c r="A7" s="827" t="s">
        <v>440</v>
      </c>
      <c r="B7" s="827"/>
      <c r="C7" s="828">
        <f>+BALANCE!D7</f>
        <v>0</v>
      </c>
      <c r="D7" s="822" t="s">
        <v>441</v>
      </c>
      <c r="E7" s="827" t="s">
        <v>442</v>
      </c>
      <c r="F7" s="827"/>
      <c r="G7" s="828">
        <f>+BALANCE!H7</f>
        <v>0</v>
      </c>
      <c r="H7" s="822" t="s">
        <v>441</v>
      </c>
    </row>
    <row r="8" spans="1:8" x14ac:dyDescent="0.2">
      <c r="A8" s="827"/>
      <c r="B8" s="827"/>
      <c r="C8" s="828"/>
      <c r="D8" s="822"/>
      <c r="E8" s="827"/>
      <c r="F8" s="827"/>
      <c r="G8" s="828"/>
      <c r="H8" s="822"/>
    </row>
    <row r="9" spans="1:8" x14ac:dyDescent="0.2">
      <c r="A9" s="823" t="s">
        <v>443</v>
      </c>
      <c r="B9" s="823"/>
      <c r="C9" s="210">
        <f>+C10+C16+C31+C48+C65+C82+C86+C111</f>
        <v>0</v>
      </c>
      <c r="D9" s="211" t="e">
        <f>+C9/C116</f>
        <v>#DIV/0!</v>
      </c>
      <c r="E9" s="824" t="s">
        <v>444</v>
      </c>
      <c r="F9" s="824"/>
      <c r="G9" s="210">
        <f>+SUM(G10,G14,G33,G39,G42,G69)</f>
        <v>0</v>
      </c>
      <c r="H9" s="211" t="e">
        <f>+G9/G116</f>
        <v>#DIV/0!</v>
      </c>
    </row>
    <row r="10" spans="1:8" x14ac:dyDescent="0.2">
      <c r="A10" s="208">
        <v>1.1000000000000001</v>
      </c>
      <c r="B10" s="212" t="s">
        <v>51</v>
      </c>
      <c r="C10" s="210">
        <f>+SUM(C11:C15)</f>
        <v>0</v>
      </c>
      <c r="D10" s="211" t="e">
        <f>+C10/C116</f>
        <v>#DIV/0!</v>
      </c>
      <c r="E10" s="213">
        <v>1.1000000000000001</v>
      </c>
      <c r="F10" s="214" t="s">
        <v>52</v>
      </c>
      <c r="G10" s="210">
        <f>+G11</f>
        <v>0</v>
      </c>
      <c r="H10" s="211" t="e">
        <f>+G10/G116</f>
        <v>#DIV/0!</v>
      </c>
    </row>
    <row r="11" spans="1:8" x14ac:dyDescent="0.2">
      <c r="A11" s="208"/>
      <c r="B11" s="208" t="str">
        <f>+BALANCE!B11</f>
        <v>Бэлэн мөнгө</v>
      </c>
      <c r="C11" s="215">
        <f>+BALANCE!D11/1000</f>
        <v>0</v>
      </c>
      <c r="D11" s="216" t="e">
        <f>+C11/C116</f>
        <v>#DIV/0!</v>
      </c>
      <c r="E11" s="213"/>
      <c r="F11" s="217" t="s">
        <v>54</v>
      </c>
      <c r="G11" s="218">
        <f>+SUM(G12:G13)</f>
        <v>0</v>
      </c>
      <c r="H11" s="219" t="e">
        <f>+G11/G116</f>
        <v>#DIV/0!</v>
      </c>
    </row>
    <row r="12" spans="1:8" x14ac:dyDescent="0.2">
      <c r="A12" s="208"/>
      <c r="B12" s="208" t="s">
        <v>445</v>
      </c>
      <c r="C12" s="215">
        <f>+SUM(BALANCE!D19,BALANCE!D20,BALANCE!D29)/1000</f>
        <v>0</v>
      </c>
      <c r="D12" s="216" t="e">
        <f>+C12/C116</f>
        <v>#DIV/0!</v>
      </c>
      <c r="E12" s="213"/>
      <c r="F12" s="213" t="s">
        <v>446</v>
      </c>
      <c r="G12" s="215">
        <f>+BALANCE!H12/1000</f>
        <v>0</v>
      </c>
      <c r="H12" s="216" t="e">
        <f>+G12/G116</f>
        <v>#DIV/0!</v>
      </c>
    </row>
    <row r="13" spans="1:8" x14ac:dyDescent="0.2">
      <c r="A13" s="208"/>
      <c r="B13" s="208" t="s">
        <v>447</v>
      </c>
      <c r="C13" s="215">
        <f>+SUM(BALANCE!D24,BALANCE!D25,BALANCE!D32)/1000</f>
        <v>0</v>
      </c>
      <c r="D13" s="216" t="e">
        <f>+C13/C116</f>
        <v>#DIV/0!</v>
      </c>
      <c r="E13" s="213"/>
      <c r="F13" s="213" t="s">
        <v>448</v>
      </c>
      <c r="G13" s="215">
        <f>+BALANCE!H13/1000</f>
        <v>0</v>
      </c>
      <c r="H13" s="216" t="e">
        <f>+G13/G116</f>
        <v>#DIV/0!</v>
      </c>
    </row>
    <row r="14" spans="1:8" x14ac:dyDescent="0.2">
      <c r="A14" s="208"/>
      <c r="B14" s="208" t="s">
        <v>449</v>
      </c>
      <c r="C14" s="215">
        <f>+SUM(BALANCE!D21,BALANCE!D22,BALANCE!D30)/1000</f>
        <v>0</v>
      </c>
      <c r="D14" s="216" t="e">
        <f>+C14/C116</f>
        <v>#DIV/0!</v>
      </c>
      <c r="E14" s="213">
        <v>1.2</v>
      </c>
      <c r="F14" s="214" t="s">
        <v>450</v>
      </c>
      <c r="G14" s="210">
        <f>+SUM(G15,G24)</f>
        <v>0</v>
      </c>
      <c r="H14" s="211" t="e">
        <f>+G14/G116</f>
        <v>#DIV/0!</v>
      </c>
    </row>
    <row r="15" spans="1:8" x14ac:dyDescent="0.2">
      <c r="A15" s="208"/>
      <c r="B15" s="208" t="s">
        <v>451</v>
      </c>
      <c r="C15" s="215">
        <f>+SUM(BALANCE!D26,BALANCE!D27,BALANCE!D33)/1000</f>
        <v>0</v>
      </c>
      <c r="D15" s="216" t="e">
        <f>+C15/C116</f>
        <v>#DIV/0!</v>
      </c>
      <c r="E15" s="213"/>
      <c r="F15" s="217" t="s">
        <v>452</v>
      </c>
      <c r="G15" s="220">
        <f>+SUM(G16,G19,G20,G23)</f>
        <v>0</v>
      </c>
      <c r="H15" s="221" t="e">
        <f>+G15/G116</f>
        <v>#DIV/0!</v>
      </c>
    </row>
    <row r="16" spans="1:8" x14ac:dyDescent="0.2">
      <c r="A16" s="208">
        <v>1.2</v>
      </c>
      <c r="B16" s="212" t="s">
        <v>453</v>
      </c>
      <c r="C16" s="210">
        <f>+SUM(C17,C23,C29,-C30)</f>
        <v>0</v>
      </c>
      <c r="D16" s="211" t="e">
        <f>+C16/C116</f>
        <v>#DIV/0!</v>
      </c>
      <c r="E16" s="222"/>
      <c r="F16" s="213" t="s">
        <v>454</v>
      </c>
      <c r="G16" s="215">
        <f>+SUM(G17:G18)</f>
        <v>0</v>
      </c>
      <c r="H16" s="216" t="e">
        <f>+G16/G116</f>
        <v>#DIV/0!</v>
      </c>
    </row>
    <row r="17" spans="1:8" x14ac:dyDescent="0.2">
      <c r="A17" s="208"/>
      <c r="B17" s="223" t="s">
        <v>95</v>
      </c>
      <c r="C17" s="220">
        <f>+SUM(C18:C22)</f>
        <v>0</v>
      </c>
      <c r="D17" s="221" t="e">
        <f>+C17/C116</f>
        <v>#DIV/0!</v>
      </c>
      <c r="E17" s="213"/>
      <c r="F17" s="213" t="s">
        <v>455</v>
      </c>
      <c r="G17" s="215">
        <f>+SUM(BALANCE!H18,BALANCE!H25)/1000</f>
        <v>0</v>
      </c>
      <c r="H17" s="216" t="e">
        <f>+G17/G116</f>
        <v>#DIV/0!</v>
      </c>
    </row>
    <row r="18" spans="1:8" x14ac:dyDescent="0.2">
      <c r="A18" s="222"/>
      <c r="B18" s="213" t="s">
        <v>456</v>
      </c>
      <c r="C18" s="215">
        <f>+BALANCE!D36/1000</f>
        <v>0</v>
      </c>
      <c r="D18" s="216" t="e">
        <f>+C18/C116</f>
        <v>#DIV/0!</v>
      </c>
      <c r="E18" s="213"/>
      <c r="F18" s="213" t="s">
        <v>457</v>
      </c>
      <c r="G18" s="215">
        <f>SUM(BALANCE!H21+BALANCE!H28)/1000</f>
        <v>0</v>
      </c>
      <c r="H18" s="216" t="e">
        <f>+G18/G116</f>
        <v>#DIV/0!</v>
      </c>
    </row>
    <row r="19" spans="1:8" x14ac:dyDescent="0.2">
      <c r="A19" s="222"/>
      <c r="B19" s="213" t="s">
        <v>458</v>
      </c>
      <c r="C19" s="215">
        <f>+BALANCE!D37/1000</f>
        <v>0</v>
      </c>
      <c r="D19" s="216" t="e">
        <f>+C19/C116</f>
        <v>#DIV/0!</v>
      </c>
      <c r="E19" s="213"/>
      <c r="F19" s="213" t="s">
        <v>466</v>
      </c>
      <c r="G19" s="215">
        <f>SUM(BALANCE!H47+BALANCE!H50)/1000</f>
        <v>0</v>
      </c>
      <c r="H19" s="216" t="e">
        <f>+G19/G116</f>
        <v>#DIV/0!</v>
      </c>
    </row>
    <row r="20" spans="1:8" x14ac:dyDescent="0.2">
      <c r="A20" s="222"/>
      <c r="B20" s="213" t="s">
        <v>459</v>
      </c>
      <c r="C20" s="215">
        <f>+BALANCE!D38/1000</f>
        <v>0</v>
      </c>
      <c r="D20" s="216" t="e">
        <f>+C20/C116</f>
        <v>#DIV/0!</v>
      </c>
      <c r="E20" s="213"/>
      <c r="F20" s="213" t="s">
        <v>460</v>
      </c>
      <c r="G20" s="215">
        <f>+SUM(G21:G22)</f>
        <v>0</v>
      </c>
      <c r="H20" s="216" t="e">
        <f>+G20/G116</f>
        <v>#DIV/0!</v>
      </c>
    </row>
    <row r="21" spans="1:8" x14ac:dyDescent="0.2">
      <c r="A21" s="222"/>
      <c r="B21" s="213" t="s">
        <v>461</v>
      </c>
      <c r="C21" s="215">
        <f>+BALANCE!D39/1000</f>
        <v>0</v>
      </c>
      <c r="D21" s="216" t="e">
        <f>+C21/C116</f>
        <v>#DIV/0!</v>
      </c>
      <c r="E21" s="213"/>
      <c r="F21" s="213" t="s">
        <v>455</v>
      </c>
      <c r="G21" s="215">
        <f>SUM(BALANCE!H32+BALANCE!H39)/1000</f>
        <v>0</v>
      </c>
      <c r="H21" s="216" t="e">
        <f>+G21/G116</f>
        <v>#DIV/0!</v>
      </c>
    </row>
    <row r="22" spans="1:8" x14ac:dyDescent="0.2">
      <c r="A22" s="222"/>
      <c r="B22" s="213" t="s">
        <v>462</v>
      </c>
      <c r="C22" s="215">
        <f>+BALANCE!D40/1000</f>
        <v>0</v>
      </c>
      <c r="D22" s="216" t="e">
        <f>+C22/C116</f>
        <v>#DIV/0!</v>
      </c>
      <c r="E22" s="213"/>
      <c r="F22" s="213" t="s">
        <v>457</v>
      </c>
      <c r="G22" s="215">
        <f>SUM(BALANCE!H35+BALANCE!H42)/1000</f>
        <v>0</v>
      </c>
      <c r="H22" s="216" t="e">
        <f>+G22/G116</f>
        <v>#DIV/0!</v>
      </c>
    </row>
    <row r="23" spans="1:8" x14ac:dyDescent="0.2">
      <c r="A23" s="222"/>
      <c r="B23" s="217" t="s">
        <v>103</v>
      </c>
      <c r="C23" s="220">
        <f>+SUM(C24:C28)</f>
        <v>0</v>
      </c>
      <c r="D23" s="221" t="e">
        <f>+C23/C116</f>
        <v>#DIV/0!</v>
      </c>
      <c r="E23" s="213"/>
      <c r="F23" s="213" t="s">
        <v>463</v>
      </c>
      <c r="G23" s="215">
        <f>SUM(BALANCE!H54+BALANCE!H57)/1000</f>
        <v>0</v>
      </c>
      <c r="H23" s="216" t="e">
        <f>+G23/G116</f>
        <v>#DIV/0!</v>
      </c>
    </row>
    <row r="24" spans="1:8" x14ac:dyDescent="0.2">
      <c r="A24" s="222"/>
      <c r="B24" s="213" t="s">
        <v>456</v>
      </c>
      <c r="C24" s="215">
        <f>+BALANCE!D42/1000</f>
        <v>0</v>
      </c>
      <c r="D24" s="216" t="e">
        <f>+C24/C116</f>
        <v>#DIV/0!</v>
      </c>
      <c r="E24" s="213"/>
      <c r="F24" s="217" t="s">
        <v>464</v>
      </c>
      <c r="G24" s="220">
        <f>+SUM(G25,G28,G29,G32)</f>
        <v>0</v>
      </c>
      <c r="H24" s="221" t="e">
        <f>+G24/G116</f>
        <v>#DIV/0!</v>
      </c>
    </row>
    <row r="25" spans="1:8" x14ac:dyDescent="0.2">
      <c r="A25" s="222"/>
      <c r="B25" s="213" t="s">
        <v>465</v>
      </c>
      <c r="C25" s="215">
        <f>+BALANCE!D43/1000</f>
        <v>0</v>
      </c>
      <c r="D25" s="216" t="e">
        <f>+C25/C116</f>
        <v>#DIV/0!</v>
      </c>
      <c r="E25" s="222"/>
      <c r="F25" s="213" t="s">
        <v>454</v>
      </c>
      <c r="G25" s="215">
        <f>+SUM(G26:G27)</f>
        <v>0</v>
      </c>
      <c r="H25" s="216" t="e">
        <f>+G25/G116</f>
        <v>#DIV/0!</v>
      </c>
    </row>
    <row r="26" spans="1:8" x14ac:dyDescent="0.2">
      <c r="A26" s="222"/>
      <c r="B26" s="213" t="s">
        <v>459</v>
      </c>
      <c r="C26" s="215">
        <f>+BALANCE!D44/1000</f>
        <v>0</v>
      </c>
      <c r="D26" s="216" t="e">
        <f>+C26/C116</f>
        <v>#DIV/0!</v>
      </c>
      <c r="E26" s="213"/>
      <c r="F26" s="213" t="s">
        <v>455</v>
      </c>
      <c r="G26" s="215">
        <f>SUM(BALANCE!H19+BALANCE!H26)/1000</f>
        <v>0</v>
      </c>
      <c r="H26" s="216" t="e">
        <f>+G26/G116</f>
        <v>#DIV/0!</v>
      </c>
    </row>
    <row r="27" spans="1:8" x14ac:dyDescent="0.2">
      <c r="A27" s="222"/>
      <c r="B27" s="213" t="s">
        <v>461</v>
      </c>
      <c r="C27" s="215">
        <f>+BALANCE!D45/1000</f>
        <v>0</v>
      </c>
      <c r="D27" s="216" t="e">
        <f>+C27/C116</f>
        <v>#DIV/0!</v>
      </c>
      <c r="E27" s="213"/>
      <c r="F27" s="213" t="s">
        <v>457</v>
      </c>
      <c r="G27" s="215">
        <f>SUM(BALANCE!H22+BALANCE!H29)/1000</f>
        <v>0</v>
      </c>
      <c r="H27" s="216" t="e">
        <f>+G27/G116</f>
        <v>#DIV/0!</v>
      </c>
    </row>
    <row r="28" spans="1:8" x14ac:dyDescent="0.2">
      <c r="A28" s="222"/>
      <c r="B28" s="213" t="s">
        <v>462</v>
      </c>
      <c r="C28" s="215">
        <f>+BALANCE!D46/1000</f>
        <v>0</v>
      </c>
      <c r="D28" s="216" t="e">
        <f>+C28/C116</f>
        <v>#DIV/0!</v>
      </c>
      <c r="E28" s="213"/>
      <c r="F28" s="213" t="s">
        <v>466</v>
      </c>
      <c r="G28" s="215">
        <f>SUM(BALANCE!H48+BALANCE!H51)/1000</f>
        <v>0</v>
      </c>
      <c r="H28" s="216" t="e">
        <f>+G28/G116</f>
        <v>#DIV/0!</v>
      </c>
    </row>
    <row r="29" spans="1:8" x14ac:dyDescent="0.2">
      <c r="A29" s="222"/>
      <c r="B29" s="224" t="s">
        <v>107</v>
      </c>
      <c r="C29" s="218">
        <f>+BALANCE!D47/1000</f>
        <v>0</v>
      </c>
      <c r="D29" s="219" t="e">
        <f>+C29/C116</f>
        <v>#DIV/0!</v>
      </c>
      <c r="E29" s="222"/>
      <c r="F29" s="213" t="s">
        <v>460</v>
      </c>
      <c r="G29" s="215">
        <f>+SUM(G30:G31)</f>
        <v>0</v>
      </c>
      <c r="H29" s="216" t="e">
        <f>+G29/G116</f>
        <v>#DIV/0!</v>
      </c>
    </row>
    <row r="30" spans="1:8" x14ac:dyDescent="0.2">
      <c r="A30" s="222"/>
      <c r="B30" s="225" t="s">
        <v>467</v>
      </c>
      <c r="C30" s="215">
        <f>+BALANCE!D50/1000</f>
        <v>0</v>
      </c>
      <c r="D30" s="216" t="e">
        <f>+C30/C116</f>
        <v>#DIV/0!</v>
      </c>
      <c r="E30" s="213"/>
      <c r="F30" s="213" t="s">
        <v>455</v>
      </c>
      <c r="G30" s="215">
        <f>SUM(BALANCE!H33+BALANCE!H40)/1000</f>
        <v>0</v>
      </c>
      <c r="H30" s="216" t="e">
        <f>+G30/G116</f>
        <v>#DIV/0!</v>
      </c>
    </row>
    <row r="31" spans="1:8" x14ac:dyDescent="0.2">
      <c r="A31" s="213">
        <v>1.3</v>
      </c>
      <c r="B31" s="214" t="s">
        <v>113</v>
      </c>
      <c r="C31" s="210">
        <f>+C32-C47</f>
        <v>0</v>
      </c>
      <c r="D31" s="226" t="e">
        <f>+C31/C116</f>
        <v>#DIV/0!</v>
      </c>
      <c r="E31" s="213"/>
      <c r="F31" s="213" t="s">
        <v>457</v>
      </c>
      <c r="G31" s="215">
        <f>SUM(BALANCE!H36+BALANCE!H43)/1000</f>
        <v>0</v>
      </c>
      <c r="H31" s="216" t="e">
        <f>+G31/G116</f>
        <v>#DIV/0!</v>
      </c>
    </row>
    <row r="32" spans="1:8" x14ac:dyDescent="0.2">
      <c r="A32" s="208"/>
      <c r="B32" s="217" t="s">
        <v>468</v>
      </c>
      <c r="C32" s="220">
        <f>SUM(C33,C40)</f>
        <v>0</v>
      </c>
      <c r="D32" s="221" t="e">
        <f>+C32/C116</f>
        <v>#DIV/0!</v>
      </c>
      <c r="E32" s="222"/>
      <c r="F32" s="213" t="s">
        <v>463</v>
      </c>
      <c r="G32" s="215">
        <f>SUM(BALANCE!H55+BALANCE!H58)/1000</f>
        <v>0</v>
      </c>
      <c r="H32" s="216" t="e">
        <f>+G32/G116</f>
        <v>#DIV/0!</v>
      </c>
    </row>
    <row r="33" spans="1:8" x14ac:dyDescent="0.2">
      <c r="A33" s="213"/>
      <c r="B33" s="217" t="s">
        <v>469</v>
      </c>
      <c r="C33" s="220">
        <f>+SUM(C34:C36)</f>
        <v>0</v>
      </c>
      <c r="D33" s="221" t="e">
        <f>+C33/C116</f>
        <v>#DIV/0!</v>
      </c>
      <c r="E33" s="213">
        <v>1.3</v>
      </c>
      <c r="F33" s="214" t="s">
        <v>127</v>
      </c>
      <c r="G33" s="210">
        <f>+SUM(G34:G38)</f>
        <v>0</v>
      </c>
      <c r="H33" s="211" t="e">
        <f>+G33/G116</f>
        <v>#DIV/0!</v>
      </c>
    </row>
    <row r="34" spans="1:8" x14ac:dyDescent="0.2">
      <c r="A34" s="213"/>
      <c r="B34" s="213" t="s">
        <v>470</v>
      </c>
      <c r="C34" s="215">
        <f>+BALANCE!D53/1000</f>
        <v>0</v>
      </c>
      <c r="D34" s="216" t="e">
        <f>+C34/C116</f>
        <v>#DIV/0!</v>
      </c>
      <c r="E34" s="222"/>
      <c r="F34" s="213" t="s">
        <v>129</v>
      </c>
      <c r="G34" s="215">
        <f>+BALANCE!H60/1000</f>
        <v>0</v>
      </c>
      <c r="H34" s="216" t="e">
        <f>+G34/G116</f>
        <v>#DIV/0!</v>
      </c>
    </row>
    <row r="35" spans="1:8" x14ac:dyDescent="0.2">
      <c r="A35" s="213"/>
      <c r="B35" s="213" t="s">
        <v>1164</v>
      </c>
      <c r="C35" s="215">
        <f>+BALANCE!D69/1000</f>
        <v>0</v>
      </c>
      <c r="D35" s="216" t="e">
        <f>+C35/C116</f>
        <v>#DIV/0!</v>
      </c>
      <c r="E35" s="222"/>
      <c r="F35" s="213" t="s">
        <v>133</v>
      </c>
      <c r="G35" s="215">
        <f>+BALANCE!H63/1000</f>
        <v>0</v>
      </c>
      <c r="H35" s="216" t="e">
        <f>+G35/G116</f>
        <v>#DIV/0!</v>
      </c>
    </row>
    <row r="36" spans="1:8" x14ac:dyDescent="0.2">
      <c r="A36" s="213"/>
      <c r="B36" s="224" t="s">
        <v>471</v>
      </c>
      <c r="C36" s="218">
        <f>+SUM(C37:C39)</f>
        <v>0</v>
      </c>
      <c r="D36" s="219" t="e">
        <f>+C36/C116</f>
        <v>#DIV/0!</v>
      </c>
      <c r="E36" s="222"/>
      <c r="F36" s="213" t="s">
        <v>472</v>
      </c>
      <c r="G36" s="215">
        <f>+BALANCE!H66/1000</f>
        <v>0</v>
      </c>
      <c r="H36" s="216" t="e">
        <f>+G36/G116</f>
        <v>#DIV/0!</v>
      </c>
    </row>
    <row r="37" spans="1:8" x14ac:dyDescent="0.2">
      <c r="A37" s="213"/>
      <c r="B37" s="213" t="s">
        <v>473</v>
      </c>
      <c r="C37" s="215">
        <f>+BALANCE!D86/1000</f>
        <v>0</v>
      </c>
      <c r="D37" s="216" t="e">
        <f>+C37/C116</f>
        <v>#DIV/0!</v>
      </c>
      <c r="E37" s="222"/>
      <c r="F37" s="213" t="s">
        <v>139</v>
      </c>
      <c r="G37" s="215">
        <f>+BALANCE!H69/1000</f>
        <v>0</v>
      </c>
      <c r="H37" s="216" t="e">
        <f>+G37/G116</f>
        <v>#DIV/0!</v>
      </c>
    </row>
    <row r="38" spans="1:8" x14ac:dyDescent="0.2">
      <c r="A38" s="213"/>
      <c r="B38" s="213" t="s">
        <v>474</v>
      </c>
      <c r="C38" s="215">
        <f>+BALANCE!D102/1000</f>
        <v>0</v>
      </c>
      <c r="D38" s="216" t="e">
        <f>+C38/C116</f>
        <v>#DIV/0!</v>
      </c>
      <c r="E38" s="222"/>
      <c r="F38" s="213" t="s">
        <v>475</v>
      </c>
      <c r="G38" s="215">
        <f>+BALANCE!H72/1000</f>
        <v>0</v>
      </c>
      <c r="H38" s="216" t="e">
        <f>+G38/G116</f>
        <v>#DIV/0!</v>
      </c>
    </row>
    <row r="39" spans="1:8" x14ac:dyDescent="0.2">
      <c r="A39" s="213"/>
      <c r="B39" s="213" t="s">
        <v>476</v>
      </c>
      <c r="C39" s="215">
        <f>+BALANCE!D118/1000</f>
        <v>0</v>
      </c>
      <c r="D39" s="216" t="e">
        <f>+C39/C116</f>
        <v>#DIV/0!</v>
      </c>
      <c r="E39" s="213">
        <v>1.4</v>
      </c>
      <c r="F39" s="214" t="s">
        <v>145</v>
      </c>
      <c r="G39" s="210">
        <f>+SUM(G40:G41)</f>
        <v>0</v>
      </c>
      <c r="H39" s="211" t="e">
        <f>+G39/G116</f>
        <v>#DIV/0!</v>
      </c>
    </row>
    <row r="40" spans="1:8" x14ac:dyDescent="0.2">
      <c r="A40" s="213"/>
      <c r="B40" s="217" t="s">
        <v>477</v>
      </c>
      <c r="C40" s="220">
        <f>+SUM(C41:C43)</f>
        <v>0</v>
      </c>
      <c r="D40" s="221" t="e">
        <f>+C40/C116</f>
        <v>#DIV/0!</v>
      </c>
      <c r="E40" s="213"/>
      <c r="F40" s="213" t="s">
        <v>478</v>
      </c>
      <c r="G40" s="215">
        <f>+BALANCE!H76/1000</f>
        <v>0</v>
      </c>
      <c r="H40" s="216" t="e">
        <f>+G40/G116</f>
        <v>#DIV/0!</v>
      </c>
    </row>
    <row r="41" spans="1:8" x14ac:dyDescent="0.2">
      <c r="A41" s="213"/>
      <c r="B41" s="213" t="s">
        <v>470</v>
      </c>
      <c r="C41" s="215">
        <f>+BALANCE!D61/1000</f>
        <v>0</v>
      </c>
      <c r="D41" s="216" t="e">
        <f>+C41/C116</f>
        <v>#DIV/0!</v>
      </c>
      <c r="E41" s="213"/>
      <c r="F41" s="213" t="s">
        <v>479</v>
      </c>
      <c r="G41" s="215">
        <f>+BALANCE!H77/1000</f>
        <v>0</v>
      </c>
      <c r="H41" s="216" t="e">
        <f>+G41/G116</f>
        <v>#DIV/0!</v>
      </c>
    </row>
    <row r="42" spans="1:8" x14ac:dyDescent="0.2">
      <c r="A42" s="213"/>
      <c r="B42" s="213" t="s">
        <v>1164</v>
      </c>
      <c r="C42" s="215">
        <f>+BALANCE!D77/1000</f>
        <v>0</v>
      </c>
      <c r="D42" s="216" t="e">
        <f>+C42/C116</f>
        <v>#DIV/0!</v>
      </c>
      <c r="E42" s="213">
        <v>1.5</v>
      </c>
      <c r="F42" s="214" t="s">
        <v>148</v>
      </c>
      <c r="G42" s="210">
        <f>+SUM(G43,G56)</f>
        <v>0</v>
      </c>
      <c r="H42" s="211" t="e">
        <f>+G42/G116</f>
        <v>#DIV/0!</v>
      </c>
    </row>
    <row r="43" spans="1:8" x14ac:dyDescent="0.2">
      <c r="A43" s="213"/>
      <c r="B43" s="224" t="s">
        <v>471</v>
      </c>
      <c r="C43" s="218">
        <f>+SUM(C44:C46)</f>
        <v>0</v>
      </c>
      <c r="D43" s="219" t="e">
        <f>+C43/C116</f>
        <v>#DIV/0!</v>
      </c>
      <c r="E43" s="222"/>
      <c r="F43" s="217" t="s">
        <v>480</v>
      </c>
      <c r="G43" s="220">
        <f>+SUM(G44,G47,G50,G53)</f>
        <v>0</v>
      </c>
      <c r="H43" s="221" t="e">
        <f>+G43/G116</f>
        <v>#DIV/0!</v>
      </c>
    </row>
    <row r="44" spans="1:8" x14ac:dyDescent="0.2">
      <c r="A44" s="213"/>
      <c r="B44" s="213" t="s">
        <v>481</v>
      </c>
      <c r="C44" s="215">
        <f>+BALANCE!D94/1000</f>
        <v>0</v>
      </c>
      <c r="D44" s="216" t="e">
        <f>+C44/C116</f>
        <v>#DIV/0!</v>
      </c>
      <c r="E44" s="222"/>
      <c r="F44" s="213" t="s">
        <v>482</v>
      </c>
      <c r="G44" s="215">
        <f>+G45+G46</f>
        <v>0</v>
      </c>
      <c r="H44" s="216" t="e">
        <f>+G44/G116</f>
        <v>#DIV/0!</v>
      </c>
    </row>
    <row r="45" spans="1:8" x14ac:dyDescent="0.2">
      <c r="A45" s="213"/>
      <c r="B45" s="213" t="s">
        <v>483</v>
      </c>
      <c r="C45" s="215">
        <f>+BALANCE!D110/1000</f>
        <v>0</v>
      </c>
      <c r="D45" s="216" t="e">
        <f>+C45/C116</f>
        <v>#DIV/0!</v>
      </c>
      <c r="E45" s="213"/>
      <c r="F45" s="213" t="s">
        <v>484</v>
      </c>
      <c r="G45" s="215">
        <f>+BALANCE!H81/1000</f>
        <v>0</v>
      </c>
      <c r="H45" s="216" t="e">
        <f>+G45/G116</f>
        <v>#DIV/0!</v>
      </c>
    </row>
    <row r="46" spans="1:8" x14ac:dyDescent="0.2">
      <c r="A46" s="213"/>
      <c r="B46" s="213" t="s">
        <v>476</v>
      </c>
      <c r="C46" s="215">
        <f>+BALANCE!D126/1000</f>
        <v>0</v>
      </c>
      <c r="D46" s="216" t="e">
        <f>+C46/C116</f>
        <v>#DIV/0!</v>
      </c>
      <c r="E46" s="213"/>
      <c r="F46" s="213" t="s">
        <v>485</v>
      </c>
      <c r="G46" s="215">
        <f>+BALANCE!H82/1000</f>
        <v>0</v>
      </c>
      <c r="H46" s="216" t="e">
        <f>+G46/G116</f>
        <v>#DIV/0!</v>
      </c>
    </row>
    <row r="47" spans="1:8" x14ac:dyDescent="0.2">
      <c r="A47" s="213"/>
      <c r="B47" s="227" t="s">
        <v>486</v>
      </c>
      <c r="C47" s="215">
        <f>+BALANCE!D134/1000</f>
        <v>0</v>
      </c>
      <c r="D47" s="216" t="e">
        <f>+C47/C116</f>
        <v>#DIV/0!</v>
      </c>
      <c r="E47" s="222"/>
      <c r="F47" s="213" t="s">
        <v>487</v>
      </c>
      <c r="G47" s="215">
        <f>+G48+G49</f>
        <v>0</v>
      </c>
      <c r="H47" s="216" t="e">
        <f>+G47/G116</f>
        <v>#DIV/0!</v>
      </c>
    </row>
    <row r="48" spans="1:8" x14ac:dyDescent="0.2">
      <c r="A48" s="213">
        <v>1.4</v>
      </c>
      <c r="B48" s="214" t="s">
        <v>199</v>
      </c>
      <c r="C48" s="228">
        <f>+C49-C64</f>
        <v>0</v>
      </c>
      <c r="D48" s="229" t="e">
        <f>+C48/C116</f>
        <v>#DIV/0!</v>
      </c>
      <c r="E48" s="213"/>
      <c r="F48" s="213" t="s">
        <v>484</v>
      </c>
      <c r="G48" s="215">
        <f>+BALANCE!H84/1000</f>
        <v>0</v>
      </c>
      <c r="H48" s="216" t="e">
        <f>+G48/G116</f>
        <v>#DIV/0!</v>
      </c>
    </row>
    <row r="49" spans="1:8" x14ac:dyDescent="0.2">
      <c r="A49" s="213"/>
      <c r="B49" s="217" t="s">
        <v>488</v>
      </c>
      <c r="C49" s="220">
        <f>+SUM(C50,C57)</f>
        <v>0</v>
      </c>
      <c r="D49" s="221" t="e">
        <f>+C49/C116</f>
        <v>#DIV/0!</v>
      </c>
      <c r="E49" s="213"/>
      <c r="F49" s="213" t="s">
        <v>485</v>
      </c>
      <c r="G49" s="215">
        <f>+BALANCE!H85/1000</f>
        <v>0</v>
      </c>
      <c r="H49" s="216" t="e">
        <f>+G49/G116</f>
        <v>#DIV/0!</v>
      </c>
    </row>
    <row r="50" spans="1:8" x14ac:dyDescent="0.2">
      <c r="A50" s="213"/>
      <c r="B50" s="217" t="s">
        <v>489</v>
      </c>
      <c r="C50" s="220">
        <f>+SUM(C51:C53)</f>
        <v>0</v>
      </c>
      <c r="D50" s="221" t="e">
        <f>+C50/C116</f>
        <v>#DIV/0!</v>
      </c>
      <c r="E50" s="222"/>
      <c r="F50" s="213" t="s">
        <v>490</v>
      </c>
      <c r="G50" s="215">
        <f>+SUM(G51:G52)</f>
        <v>0</v>
      </c>
      <c r="H50" s="216" t="e">
        <f>+G50/G116</f>
        <v>#DIV/0!</v>
      </c>
    </row>
    <row r="51" spans="1:8" x14ac:dyDescent="0.2">
      <c r="A51" s="213"/>
      <c r="B51" s="213" t="s">
        <v>470</v>
      </c>
      <c r="C51" s="215">
        <f>+BALANCE!D138/1000</f>
        <v>0</v>
      </c>
      <c r="D51" s="216" t="e">
        <f>+C51/C116</f>
        <v>#DIV/0!</v>
      </c>
      <c r="E51" s="213"/>
      <c r="F51" s="213" t="s">
        <v>484</v>
      </c>
      <c r="G51" s="215">
        <f>+BALANCE!H87/1000</f>
        <v>0</v>
      </c>
      <c r="H51" s="216" t="e">
        <f>+G51/G116</f>
        <v>#DIV/0!</v>
      </c>
    </row>
    <row r="52" spans="1:8" x14ac:dyDescent="0.2">
      <c r="A52" s="213"/>
      <c r="B52" s="213" t="s">
        <v>1164</v>
      </c>
      <c r="C52" s="215">
        <f>+BALANCE!D141/1000</f>
        <v>0</v>
      </c>
      <c r="D52" s="216" t="e">
        <f>+C52/C116</f>
        <v>#DIV/0!</v>
      </c>
      <c r="E52" s="213"/>
      <c r="F52" s="213" t="s">
        <v>485</v>
      </c>
      <c r="G52" s="215">
        <f>+BALANCE!H88/1000</f>
        <v>0</v>
      </c>
      <c r="H52" s="216" t="e">
        <f>+G52/G116</f>
        <v>#DIV/0!</v>
      </c>
    </row>
    <row r="53" spans="1:8" x14ac:dyDescent="0.2">
      <c r="A53" s="213"/>
      <c r="B53" s="224" t="s">
        <v>471</v>
      </c>
      <c r="C53" s="218">
        <f>+SUM(C54:C56)</f>
        <v>0</v>
      </c>
      <c r="D53" s="219" t="e">
        <f>+C53/C116</f>
        <v>#DIV/0!</v>
      </c>
      <c r="E53" s="222"/>
      <c r="F53" s="213" t="s">
        <v>128</v>
      </c>
      <c r="G53" s="215">
        <f>+SUM(G54:G55)</f>
        <v>0</v>
      </c>
      <c r="H53" s="216" t="e">
        <f>+G53/G116</f>
        <v>#DIV/0!</v>
      </c>
    </row>
    <row r="54" spans="1:8" x14ac:dyDescent="0.2">
      <c r="A54" s="213"/>
      <c r="B54" s="213" t="s">
        <v>473</v>
      </c>
      <c r="C54" s="215">
        <f>+BALANCE!D145/1000</f>
        <v>0</v>
      </c>
      <c r="D54" s="216" t="e">
        <f>+C54/C116</f>
        <v>#DIV/0!</v>
      </c>
      <c r="E54" s="213"/>
      <c r="F54" s="213" t="s">
        <v>484</v>
      </c>
      <c r="G54" s="215">
        <f>+BALANCE!H90/1000</f>
        <v>0</v>
      </c>
      <c r="H54" s="216" t="e">
        <f>+G54/G116</f>
        <v>#DIV/0!</v>
      </c>
    </row>
    <row r="55" spans="1:8" x14ac:dyDescent="0.2">
      <c r="A55" s="213"/>
      <c r="B55" s="213" t="s">
        <v>474</v>
      </c>
      <c r="C55" s="215">
        <f>+BALANCE!D148/1000</f>
        <v>0</v>
      </c>
      <c r="D55" s="216" t="e">
        <f>+C55/C116</f>
        <v>#DIV/0!</v>
      </c>
      <c r="E55" s="213"/>
      <c r="F55" s="213" t="s">
        <v>485</v>
      </c>
      <c r="G55" s="215">
        <f>+BALANCE!H91/1000</f>
        <v>0</v>
      </c>
      <c r="H55" s="216" t="e">
        <f>+G55/G116</f>
        <v>#DIV/0!</v>
      </c>
    </row>
    <row r="56" spans="1:8" x14ac:dyDescent="0.2">
      <c r="A56" s="213"/>
      <c r="B56" s="213" t="s">
        <v>476</v>
      </c>
      <c r="C56" s="215">
        <f>+BALANCE!D151/1000</f>
        <v>0</v>
      </c>
      <c r="D56" s="216" t="e">
        <f>+C56/C116</f>
        <v>#DIV/0!</v>
      </c>
      <c r="E56" s="222"/>
      <c r="F56" s="217" t="s">
        <v>491</v>
      </c>
      <c r="G56" s="220">
        <f>+SUM(G57,G60,G63,G66)</f>
        <v>0</v>
      </c>
      <c r="H56" s="221" t="e">
        <f>+G56/G116</f>
        <v>#DIV/0!</v>
      </c>
    </row>
    <row r="57" spans="1:8" x14ac:dyDescent="0.2">
      <c r="A57" s="213"/>
      <c r="B57" s="217" t="s">
        <v>492</v>
      </c>
      <c r="C57" s="220">
        <f>+SUM(C58:C60)</f>
        <v>0</v>
      </c>
      <c r="D57" s="221" t="e">
        <f>+C57/C116</f>
        <v>#DIV/0!</v>
      </c>
      <c r="E57" s="222"/>
      <c r="F57" s="213" t="s">
        <v>482</v>
      </c>
      <c r="G57" s="215">
        <f>+SUM(G58:G59)</f>
        <v>0</v>
      </c>
      <c r="H57" s="216" t="e">
        <f>+G57/G116</f>
        <v>#DIV/0!</v>
      </c>
    </row>
    <row r="58" spans="1:8" x14ac:dyDescent="0.2">
      <c r="A58" s="213"/>
      <c r="B58" s="213" t="s">
        <v>470</v>
      </c>
      <c r="C58" s="215">
        <f>+BALANCE!D139/1000</f>
        <v>0</v>
      </c>
      <c r="D58" s="216" t="e">
        <f>+C58/C116</f>
        <v>#DIV/0!</v>
      </c>
      <c r="E58" s="213"/>
      <c r="F58" s="213" t="s">
        <v>484</v>
      </c>
      <c r="G58" s="215">
        <f>+BALANCE!H94/1000</f>
        <v>0</v>
      </c>
      <c r="H58" s="216" t="e">
        <f>+G58/G116</f>
        <v>#DIV/0!</v>
      </c>
    </row>
    <row r="59" spans="1:8" x14ac:dyDescent="0.2">
      <c r="A59" s="213"/>
      <c r="B59" s="213" t="s">
        <v>1164</v>
      </c>
      <c r="C59" s="215">
        <f>+BALANCE!D142/1000</f>
        <v>0</v>
      </c>
      <c r="D59" s="216" t="e">
        <f>+C59/C116</f>
        <v>#DIV/0!</v>
      </c>
      <c r="E59" s="213"/>
      <c r="F59" s="213" t="s">
        <v>485</v>
      </c>
      <c r="G59" s="215">
        <f>+BALANCE!H95/1000</f>
        <v>0</v>
      </c>
      <c r="H59" s="216" t="e">
        <f>+G59/G116</f>
        <v>#DIV/0!</v>
      </c>
    </row>
    <row r="60" spans="1:8" x14ac:dyDescent="0.2">
      <c r="A60" s="213"/>
      <c r="B60" s="224" t="s">
        <v>471</v>
      </c>
      <c r="C60" s="218">
        <f>+SUM(C61:C63)</f>
        <v>0</v>
      </c>
      <c r="D60" s="219" t="e">
        <f>+C60/C116</f>
        <v>#DIV/0!</v>
      </c>
      <c r="E60" s="213"/>
      <c r="F60" s="213" t="s">
        <v>487</v>
      </c>
      <c r="G60" s="215">
        <f>+SUM(G61:G62)</f>
        <v>0</v>
      </c>
      <c r="H60" s="216" t="e">
        <f>+G60/G116</f>
        <v>#DIV/0!</v>
      </c>
    </row>
    <row r="61" spans="1:8" x14ac:dyDescent="0.2">
      <c r="A61" s="213"/>
      <c r="B61" s="213" t="s">
        <v>473</v>
      </c>
      <c r="C61" s="215">
        <f>+BALANCE!D146/1000</f>
        <v>0</v>
      </c>
      <c r="D61" s="216" t="e">
        <f>+C61/C116</f>
        <v>#DIV/0!</v>
      </c>
      <c r="E61" s="213"/>
      <c r="F61" s="213" t="s">
        <v>484</v>
      </c>
      <c r="G61" s="215">
        <f>+BALANCE!H97/1000</f>
        <v>0</v>
      </c>
      <c r="H61" s="216" t="e">
        <f>+G61/G116</f>
        <v>#DIV/0!</v>
      </c>
    </row>
    <row r="62" spans="1:8" x14ac:dyDescent="0.2">
      <c r="A62" s="213"/>
      <c r="B62" s="213" t="s">
        <v>474</v>
      </c>
      <c r="C62" s="215">
        <f>+BALANCE!D149/1000</f>
        <v>0</v>
      </c>
      <c r="D62" s="216" t="e">
        <f>+C62/C116</f>
        <v>#DIV/0!</v>
      </c>
      <c r="E62" s="213"/>
      <c r="F62" s="213" t="s">
        <v>485</v>
      </c>
      <c r="G62" s="215">
        <f>+BALANCE!H98/1000</f>
        <v>0</v>
      </c>
      <c r="H62" s="216" t="e">
        <f>+G62/G116</f>
        <v>#DIV/0!</v>
      </c>
    </row>
    <row r="63" spans="1:8" x14ac:dyDescent="0.2">
      <c r="A63" s="213"/>
      <c r="B63" s="213" t="s">
        <v>476</v>
      </c>
      <c r="C63" s="215">
        <f>+BALANCE!D152/1000</f>
        <v>0</v>
      </c>
      <c r="D63" s="216" t="e">
        <f>+C63/C116</f>
        <v>#DIV/0!</v>
      </c>
      <c r="E63" s="213"/>
      <c r="F63" s="213" t="s">
        <v>490</v>
      </c>
      <c r="G63" s="215">
        <f>+SUM(G64:G65)</f>
        <v>0</v>
      </c>
      <c r="H63" s="216" t="e">
        <f>+G63/G116</f>
        <v>#DIV/0!</v>
      </c>
    </row>
    <row r="64" spans="1:8" x14ac:dyDescent="0.2">
      <c r="A64" s="213"/>
      <c r="B64" s="230" t="s">
        <v>493</v>
      </c>
      <c r="C64" s="215">
        <f>+BALANCE!D153/1000</f>
        <v>0</v>
      </c>
      <c r="D64" s="216" t="e">
        <f>+C64/C116</f>
        <v>#DIV/0!</v>
      </c>
      <c r="E64" s="213"/>
      <c r="F64" s="213" t="s">
        <v>484</v>
      </c>
      <c r="G64" s="215">
        <f>+BALANCE!H100/1000</f>
        <v>0</v>
      </c>
      <c r="H64" s="216" t="e">
        <f>+G64/G116</f>
        <v>#DIV/0!</v>
      </c>
    </row>
    <row r="65" spans="1:8" x14ac:dyDescent="0.2">
      <c r="A65" s="213">
        <v>1.5</v>
      </c>
      <c r="B65" s="214" t="s">
        <v>494</v>
      </c>
      <c r="C65" s="228">
        <f>+C66-C81</f>
        <v>0</v>
      </c>
      <c r="D65" s="229" t="e">
        <f>+C65/C116</f>
        <v>#DIV/0!</v>
      </c>
      <c r="E65" s="213"/>
      <c r="F65" s="213" t="s">
        <v>485</v>
      </c>
      <c r="G65" s="215">
        <f>+BALANCE!H101/1000</f>
        <v>0</v>
      </c>
      <c r="H65" s="216" t="e">
        <f>+G65/G116</f>
        <v>#DIV/0!</v>
      </c>
    </row>
    <row r="66" spans="1:8" x14ac:dyDescent="0.2">
      <c r="A66" s="213"/>
      <c r="B66" s="217" t="s">
        <v>495</v>
      </c>
      <c r="C66" s="220">
        <f>+SUM(C67,C74)</f>
        <v>0</v>
      </c>
      <c r="D66" s="221" t="e">
        <f>+C66/C116</f>
        <v>#DIV/0!</v>
      </c>
      <c r="E66" s="213"/>
      <c r="F66" s="213" t="s">
        <v>128</v>
      </c>
      <c r="G66" s="215">
        <f>+SUM(G67:G68)</f>
        <v>0</v>
      </c>
      <c r="H66" s="216" t="e">
        <f>+G66/G116</f>
        <v>#DIV/0!</v>
      </c>
    </row>
    <row r="67" spans="1:8" x14ac:dyDescent="0.2">
      <c r="A67" s="213"/>
      <c r="B67" s="217" t="s">
        <v>496</v>
      </c>
      <c r="C67" s="220">
        <f>+SUM(C68:C70)</f>
        <v>0</v>
      </c>
      <c r="D67" s="221" t="e">
        <f>+C67/C116</f>
        <v>#DIV/0!</v>
      </c>
      <c r="E67" s="213"/>
      <c r="F67" s="213" t="s">
        <v>484</v>
      </c>
      <c r="G67" s="215">
        <f>+BALANCE!H103/1000</f>
        <v>0</v>
      </c>
      <c r="H67" s="216" t="e">
        <f>+G67/G116</f>
        <v>#DIV/0!</v>
      </c>
    </row>
    <row r="68" spans="1:8" x14ac:dyDescent="0.2">
      <c r="A68" s="213"/>
      <c r="B68" s="213" t="s">
        <v>470</v>
      </c>
      <c r="C68" s="215">
        <f>+BALANCE!D157/1000</f>
        <v>0</v>
      </c>
      <c r="D68" s="216" t="e">
        <f>+C68/C116</f>
        <v>#DIV/0!</v>
      </c>
      <c r="E68" s="213"/>
      <c r="F68" s="213" t="s">
        <v>485</v>
      </c>
      <c r="G68" s="215">
        <f>+BALANCE!H104/1000</f>
        <v>0</v>
      </c>
      <c r="H68" s="216" t="e">
        <f>+G68/G116</f>
        <v>#DIV/0!</v>
      </c>
    </row>
    <row r="69" spans="1:8" x14ac:dyDescent="0.2">
      <c r="A69" s="213"/>
      <c r="B69" s="213" t="s">
        <v>1164</v>
      </c>
      <c r="C69" s="215">
        <f>+BALANCE!D160/1000</f>
        <v>0</v>
      </c>
      <c r="D69" s="216" t="e">
        <f>+C69/C116</f>
        <v>#DIV/0!</v>
      </c>
      <c r="E69" s="213">
        <v>1.6</v>
      </c>
      <c r="F69" s="214" t="s">
        <v>168</v>
      </c>
      <c r="G69" s="210">
        <f>+SUM(G70,G80,G81)</f>
        <v>0</v>
      </c>
      <c r="H69" s="211" t="e">
        <f>+G69/G116</f>
        <v>#DIV/0!</v>
      </c>
    </row>
    <row r="70" spans="1:8" x14ac:dyDescent="0.2">
      <c r="A70" s="213"/>
      <c r="B70" s="224" t="s">
        <v>497</v>
      </c>
      <c r="C70" s="218">
        <f>+SUM(C71:C73)</f>
        <v>0</v>
      </c>
      <c r="D70" s="219" t="e">
        <f>+C70/C116</f>
        <v>#DIV/0!</v>
      </c>
      <c r="E70" s="208"/>
      <c r="F70" s="217" t="s">
        <v>169</v>
      </c>
      <c r="G70" s="220">
        <f>+SUM(G71,G74,G77)</f>
        <v>0</v>
      </c>
      <c r="H70" s="221" t="e">
        <f>+G70/G116</f>
        <v>#DIV/0!</v>
      </c>
    </row>
    <row r="71" spans="1:8" x14ac:dyDescent="0.2">
      <c r="A71" s="213"/>
      <c r="B71" s="213" t="s">
        <v>473</v>
      </c>
      <c r="C71" s="215">
        <f>+BALANCE!D164/1000</f>
        <v>0</v>
      </c>
      <c r="D71" s="216" t="e">
        <f>+C71/C116</f>
        <v>#DIV/0!</v>
      </c>
      <c r="E71" s="213"/>
      <c r="F71" s="217" t="s">
        <v>498</v>
      </c>
      <c r="G71" s="220">
        <f>+SUM(G72:G73)</f>
        <v>0</v>
      </c>
      <c r="H71" s="221" t="e">
        <f>+G71/G116</f>
        <v>#DIV/0!</v>
      </c>
    </row>
    <row r="72" spans="1:8" ht="15" x14ac:dyDescent="0.2">
      <c r="A72" s="213"/>
      <c r="B72" s="213" t="s">
        <v>474</v>
      </c>
      <c r="C72" s="215">
        <f>+BALANCE!D167/1000</f>
        <v>0</v>
      </c>
      <c r="D72" s="216" t="e">
        <f>+C72/C116</f>
        <v>#DIV/0!</v>
      </c>
      <c r="E72" s="231"/>
      <c r="F72" s="213" t="s">
        <v>484</v>
      </c>
      <c r="G72" s="215">
        <f>+BALANCE!H107/1000</f>
        <v>0</v>
      </c>
      <c r="H72" s="216" t="e">
        <f>+G72/G116</f>
        <v>#DIV/0!</v>
      </c>
    </row>
    <row r="73" spans="1:8" ht="15" x14ac:dyDescent="0.2">
      <c r="A73" s="213"/>
      <c r="B73" s="213" t="s">
        <v>476</v>
      </c>
      <c r="C73" s="215">
        <f>+BALANCE!D170/1000</f>
        <v>0</v>
      </c>
      <c r="D73" s="216" t="e">
        <f>+C73/C116</f>
        <v>#DIV/0!</v>
      </c>
      <c r="E73" s="231"/>
      <c r="F73" s="213" t="s">
        <v>485</v>
      </c>
      <c r="G73" s="215">
        <f>+BALANCE!H108/1000</f>
        <v>0</v>
      </c>
      <c r="H73" s="216" t="e">
        <f>+G73/G116</f>
        <v>#DIV/0!</v>
      </c>
    </row>
    <row r="74" spans="1:8" x14ac:dyDescent="0.2">
      <c r="A74" s="213"/>
      <c r="B74" s="217" t="s">
        <v>499</v>
      </c>
      <c r="C74" s="220">
        <f>+SUM(C75:C77)</f>
        <v>0</v>
      </c>
      <c r="D74" s="221" t="e">
        <f>+C74/C116</f>
        <v>#DIV/0!</v>
      </c>
      <c r="E74" s="213"/>
      <c r="F74" s="217" t="s">
        <v>193</v>
      </c>
      <c r="G74" s="220">
        <f>+SUM(G75:G76)</f>
        <v>0</v>
      </c>
      <c r="H74" s="221" t="e">
        <f>+G74/G116</f>
        <v>#DIV/0!</v>
      </c>
    </row>
    <row r="75" spans="1:8" ht="15" x14ac:dyDescent="0.2">
      <c r="A75" s="213"/>
      <c r="B75" s="213" t="s">
        <v>470</v>
      </c>
      <c r="C75" s="215">
        <f>+BALANCE!D158/1000</f>
        <v>0</v>
      </c>
      <c r="D75" s="216" t="e">
        <f>+C75/C116</f>
        <v>#DIV/0!</v>
      </c>
      <c r="E75" s="231"/>
      <c r="F75" s="213" t="s">
        <v>484</v>
      </c>
      <c r="G75" s="215">
        <f>+BALANCE!H109/1000</f>
        <v>0</v>
      </c>
      <c r="H75" s="216" t="e">
        <f>+G75/G116</f>
        <v>#DIV/0!</v>
      </c>
    </row>
    <row r="76" spans="1:8" ht="15" x14ac:dyDescent="0.2">
      <c r="A76" s="213"/>
      <c r="B76" s="213" t="s">
        <v>1164</v>
      </c>
      <c r="C76" s="215">
        <f>+BALANCE!D161/1000</f>
        <v>0</v>
      </c>
      <c r="D76" s="216" t="e">
        <f>+C76/C116</f>
        <v>#DIV/0!</v>
      </c>
      <c r="E76" s="231"/>
      <c r="F76" s="213" t="s">
        <v>485</v>
      </c>
      <c r="G76" s="215">
        <f>+BALANCE!H110/1000</f>
        <v>0</v>
      </c>
      <c r="H76" s="216" t="e">
        <f>+G76/G116</f>
        <v>#DIV/0!</v>
      </c>
    </row>
    <row r="77" spans="1:8" x14ac:dyDescent="0.2">
      <c r="A77" s="213"/>
      <c r="B77" s="224" t="s">
        <v>471</v>
      </c>
      <c r="C77" s="218">
        <f>+SUM(C78:C80)</f>
        <v>0</v>
      </c>
      <c r="D77" s="219" t="e">
        <f>+C77/C116</f>
        <v>#DIV/0!</v>
      </c>
      <c r="E77" s="213"/>
      <c r="F77" s="217" t="s">
        <v>128</v>
      </c>
      <c r="G77" s="220">
        <f>+SUM(G78:G79)</f>
        <v>0</v>
      </c>
      <c r="H77" s="221" t="e">
        <f>+G77/G116</f>
        <v>#DIV/0!</v>
      </c>
    </row>
    <row r="78" spans="1:8" ht="15" x14ac:dyDescent="0.2">
      <c r="A78" s="213"/>
      <c r="B78" s="213" t="s">
        <v>473</v>
      </c>
      <c r="C78" s="215">
        <f>+BALANCE!D165/1000</f>
        <v>0</v>
      </c>
      <c r="D78" s="216" t="e">
        <f>+C78/C116</f>
        <v>#DIV/0!</v>
      </c>
      <c r="E78" s="231"/>
      <c r="F78" s="213" t="s">
        <v>484</v>
      </c>
      <c r="G78" s="215">
        <f>+BALANCE!H111/1000</f>
        <v>0</v>
      </c>
      <c r="H78" s="216" t="e">
        <f>+G78/G116</f>
        <v>#DIV/0!</v>
      </c>
    </row>
    <row r="79" spans="1:8" ht="15" x14ac:dyDescent="0.2">
      <c r="A79" s="213"/>
      <c r="B79" s="213" t="s">
        <v>474</v>
      </c>
      <c r="C79" s="215">
        <f>+BALANCE!D168/1000</f>
        <v>0</v>
      </c>
      <c r="D79" s="216" t="e">
        <f>+C79/C116</f>
        <v>#DIV/0!</v>
      </c>
      <c r="E79" s="231"/>
      <c r="F79" s="213" t="s">
        <v>485</v>
      </c>
      <c r="G79" s="215">
        <f>+BALANCE!H112/1000</f>
        <v>0</v>
      </c>
      <c r="H79" s="216" t="e">
        <f>+G79/G116</f>
        <v>#DIV/0!</v>
      </c>
    </row>
    <row r="80" spans="1:8" x14ac:dyDescent="0.2">
      <c r="A80" s="213"/>
      <c r="B80" s="213" t="s">
        <v>476</v>
      </c>
      <c r="C80" s="215">
        <f>+BALANCE!D171/1000</f>
        <v>0</v>
      </c>
      <c r="D80" s="216" t="e">
        <f>+C80/C116</f>
        <v>#DIV/0!</v>
      </c>
      <c r="E80" s="213"/>
      <c r="F80" s="217" t="s">
        <v>177</v>
      </c>
      <c r="G80" s="220">
        <f>+BALANCE!H113/1000</f>
        <v>0</v>
      </c>
      <c r="H80" s="221" t="e">
        <f>+G80/G116</f>
        <v>#DIV/0!</v>
      </c>
    </row>
    <row r="81" spans="1:8" x14ac:dyDescent="0.2">
      <c r="A81" s="213"/>
      <c r="B81" s="227" t="s">
        <v>500</v>
      </c>
      <c r="C81" s="215">
        <f>+BALANCE!D172/1000</f>
        <v>0</v>
      </c>
      <c r="D81" s="216" t="e">
        <f>+C81/C116</f>
        <v>#DIV/0!</v>
      </c>
      <c r="E81" s="213"/>
      <c r="F81" s="217" t="s">
        <v>501</v>
      </c>
      <c r="G81" s="220">
        <f>+BALANCE!H121/1000</f>
        <v>0</v>
      </c>
      <c r="H81" s="221" t="e">
        <f>+G81/G116</f>
        <v>#DIV/0!</v>
      </c>
    </row>
    <row r="82" spans="1:8" ht="13.5" customHeight="1" x14ac:dyDescent="0.2">
      <c r="A82" s="213">
        <v>1.6</v>
      </c>
      <c r="B82" s="214" t="s">
        <v>502</v>
      </c>
      <c r="C82" s="228">
        <f>+C83-C84+C85</f>
        <v>0</v>
      </c>
      <c r="D82" s="229" t="e">
        <f>+C82/C116</f>
        <v>#DIV/0!</v>
      </c>
      <c r="E82" s="824" t="s">
        <v>503</v>
      </c>
      <c r="F82" s="824"/>
      <c r="G82" s="210">
        <f>+SUM(G83,G87,G91,G94,G97)</f>
        <v>0</v>
      </c>
      <c r="H82" s="211" t="e">
        <f>+G82/G116</f>
        <v>#DIV/0!</v>
      </c>
    </row>
    <row r="83" spans="1:8" x14ac:dyDescent="0.2">
      <c r="A83" s="213"/>
      <c r="B83" s="217" t="s">
        <v>504</v>
      </c>
      <c r="C83" s="220">
        <f>+SUM(BALANCE!D176,BALANCE!D177,BALANCE!D178)/1000</f>
        <v>0</v>
      </c>
      <c r="D83" s="221" t="e">
        <f>+C83/C116</f>
        <v>#DIV/0!</v>
      </c>
      <c r="E83" s="213">
        <v>2.1</v>
      </c>
      <c r="F83" s="214" t="s">
        <v>195</v>
      </c>
      <c r="G83" s="210">
        <f>G84+G85-G86</f>
        <v>0</v>
      </c>
      <c r="H83" s="211" t="e">
        <f>+G83/G116</f>
        <v>#DIV/0!</v>
      </c>
    </row>
    <row r="84" spans="1:8" x14ac:dyDescent="0.2">
      <c r="A84" s="213"/>
      <c r="B84" s="227" t="s">
        <v>505</v>
      </c>
      <c r="C84" s="215">
        <f>+BALANCE!D184/1000</f>
        <v>0</v>
      </c>
      <c r="D84" s="216" t="e">
        <f>+C84/C116</f>
        <v>#DIV/0!</v>
      </c>
      <c r="E84" s="213"/>
      <c r="F84" s="213" t="s">
        <v>197</v>
      </c>
      <c r="G84" s="215">
        <f>+BALANCE!H134/1000</f>
        <v>0</v>
      </c>
      <c r="H84" s="216" t="e">
        <f>+G84/G116</f>
        <v>#DIV/0!</v>
      </c>
    </row>
    <row r="85" spans="1:8" x14ac:dyDescent="0.2">
      <c r="A85" s="213"/>
      <c r="B85" s="222" t="s">
        <v>252</v>
      </c>
      <c r="C85" s="215">
        <f>+BALANCE!D182/1000</f>
        <v>0</v>
      </c>
      <c r="D85" s="216" t="e">
        <f>+C85/C116</f>
        <v>#DIV/0!</v>
      </c>
      <c r="E85" s="213"/>
      <c r="F85" s="213" t="s">
        <v>198</v>
      </c>
      <c r="G85" s="215">
        <f>+BALANCE!H135/1000</f>
        <v>0</v>
      </c>
      <c r="H85" s="216" t="e">
        <f>+G85/G116</f>
        <v>#DIV/0!</v>
      </c>
    </row>
    <row r="86" spans="1:8" x14ac:dyDescent="0.2">
      <c r="A86" s="213">
        <v>1.7</v>
      </c>
      <c r="B86" s="214" t="s">
        <v>257</v>
      </c>
      <c r="C86" s="228">
        <f>+C87+C93+C110</f>
        <v>0</v>
      </c>
      <c r="D86" s="211" t="e">
        <f>+C86/C116</f>
        <v>#DIV/0!</v>
      </c>
      <c r="E86" s="213"/>
      <c r="F86" s="213" t="s">
        <v>506</v>
      </c>
      <c r="G86" s="215">
        <f>+BALANCE!H136/1000</f>
        <v>0</v>
      </c>
      <c r="H86" s="216" t="e">
        <f>+G86/G116</f>
        <v>#DIV/0!</v>
      </c>
    </row>
    <row r="87" spans="1:8" x14ac:dyDescent="0.2">
      <c r="A87" s="213"/>
      <c r="B87" s="217" t="s">
        <v>507</v>
      </c>
      <c r="C87" s="220">
        <f>+SUM(C88:C92)</f>
        <v>0</v>
      </c>
      <c r="D87" s="221" t="e">
        <f>+C87/C116</f>
        <v>#DIV/0!</v>
      </c>
      <c r="E87" s="213">
        <v>2.2000000000000002</v>
      </c>
      <c r="F87" s="214" t="s">
        <v>202</v>
      </c>
      <c r="G87" s="210">
        <f>+SUM(G88:G90)</f>
        <v>0</v>
      </c>
      <c r="H87" s="211" t="e">
        <f>+G87/G116</f>
        <v>#DIV/0!</v>
      </c>
    </row>
    <row r="88" spans="1:8" x14ac:dyDescent="0.2">
      <c r="A88" s="213"/>
      <c r="B88" s="213" t="s">
        <v>193</v>
      </c>
      <c r="C88" s="215">
        <f>+BALANCE!D188/1000</f>
        <v>0</v>
      </c>
      <c r="D88" s="216" t="e">
        <f>+C88/C116</f>
        <v>#DIV/0!</v>
      </c>
      <c r="E88" s="213"/>
      <c r="F88" s="213" t="s">
        <v>204</v>
      </c>
      <c r="G88" s="215">
        <f>+BALANCE!H138/1000</f>
        <v>0</v>
      </c>
      <c r="H88" s="216" t="e">
        <f>+G88/G116</f>
        <v>#DIV/0!</v>
      </c>
    </row>
    <row r="89" spans="1:8" x14ac:dyDescent="0.2">
      <c r="A89" s="213"/>
      <c r="B89" s="213" t="s">
        <v>498</v>
      </c>
      <c r="C89" s="215">
        <f>+BALANCE!D191/1000</f>
        <v>0</v>
      </c>
      <c r="D89" s="216" t="e">
        <f>+C89/C116</f>
        <v>#DIV/0!</v>
      </c>
      <c r="E89" s="213"/>
      <c r="F89" s="213" t="s">
        <v>206</v>
      </c>
      <c r="G89" s="215">
        <f>+BALANCE!H139/1000</f>
        <v>0</v>
      </c>
      <c r="H89" s="216" t="e">
        <f>+G89/G116</f>
        <v>#DIV/0!</v>
      </c>
    </row>
    <row r="90" spans="1:8" x14ac:dyDescent="0.2">
      <c r="A90" s="213"/>
      <c r="B90" s="213" t="s">
        <v>508</v>
      </c>
      <c r="C90" s="215">
        <f>+BALANCE!D194/1000</f>
        <v>0</v>
      </c>
      <c r="D90" s="216" t="e">
        <f>+C90/C116</f>
        <v>#DIV/0!</v>
      </c>
      <c r="E90" s="213"/>
      <c r="F90" s="213" t="s">
        <v>509</v>
      </c>
      <c r="G90" s="215">
        <f>+BALANCE!H140/1000</f>
        <v>0</v>
      </c>
      <c r="H90" s="216" t="e">
        <f>+G90/G116</f>
        <v>#DIV/0!</v>
      </c>
    </row>
    <row r="91" spans="1:8" x14ac:dyDescent="0.2">
      <c r="A91" s="213"/>
      <c r="B91" s="213" t="s">
        <v>510</v>
      </c>
      <c r="C91" s="215">
        <f>+BALANCE!D197/1000</f>
        <v>0</v>
      </c>
      <c r="D91" s="216" t="e">
        <f>+C91/C116</f>
        <v>#DIV/0!</v>
      </c>
      <c r="E91" s="213">
        <v>2.2999999999999998</v>
      </c>
      <c r="F91" s="214" t="s">
        <v>208</v>
      </c>
      <c r="G91" s="210">
        <f>+SUM(G92:G93)</f>
        <v>0</v>
      </c>
      <c r="H91" s="211" t="e">
        <f>+G91/G116</f>
        <v>#DIV/0!</v>
      </c>
    </row>
    <row r="92" spans="1:8" x14ac:dyDescent="0.2">
      <c r="A92" s="213"/>
      <c r="B92" s="213" t="s">
        <v>128</v>
      </c>
      <c r="C92" s="215">
        <f>+BALANCE!D200/1000</f>
        <v>0</v>
      </c>
      <c r="D92" s="216" t="e">
        <f>+C92/C116</f>
        <v>#DIV/0!</v>
      </c>
      <c r="E92" s="213"/>
      <c r="F92" s="213" t="s">
        <v>209</v>
      </c>
      <c r="G92" s="215">
        <f>+BALANCE!H142/1000</f>
        <v>0</v>
      </c>
      <c r="H92" s="216" t="e">
        <f>+G92/G116</f>
        <v>#DIV/0!</v>
      </c>
    </row>
    <row r="93" spans="1:8" x14ac:dyDescent="0.2">
      <c r="A93" s="213"/>
      <c r="B93" s="217" t="s">
        <v>511</v>
      </c>
      <c r="C93" s="220">
        <f>+C94-C109</f>
        <v>0</v>
      </c>
      <c r="D93" s="221" t="e">
        <f>+C93/C116</f>
        <v>#DIV/0!</v>
      </c>
      <c r="E93" s="213"/>
      <c r="F93" s="213" t="s">
        <v>211</v>
      </c>
      <c r="G93" s="215">
        <f>+BALANCE!H143/1000</f>
        <v>0</v>
      </c>
      <c r="H93" s="216" t="e">
        <f>+G93/G116</f>
        <v>#DIV/0!</v>
      </c>
    </row>
    <row r="94" spans="1:8" x14ac:dyDescent="0.2">
      <c r="A94" s="213"/>
      <c r="B94" s="217" t="s">
        <v>512</v>
      </c>
      <c r="C94" s="220">
        <f>+C95+C102</f>
        <v>0</v>
      </c>
      <c r="D94" s="221" t="e">
        <f>+C94/C116</f>
        <v>#DIV/0!</v>
      </c>
      <c r="E94" s="213">
        <v>2.4</v>
      </c>
      <c r="F94" s="214" t="s">
        <v>513</v>
      </c>
      <c r="G94" s="210">
        <f>+SUM(G95:G96)</f>
        <v>0</v>
      </c>
      <c r="H94" s="211" t="e">
        <f>+G94/G116</f>
        <v>#DIV/0!</v>
      </c>
    </row>
    <row r="95" spans="1:8" x14ac:dyDescent="0.2">
      <c r="A95" s="213"/>
      <c r="B95" s="213" t="s">
        <v>514</v>
      </c>
      <c r="C95" s="215">
        <f>+SUM(C96:C98)</f>
        <v>0</v>
      </c>
      <c r="D95" s="216" t="e">
        <f>+C95/C116</f>
        <v>#DIV/0!</v>
      </c>
      <c r="E95" s="213"/>
      <c r="F95" s="213" t="s">
        <v>515</v>
      </c>
      <c r="G95" s="215">
        <f>+BALANCE!H329/1000</f>
        <v>0</v>
      </c>
      <c r="H95" s="216" t="e">
        <f>+G95/G116</f>
        <v>#DIV/0!</v>
      </c>
    </row>
    <row r="96" spans="1:8" x14ac:dyDescent="0.2">
      <c r="A96" s="213"/>
      <c r="B96" s="213" t="s">
        <v>470</v>
      </c>
      <c r="C96" s="215">
        <f>+BALANCE!D205/1000</f>
        <v>0</v>
      </c>
      <c r="D96" s="216" t="e">
        <f>+C96/C116</f>
        <v>#DIV/0!</v>
      </c>
      <c r="E96" s="213"/>
      <c r="F96" s="213" t="s">
        <v>516</v>
      </c>
      <c r="G96" s="215">
        <f>+SUM(BALANCE!H147,-BALANCE!H148)/1000</f>
        <v>0</v>
      </c>
      <c r="H96" s="216" t="e">
        <f>+G96/G116</f>
        <v>#DIV/0!</v>
      </c>
    </row>
    <row r="97" spans="1:8" x14ac:dyDescent="0.2">
      <c r="A97" s="213"/>
      <c r="B97" s="213" t="s">
        <v>1164</v>
      </c>
      <c r="C97" s="215">
        <f>+BALANCE!D208/1000</f>
        <v>0</v>
      </c>
      <c r="D97" s="216" t="e">
        <f>+C97/C116</f>
        <v>#DIV/0!</v>
      </c>
      <c r="E97" s="236">
        <v>2.5</v>
      </c>
      <c r="F97" s="214" t="s">
        <v>219</v>
      </c>
      <c r="G97" s="210">
        <f>+BALANCE!H149/1000</f>
        <v>0</v>
      </c>
      <c r="H97" s="211" t="e">
        <f>+G97/G116</f>
        <v>#DIV/0!</v>
      </c>
    </row>
    <row r="98" spans="1:8" x14ac:dyDescent="0.2">
      <c r="A98" s="213"/>
      <c r="B98" s="224" t="s">
        <v>471</v>
      </c>
      <c r="C98" s="218">
        <f>+SUM(C99:C101)</f>
        <v>0</v>
      </c>
      <c r="D98" s="219" t="e">
        <f>+C98/C116</f>
        <v>#DIV/0!</v>
      </c>
      <c r="E98" s="232"/>
      <c r="F98" s="232"/>
      <c r="G98" s="233"/>
      <c r="H98" s="237"/>
    </row>
    <row r="99" spans="1:8" x14ac:dyDescent="0.2">
      <c r="A99" s="213"/>
      <c r="B99" s="213" t="s">
        <v>473</v>
      </c>
      <c r="C99" s="215">
        <f>+BALANCE!D212/1000</f>
        <v>0</v>
      </c>
      <c r="D99" s="216" t="e">
        <f>+C99/C116</f>
        <v>#DIV/0!</v>
      </c>
      <c r="E99" s="240"/>
      <c r="F99" s="240"/>
      <c r="G99" s="242"/>
      <c r="H99" s="238"/>
    </row>
    <row r="100" spans="1:8" ht="15" x14ac:dyDescent="0.2">
      <c r="A100" s="213"/>
      <c r="B100" s="213" t="s">
        <v>474</v>
      </c>
      <c r="C100" s="215">
        <f>+BALANCE!D215/1000</f>
        <v>0</v>
      </c>
      <c r="D100" s="216" t="e">
        <f>+C100/C116</f>
        <v>#DIV/0!</v>
      </c>
      <c r="E100" s="241"/>
      <c r="F100" s="240"/>
      <c r="G100" s="242"/>
      <c r="H100" s="238"/>
    </row>
    <row r="101" spans="1:8" x14ac:dyDescent="0.2">
      <c r="A101" s="213"/>
      <c r="B101" s="213" t="s">
        <v>476</v>
      </c>
      <c r="C101" s="215">
        <f>+BALANCE!D218/1000</f>
        <v>0</v>
      </c>
      <c r="D101" s="216" t="e">
        <f>+C101/C116</f>
        <v>#DIV/0!</v>
      </c>
      <c r="E101" s="240"/>
      <c r="F101" s="240"/>
      <c r="G101" s="242"/>
      <c r="H101" s="238"/>
    </row>
    <row r="102" spans="1:8" x14ac:dyDescent="0.2">
      <c r="A102" s="213"/>
      <c r="B102" s="213" t="s">
        <v>517</v>
      </c>
      <c r="C102" s="215">
        <f>+SUM(C103:C105)</f>
        <v>0</v>
      </c>
      <c r="D102" s="216" t="e">
        <f>+C102/C116</f>
        <v>#DIV/0!</v>
      </c>
      <c r="E102" s="240"/>
      <c r="F102" s="240"/>
      <c r="G102" s="242"/>
      <c r="H102" s="238"/>
    </row>
    <row r="103" spans="1:8" x14ac:dyDescent="0.2">
      <c r="A103" s="213"/>
      <c r="B103" s="213" t="s">
        <v>470</v>
      </c>
      <c r="C103" s="215">
        <f>+BALANCE!D206/1000</f>
        <v>0</v>
      </c>
      <c r="D103" s="216" t="e">
        <f>+C103/C116</f>
        <v>#DIV/0!</v>
      </c>
      <c r="E103" s="240"/>
      <c r="F103" s="240"/>
      <c r="G103" s="242"/>
      <c r="H103" s="238"/>
    </row>
    <row r="104" spans="1:8" x14ac:dyDescent="0.2">
      <c r="A104" s="213"/>
      <c r="B104" s="213" t="s">
        <v>1164</v>
      </c>
      <c r="C104" s="215">
        <f>+BALANCE!D209/1000</f>
        <v>0</v>
      </c>
      <c r="D104" s="216" t="e">
        <f>+C104/C116</f>
        <v>#DIV/0!</v>
      </c>
      <c r="E104" s="240"/>
      <c r="F104" s="240"/>
      <c r="G104" s="242"/>
      <c r="H104" s="238"/>
    </row>
    <row r="105" spans="1:8" x14ac:dyDescent="0.2">
      <c r="A105" s="213"/>
      <c r="B105" s="224" t="s">
        <v>518</v>
      </c>
      <c r="C105" s="218">
        <f>+SUM(C106:C108)</f>
        <v>0</v>
      </c>
      <c r="D105" s="219" t="e">
        <f>+C105/C116</f>
        <v>#DIV/0!</v>
      </c>
      <c r="E105" s="240"/>
      <c r="F105" s="240"/>
      <c r="G105" s="242"/>
      <c r="H105" s="238"/>
    </row>
    <row r="106" spans="1:8" x14ac:dyDescent="0.2">
      <c r="A106" s="213"/>
      <c r="B106" s="213" t="s">
        <v>473</v>
      </c>
      <c r="C106" s="215">
        <f>+BALANCE!D213/1000</f>
        <v>0</v>
      </c>
      <c r="D106" s="216" t="e">
        <f>+C106/C116</f>
        <v>#DIV/0!</v>
      </c>
      <c r="E106" s="240"/>
      <c r="F106" s="240"/>
      <c r="G106" s="242"/>
      <c r="H106" s="238"/>
    </row>
    <row r="107" spans="1:8" x14ac:dyDescent="0.2">
      <c r="A107" s="213"/>
      <c r="B107" s="213" t="s">
        <v>474</v>
      </c>
      <c r="C107" s="215">
        <f>+BALANCE!D216/1000</f>
        <v>0</v>
      </c>
      <c r="D107" s="216" t="e">
        <f>+C107/C116</f>
        <v>#DIV/0!</v>
      </c>
      <c r="E107" s="240"/>
      <c r="F107" s="240"/>
      <c r="G107" s="242"/>
      <c r="H107" s="238"/>
    </row>
    <row r="108" spans="1:8" x14ac:dyDescent="0.2">
      <c r="A108" s="213"/>
      <c r="B108" s="213" t="s">
        <v>476</v>
      </c>
      <c r="C108" s="215">
        <f>+BALANCE!D219/1000</f>
        <v>0</v>
      </c>
      <c r="D108" s="216" t="e">
        <f>+C108/C116</f>
        <v>#DIV/0!</v>
      </c>
      <c r="E108" s="240"/>
      <c r="F108" s="240"/>
      <c r="G108" s="242"/>
      <c r="H108" s="238"/>
    </row>
    <row r="109" spans="1:8" x14ac:dyDescent="0.2">
      <c r="A109" s="213"/>
      <c r="B109" s="227" t="s">
        <v>519</v>
      </c>
      <c r="C109" s="215">
        <f>+BALANCE!D220/1000</f>
        <v>0</v>
      </c>
      <c r="D109" s="216" t="e">
        <f>+C109/C116</f>
        <v>#DIV/0!</v>
      </c>
      <c r="E109" s="240"/>
      <c r="F109" s="240"/>
      <c r="G109" s="242"/>
      <c r="H109" s="238"/>
    </row>
    <row r="110" spans="1:8" x14ac:dyDescent="0.2">
      <c r="A110" s="213"/>
      <c r="B110" s="217" t="s">
        <v>520</v>
      </c>
      <c r="C110" s="220">
        <f>+BALANCE!D222/1000</f>
        <v>0</v>
      </c>
      <c r="D110" s="221" t="e">
        <f>+C110/C116</f>
        <v>#DIV/0!</v>
      </c>
      <c r="E110" s="240"/>
      <c r="F110" s="240"/>
      <c r="G110" s="242"/>
      <c r="H110" s="238"/>
    </row>
    <row r="111" spans="1:8" x14ac:dyDescent="0.2">
      <c r="A111" s="213">
        <v>1.8</v>
      </c>
      <c r="B111" s="214" t="s">
        <v>521</v>
      </c>
      <c r="C111" s="210">
        <f>+BALANCE!D230/1000</f>
        <v>0</v>
      </c>
      <c r="D111" s="211" t="e">
        <f>+C111/C116</f>
        <v>#DIV/0!</v>
      </c>
      <c r="E111" s="240"/>
      <c r="F111" s="240"/>
      <c r="G111" s="242"/>
      <c r="H111" s="238"/>
    </row>
    <row r="112" spans="1:8" x14ac:dyDescent="0.2">
      <c r="A112" s="825" t="s">
        <v>522</v>
      </c>
      <c r="B112" s="825"/>
      <c r="C112" s="210">
        <f>+C113</f>
        <v>0</v>
      </c>
      <c r="D112" s="211" t="e">
        <f>+C112/C116</f>
        <v>#DIV/0!</v>
      </c>
      <c r="E112" s="240"/>
      <c r="F112" s="240"/>
      <c r="G112" s="242"/>
      <c r="H112" s="238"/>
    </row>
    <row r="113" spans="1:8" x14ac:dyDescent="0.2">
      <c r="A113" s="213">
        <v>2.1</v>
      </c>
      <c r="B113" s="214" t="s">
        <v>523</v>
      </c>
      <c r="C113" s="210">
        <f>+C114-C115</f>
        <v>0</v>
      </c>
      <c r="D113" s="211" t="e">
        <f>+C113/C116</f>
        <v>#DIV/0!</v>
      </c>
      <c r="E113" s="240"/>
      <c r="F113" s="240"/>
      <c r="G113" s="242"/>
      <c r="H113" s="238"/>
    </row>
    <row r="114" spans="1:8" x14ac:dyDescent="0.2">
      <c r="A114" s="213"/>
      <c r="B114" s="213" t="s">
        <v>524</v>
      </c>
      <c r="C114" s="215">
        <f>BALANCE!D243/1000</f>
        <v>0</v>
      </c>
      <c r="D114" s="216" t="e">
        <f>+C114/C116</f>
        <v>#DIV/0!</v>
      </c>
      <c r="E114" s="240"/>
      <c r="F114" s="240"/>
      <c r="G114" s="242"/>
      <c r="H114" s="238"/>
    </row>
    <row r="115" spans="1:8" x14ac:dyDescent="0.2">
      <c r="A115" s="213"/>
      <c r="B115" s="227" t="s">
        <v>525</v>
      </c>
      <c r="C115" s="215">
        <f>+BALANCE!D249/1000</f>
        <v>0</v>
      </c>
      <c r="D115" s="216" t="e">
        <f>+C115/C116</f>
        <v>#DIV/0!</v>
      </c>
      <c r="E115" s="234"/>
      <c r="F115" s="234"/>
      <c r="G115" s="235"/>
      <c r="H115" s="239"/>
    </row>
    <row r="116" spans="1:8" x14ac:dyDescent="0.2">
      <c r="A116" s="826" t="s">
        <v>526</v>
      </c>
      <c r="B116" s="826"/>
      <c r="C116" s="210">
        <f>+C9+C112</f>
        <v>0</v>
      </c>
      <c r="D116" s="211" t="e">
        <f>+C116/C116</f>
        <v>#DIV/0!</v>
      </c>
      <c r="E116" s="826" t="s">
        <v>527</v>
      </c>
      <c r="F116" s="826"/>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36</v>
      </c>
      <c r="C119" s="12"/>
      <c r="D119" s="65"/>
      <c r="E119" s="13"/>
      <c r="F119" s="14"/>
    </row>
    <row r="120" spans="1:8" x14ac:dyDescent="0.2">
      <c r="C120" s="12"/>
      <c r="D120" s="65"/>
      <c r="E120" s="13"/>
      <c r="F120" s="14"/>
    </row>
    <row r="121" spans="1:8" ht="15" customHeight="1" x14ac:dyDescent="0.2">
      <c r="C121" s="17" t="s">
        <v>437</v>
      </c>
      <c r="D121" s="68"/>
      <c r="E121" s="17"/>
    </row>
    <row r="122" spans="1:8" x14ac:dyDescent="0.2">
      <c r="B122" s="15"/>
      <c r="C122" s="12"/>
      <c r="D122" s="65"/>
      <c r="E122" s="13"/>
      <c r="F122" s="14"/>
    </row>
    <row r="123" spans="1:8" ht="15" customHeight="1" x14ac:dyDescent="0.2">
      <c r="B123" s="15"/>
      <c r="C123" s="750" t="str">
        <f>+BALANCE!D361</f>
        <v>ГҮЙЦЭТГЭХ ЗАХИРАЛ.................................................................//</v>
      </c>
      <c r="D123" s="750"/>
      <c r="E123" s="750"/>
      <c r="F123" s="750"/>
    </row>
    <row r="124" spans="1:8" ht="15" customHeight="1" x14ac:dyDescent="0.2">
      <c r="B124" s="15"/>
      <c r="C124" s="69"/>
      <c r="D124" s="69"/>
      <c r="E124" s="69"/>
      <c r="F124" s="69"/>
    </row>
    <row r="125" spans="1:8" ht="15" customHeight="1" x14ac:dyDescent="0.2">
      <c r="B125" s="15"/>
      <c r="C125" s="750" t="str">
        <f>+BALANCE!D363</f>
        <v>ЕРӨНХИЙ НЯГТЛАН БОДОГЧ....................................................//</v>
      </c>
      <c r="D125" s="750"/>
      <c r="E125" s="750"/>
      <c r="F125" s="750"/>
    </row>
    <row r="126" spans="1:8" ht="15" customHeight="1" x14ac:dyDescent="0.2">
      <c r="B126" s="15"/>
      <c r="C126" s="69"/>
      <c r="D126" s="69"/>
      <c r="E126" s="69"/>
      <c r="F126" s="69"/>
    </row>
    <row r="127" spans="1:8" ht="15" customHeight="1" x14ac:dyDescent="0.2">
      <c r="B127" s="15"/>
      <c r="C127" s="750">
        <f>+BALANCE!D365</f>
        <v>0</v>
      </c>
      <c r="D127" s="750"/>
      <c r="E127" s="750"/>
      <c r="F127" s="750"/>
    </row>
  </sheetData>
  <sheetProtection password="CA9F"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8" t="s">
        <v>528</v>
      </c>
      <c r="B2" s="768"/>
      <c r="C2" s="768"/>
      <c r="D2" s="768"/>
      <c r="E2" s="768"/>
      <c r="F2" s="768"/>
    </row>
    <row r="3" spans="1:6" x14ac:dyDescent="0.2">
      <c r="A3" s="769" t="str">
        <f>+BALANCE!A3</f>
        <v>БАНК БУС САНХҮҮГИЙН БАЙГУУЛЛАГЫН НЭР</v>
      </c>
      <c r="B3" s="769"/>
      <c r="C3" s="769"/>
      <c r="D3" s="769"/>
      <c r="E3" s="769"/>
      <c r="F3" s="769"/>
    </row>
    <row r="4" spans="1:6" x14ac:dyDescent="0.2">
      <c r="A4" s="768" t="str">
        <f>+BALANCE!A4</f>
        <v>БАНК БУС САНХҮҮГИЙН БАЙГУУЛЛАГА</v>
      </c>
      <c r="B4" s="768"/>
      <c r="C4" s="768"/>
      <c r="D4" s="768"/>
      <c r="E4" s="768"/>
      <c r="F4" s="768"/>
    </row>
    <row r="5" spans="1:6" ht="12.75" customHeight="1" x14ac:dyDescent="0.2">
      <c r="A5" s="846">
        <f>+BALANCE!A6</f>
        <v>44742</v>
      </c>
      <c r="B5" s="846"/>
      <c r="C5" s="846"/>
      <c r="D5" s="847" t="s">
        <v>439</v>
      </c>
      <c r="E5" s="847"/>
      <c r="F5" s="847"/>
    </row>
    <row r="6" spans="1:6" ht="15" customHeight="1" x14ac:dyDescent="0.2">
      <c r="A6" s="842" t="s">
        <v>529</v>
      </c>
      <c r="B6" s="842"/>
      <c r="C6" s="842"/>
      <c r="D6" s="843" t="s">
        <v>47</v>
      </c>
      <c r="E6" s="844">
        <f>BALANCE!D7</f>
        <v>0</v>
      </c>
      <c r="F6" s="845" t="s">
        <v>530</v>
      </c>
    </row>
    <row r="7" spans="1:6" x14ac:dyDescent="0.2">
      <c r="A7" s="842"/>
      <c r="B7" s="842"/>
      <c r="C7" s="842"/>
      <c r="D7" s="843"/>
      <c r="E7" s="844"/>
      <c r="F7" s="845"/>
    </row>
    <row r="8" spans="1:6" ht="15" customHeight="1" x14ac:dyDescent="0.2">
      <c r="A8" s="507" t="s">
        <v>5</v>
      </c>
      <c r="B8" s="841" t="s">
        <v>531</v>
      </c>
      <c r="C8" s="841"/>
      <c r="D8" s="841"/>
      <c r="E8" s="484">
        <f>+SUM(E9,E17,E25,E31)</f>
        <v>0</v>
      </c>
      <c r="F8" s="485" t="e">
        <f>+E8/E138</f>
        <v>#DIV/0!</v>
      </c>
    </row>
    <row r="9" spans="1:6" ht="15.75" customHeight="1" x14ac:dyDescent="0.2">
      <c r="A9" s="486"/>
      <c r="B9" s="487">
        <v>1.1000000000000001</v>
      </c>
      <c r="C9" s="838" t="s">
        <v>532</v>
      </c>
      <c r="D9" s="838"/>
      <c r="E9" s="488">
        <f>+SUM(E10:E16)</f>
        <v>0</v>
      </c>
      <c r="F9" s="489" t="e">
        <f>+E9/E138</f>
        <v>#DIV/0!</v>
      </c>
    </row>
    <row r="10" spans="1:6" x14ac:dyDescent="0.2">
      <c r="A10" s="486"/>
      <c r="B10" s="490" t="s">
        <v>533</v>
      </c>
      <c r="C10" s="491" t="s">
        <v>116</v>
      </c>
      <c r="D10" s="492">
        <v>4101</v>
      </c>
      <c r="E10" s="493">
        <f>+BALANCE!H155/1000</f>
        <v>0</v>
      </c>
      <c r="F10" s="494" t="e">
        <f>+E10/E138</f>
        <v>#DIV/0!</v>
      </c>
    </row>
    <row r="11" spans="1:6" x14ac:dyDescent="0.2">
      <c r="A11" s="486"/>
      <c r="B11" s="490" t="s">
        <v>534</v>
      </c>
      <c r="C11" s="491" t="s">
        <v>118</v>
      </c>
      <c r="D11" s="492">
        <v>4102</v>
      </c>
      <c r="E11" s="493">
        <f>+BALANCE!H156/1000</f>
        <v>0</v>
      </c>
      <c r="F11" s="494" t="e">
        <f>+E11/E138</f>
        <v>#DIV/0!</v>
      </c>
    </row>
    <row r="12" spans="1:6" x14ac:dyDescent="0.2">
      <c r="A12" s="486"/>
      <c r="B12" s="490" t="s">
        <v>535</v>
      </c>
      <c r="C12" s="491" t="s">
        <v>230</v>
      </c>
      <c r="D12" s="492">
        <v>4103</v>
      </c>
      <c r="E12" s="493">
        <f>+BALANCE!H157/1000</f>
        <v>0</v>
      </c>
      <c r="F12" s="494" t="e">
        <f>+E12/E138</f>
        <v>#DIV/0!</v>
      </c>
    </row>
    <row r="13" spans="1:6" x14ac:dyDescent="0.2">
      <c r="A13" s="486"/>
      <c r="B13" s="490" t="s">
        <v>536</v>
      </c>
      <c r="C13" s="491" t="s">
        <v>120</v>
      </c>
      <c r="D13" s="492">
        <v>4104</v>
      </c>
      <c r="E13" s="493">
        <f>+BALANCE!H158/1000</f>
        <v>0</v>
      </c>
      <c r="F13" s="494" t="e">
        <f>+E13/E138</f>
        <v>#DIV/0!</v>
      </c>
    </row>
    <row r="14" spans="1:6" x14ac:dyDescent="0.2">
      <c r="A14" s="486"/>
      <c r="B14" s="490" t="s">
        <v>537</v>
      </c>
      <c r="C14" s="491" t="s">
        <v>538</v>
      </c>
      <c r="D14" s="492">
        <v>4105</v>
      </c>
      <c r="E14" s="493">
        <f>+BALANCE!H159/1000</f>
        <v>0</v>
      </c>
      <c r="F14" s="494" t="e">
        <f>+E14/E138</f>
        <v>#DIV/0!</v>
      </c>
    </row>
    <row r="15" spans="1:6" x14ac:dyDescent="0.2">
      <c r="A15" s="486"/>
      <c r="B15" s="490" t="s">
        <v>539</v>
      </c>
      <c r="C15" s="491" t="s">
        <v>126</v>
      </c>
      <c r="D15" s="492">
        <v>4106</v>
      </c>
      <c r="E15" s="493">
        <f>+BALANCE!H160/1000</f>
        <v>0</v>
      </c>
      <c r="F15" s="494" t="e">
        <f>+E15/E138</f>
        <v>#DIV/0!</v>
      </c>
    </row>
    <row r="16" spans="1:6" x14ac:dyDescent="0.2">
      <c r="A16" s="486"/>
      <c r="B16" s="490" t="s">
        <v>540</v>
      </c>
      <c r="C16" s="491" t="s">
        <v>128</v>
      </c>
      <c r="D16" s="492">
        <v>4107</v>
      </c>
      <c r="E16" s="493">
        <f>+BALANCE!H161/1000</f>
        <v>0</v>
      </c>
      <c r="F16" s="494" t="e">
        <f>+E16/E138</f>
        <v>#DIV/0!</v>
      </c>
    </row>
    <row r="17" spans="1:6" x14ac:dyDescent="0.2">
      <c r="A17" s="486"/>
      <c r="B17" s="487">
        <v>1.2</v>
      </c>
      <c r="C17" s="837" t="s">
        <v>541</v>
      </c>
      <c r="D17" s="837"/>
      <c r="E17" s="488">
        <f>+SUM(E18:E24)</f>
        <v>0</v>
      </c>
      <c r="F17" s="489" t="e">
        <f>+E17/E138</f>
        <v>#DIV/0!</v>
      </c>
    </row>
    <row r="18" spans="1:6" x14ac:dyDescent="0.2">
      <c r="A18" s="486"/>
      <c r="B18" s="490" t="s">
        <v>542</v>
      </c>
      <c r="C18" s="491" t="s">
        <v>116</v>
      </c>
      <c r="D18" s="492">
        <v>4111</v>
      </c>
      <c r="E18" s="493">
        <f>+BALANCE!H163/1000</f>
        <v>0</v>
      </c>
      <c r="F18" s="494" t="e">
        <f>+E18/E138</f>
        <v>#DIV/0!</v>
      </c>
    </row>
    <row r="19" spans="1:6" x14ac:dyDescent="0.2">
      <c r="A19" s="486"/>
      <c r="B19" s="490" t="s">
        <v>543</v>
      </c>
      <c r="C19" s="491" t="s">
        <v>118</v>
      </c>
      <c r="D19" s="492">
        <v>4112</v>
      </c>
      <c r="E19" s="493">
        <f>+BALANCE!H164/1000</f>
        <v>0</v>
      </c>
      <c r="F19" s="494" t="e">
        <f>+E19/E138</f>
        <v>#DIV/0!</v>
      </c>
    </row>
    <row r="20" spans="1:6" x14ac:dyDescent="0.2">
      <c r="A20" s="486"/>
      <c r="B20" s="490" t="s">
        <v>544</v>
      </c>
      <c r="C20" s="491" t="s">
        <v>230</v>
      </c>
      <c r="D20" s="492">
        <v>4113</v>
      </c>
      <c r="E20" s="493">
        <f>+BALANCE!H165/1000</f>
        <v>0</v>
      </c>
      <c r="F20" s="494" t="e">
        <f>+E20/E138</f>
        <v>#DIV/0!</v>
      </c>
    </row>
    <row r="21" spans="1:6" x14ac:dyDescent="0.2">
      <c r="A21" s="486"/>
      <c r="B21" s="490" t="s">
        <v>545</v>
      </c>
      <c r="C21" s="491" t="s">
        <v>120</v>
      </c>
      <c r="D21" s="495">
        <v>4114</v>
      </c>
      <c r="E21" s="493">
        <f>+BALANCE!H166/1000</f>
        <v>0</v>
      </c>
      <c r="F21" s="494" t="e">
        <f>+E21/E138</f>
        <v>#DIV/0!</v>
      </c>
    </row>
    <row r="22" spans="1:6" x14ac:dyDescent="0.2">
      <c r="A22" s="486"/>
      <c r="B22" s="490" t="s">
        <v>546</v>
      </c>
      <c r="C22" s="491" t="s">
        <v>124</v>
      </c>
      <c r="D22" s="495">
        <v>4115</v>
      </c>
      <c r="E22" s="493">
        <f>+BALANCE!H167/1000</f>
        <v>0</v>
      </c>
      <c r="F22" s="494" t="e">
        <f>+E22/E138</f>
        <v>#DIV/0!</v>
      </c>
    </row>
    <row r="23" spans="1:6" x14ac:dyDescent="0.2">
      <c r="A23" s="486"/>
      <c r="B23" s="490" t="s">
        <v>547</v>
      </c>
      <c r="C23" s="491" t="s">
        <v>126</v>
      </c>
      <c r="D23" s="495">
        <v>4116</v>
      </c>
      <c r="E23" s="493">
        <f>+BALANCE!H168/1000</f>
        <v>0</v>
      </c>
      <c r="F23" s="494" t="e">
        <f>+E23/E138</f>
        <v>#DIV/0!</v>
      </c>
    </row>
    <row r="24" spans="1:6" x14ac:dyDescent="0.2">
      <c r="A24" s="486"/>
      <c r="B24" s="490" t="s">
        <v>548</v>
      </c>
      <c r="C24" s="491" t="s">
        <v>128</v>
      </c>
      <c r="D24" s="495">
        <v>4117</v>
      </c>
      <c r="E24" s="493">
        <f>+BALANCE!H169/1000</f>
        <v>0</v>
      </c>
      <c r="F24" s="494" t="e">
        <f>+E24/E138</f>
        <v>#DIV/0!</v>
      </c>
    </row>
    <row r="25" spans="1:6" x14ac:dyDescent="0.2">
      <c r="A25" s="486"/>
      <c r="B25" s="487">
        <v>1.3</v>
      </c>
      <c r="C25" s="838" t="s">
        <v>549</v>
      </c>
      <c r="D25" s="838"/>
      <c r="E25" s="488">
        <f>+SUM(E26:E30)</f>
        <v>0</v>
      </c>
      <c r="F25" s="489" t="e">
        <f>+E25/E138</f>
        <v>#DIV/0!</v>
      </c>
    </row>
    <row r="26" spans="1:6" x14ac:dyDescent="0.2">
      <c r="A26" s="486"/>
      <c r="B26" s="490" t="s">
        <v>550</v>
      </c>
      <c r="C26" s="491" t="s">
        <v>96</v>
      </c>
      <c r="D26" s="495">
        <v>4201</v>
      </c>
      <c r="E26" s="493">
        <f>+BALANCE!H171/1000</f>
        <v>0</v>
      </c>
      <c r="F26" s="494" t="e">
        <f>+E26/E138</f>
        <v>#DIV/0!</v>
      </c>
    </row>
    <row r="27" spans="1:6" x14ac:dyDescent="0.2">
      <c r="A27" s="486"/>
      <c r="B27" s="490" t="s">
        <v>551</v>
      </c>
      <c r="C27" s="491" t="s">
        <v>97</v>
      </c>
      <c r="D27" s="495">
        <v>4202</v>
      </c>
      <c r="E27" s="493">
        <f>+BALANCE!H172/1000</f>
        <v>0</v>
      </c>
      <c r="F27" s="494" t="e">
        <f>+E27/E138</f>
        <v>#DIV/0!</v>
      </c>
    </row>
    <row r="28" spans="1:6" x14ac:dyDescent="0.2">
      <c r="A28" s="486"/>
      <c r="B28" s="490" t="s">
        <v>552</v>
      </c>
      <c r="C28" s="491" t="s">
        <v>99</v>
      </c>
      <c r="D28" s="495">
        <v>4203</v>
      </c>
      <c r="E28" s="493">
        <f>+BALANCE!H173/1000</f>
        <v>0</v>
      </c>
      <c r="F28" s="494" t="e">
        <f>+E28/E138</f>
        <v>#DIV/0!</v>
      </c>
    </row>
    <row r="29" spans="1:6" x14ac:dyDescent="0.2">
      <c r="A29" s="486"/>
      <c r="B29" s="490" t="s">
        <v>553</v>
      </c>
      <c r="C29" s="491" t="s">
        <v>101</v>
      </c>
      <c r="D29" s="495">
        <v>4204</v>
      </c>
      <c r="E29" s="493">
        <f>+BALANCE!H174/1000</f>
        <v>0</v>
      </c>
      <c r="F29" s="494" t="e">
        <f>+E29/E138</f>
        <v>#DIV/0!</v>
      </c>
    </row>
    <row r="30" spans="1:6" x14ac:dyDescent="0.2">
      <c r="A30" s="486"/>
      <c r="B30" s="490" t="s">
        <v>554</v>
      </c>
      <c r="C30" s="491" t="s">
        <v>102</v>
      </c>
      <c r="D30" s="492">
        <v>4205</v>
      </c>
      <c r="E30" s="493">
        <f>+BALANCE!H175/1000</f>
        <v>0</v>
      </c>
      <c r="F30" s="494" t="e">
        <f>+E30/E138</f>
        <v>#DIV/0!</v>
      </c>
    </row>
    <row r="31" spans="1:6" ht="15" customHeight="1" x14ac:dyDescent="0.2">
      <c r="A31" s="486"/>
      <c r="B31" s="487">
        <v>1.4</v>
      </c>
      <c r="C31" s="838" t="s">
        <v>555</v>
      </c>
      <c r="D31" s="838"/>
      <c r="E31" s="496">
        <f>+SUM(E32:E37)-E38</f>
        <v>0</v>
      </c>
      <c r="F31" s="489" t="e">
        <f>+E31/E138</f>
        <v>#DIV/0!</v>
      </c>
    </row>
    <row r="32" spans="1:6" x14ac:dyDescent="0.2">
      <c r="A32" s="486"/>
      <c r="B32" s="490" t="s">
        <v>556</v>
      </c>
      <c r="C32" s="491" t="s">
        <v>243</v>
      </c>
      <c r="D32" s="492">
        <v>4301</v>
      </c>
      <c r="E32" s="493">
        <f>+BALANCE!H177/1000</f>
        <v>0</v>
      </c>
      <c r="F32" s="494" t="e">
        <f>+E32/E138</f>
        <v>#DIV/0!</v>
      </c>
    </row>
    <row r="33" spans="1:6" x14ac:dyDescent="0.2">
      <c r="A33" s="490"/>
      <c r="B33" s="490" t="s">
        <v>557</v>
      </c>
      <c r="C33" s="497" t="s">
        <v>558</v>
      </c>
      <c r="D33" s="492">
        <v>4302</v>
      </c>
      <c r="E33" s="493">
        <f>+BALANCE!H178/1000</f>
        <v>0</v>
      </c>
      <c r="F33" s="494" t="e">
        <f>+E33/E138</f>
        <v>#DIV/0!</v>
      </c>
    </row>
    <row r="34" spans="1:6" x14ac:dyDescent="0.2">
      <c r="A34" s="490"/>
      <c r="B34" s="490" t="s">
        <v>559</v>
      </c>
      <c r="C34" s="491" t="s">
        <v>247</v>
      </c>
      <c r="D34" s="492">
        <v>4311</v>
      </c>
      <c r="E34" s="493">
        <f>+BALANCE!H179/1000</f>
        <v>0</v>
      </c>
      <c r="F34" s="494" t="e">
        <f>+E34/E138</f>
        <v>#DIV/0!</v>
      </c>
    </row>
    <row r="35" spans="1:6" x14ac:dyDescent="0.2">
      <c r="A35" s="490"/>
      <c r="B35" s="490" t="s">
        <v>560</v>
      </c>
      <c r="C35" s="497" t="s">
        <v>561</v>
      </c>
      <c r="D35" s="492">
        <v>4312</v>
      </c>
      <c r="E35" s="493">
        <f>+BALANCE!H180/1000</f>
        <v>0</v>
      </c>
      <c r="F35" s="494" t="e">
        <f>+E35/E138</f>
        <v>#DIV/0!</v>
      </c>
    </row>
    <row r="36" spans="1:6" x14ac:dyDescent="0.2">
      <c r="A36" s="490"/>
      <c r="B36" s="490" t="s">
        <v>562</v>
      </c>
      <c r="C36" s="491" t="s">
        <v>563</v>
      </c>
      <c r="D36" s="492">
        <v>4321</v>
      </c>
      <c r="E36" s="493">
        <f>+BALANCE!H181/1000</f>
        <v>0</v>
      </c>
      <c r="F36" s="494" t="e">
        <f>+E36/E138</f>
        <v>#DIV/0!</v>
      </c>
    </row>
    <row r="37" spans="1:6" x14ac:dyDescent="0.2">
      <c r="A37" s="490"/>
      <c r="B37" s="490" t="s">
        <v>564</v>
      </c>
      <c r="C37" s="491" t="s">
        <v>565</v>
      </c>
      <c r="D37" s="492">
        <v>4322</v>
      </c>
      <c r="E37" s="493">
        <f>+BALANCE!H182/1000</f>
        <v>0</v>
      </c>
      <c r="F37" s="494" t="e">
        <f>+E37/E138</f>
        <v>#DIV/0!</v>
      </c>
    </row>
    <row r="38" spans="1:6" x14ac:dyDescent="0.2">
      <c r="A38" s="490"/>
      <c r="B38" s="490" t="s">
        <v>566</v>
      </c>
      <c r="C38" s="498" t="s">
        <v>567</v>
      </c>
      <c r="D38" s="499">
        <v>4323</v>
      </c>
      <c r="E38" s="500">
        <f>+BALANCE!H183/1000</f>
        <v>0</v>
      </c>
      <c r="F38" s="494" t="e">
        <f>+E38/E138</f>
        <v>#DIV/0!</v>
      </c>
    </row>
    <row r="39" spans="1:6" ht="15.75" customHeight="1" x14ac:dyDescent="0.2">
      <c r="A39" s="507" t="s">
        <v>27</v>
      </c>
      <c r="B39" s="839" t="s">
        <v>568</v>
      </c>
      <c r="C39" s="839"/>
      <c r="D39" s="839"/>
      <c r="E39" s="484">
        <f>+SUM(E40,E41,E42,E43)-E44</f>
        <v>0</v>
      </c>
      <c r="F39" s="485" t="e">
        <f>+E39/E139</f>
        <v>#DIV/0!</v>
      </c>
    </row>
    <row r="40" spans="1:6" x14ac:dyDescent="0.2">
      <c r="A40" s="490"/>
      <c r="B40" s="490">
        <v>2.1</v>
      </c>
      <c r="C40" s="491" t="s">
        <v>569</v>
      </c>
      <c r="D40" s="492">
        <v>5101</v>
      </c>
      <c r="E40" s="493">
        <f>+BALANCE!D256/1000</f>
        <v>0</v>
      </c>
      <c r="F40" s="494" t="e">
        <f>+E40/E139</f>
        <v>#DIV/0!</v>
      </c>
    </row>
    <row r="41" spans="1:6" x14ac:dyDescent="0.2">
      <c r="A41" s="490"/>
      <c r="B41" s="490">
        <v>2.2000000000000002</v>
      </c>
      <c r="C41" s="491" t="s">
        <v>570</v>
      </c>
      <c r="D41" s="492">
        <v>5102</v>
      </c>
      <c r="E41" s="493">
        <f>+BALANCE!D257/1000</f>
        <v>0</v>
      </c>
      <c r="F41" s="494" t="e">
        <f>+E41/E139</f>
        <v>#DIV/0!</v>
      </c>
    </row>
    <row r="42" spans="1:6" x14ac:dyDescent="0.2">
      <c r="A42" s="490"/>
      <c r="B42" s="490">
        <v>2.2999999999999998</v>
      </c>
      <c r="C42" s="491" t="s">
        <v>336</v>
      </c>
      <c r="D42" s="492">
        <v>5103</v>
      </c>
      <c r="E42" s="493">
        <f>+BALANCE!D258/1000</f>
        <v>0</v>
      </c>
      <c r="F42" s="494" t="e">
        <f>+E42/E139</f>
        <v>#DIV/0!</v>
      </c>
    </row>
    <row r="43" spans="1:6" x14ac:dyDescent="0.2">
      <c r="A43" s="490"/>
      <c r="B43" s="490">
        <v>2.4</v>
      </c>
      <c r="C43" s="491" t="s">
        <v>337</v>
      </c>
      <c r="D43" s="492">
        <v>5104</v>
      </c>
      <c r="E43" s="493">
        <f>+BALANCE!D259/1000</f>
        <v>0</v>
      </c>
      <c r="F43" s="494" t="e">
        <f>+E43/E139</f>
        <v>#DIV/0!</v>
      </c>
    </row>
    <row r="44" spans="1:6" x14ac:dyDescent="0.2">
      <c r="A44" s="490"/>
      <c r="B44" s="490">
        <v>2.5</v>
      </c>
      <c r="C44" s="501" t="s">
        <v>571</v>
      </c>
      <c r="D44" s="502">
        <v>5105</v>
      </c>
      <c r="E44" s="500">
        <f>+BALANCE!D260/1000</f>
        <v>0</v>
      </c>
      <c r="F44" s="494" t="e">
        <f>+E44/E139</f>
        <v>#DIV/0!</v>
      </c>
    </row>
    <row r="45" spans="1:6" ht="15.75" customHeight="1" x14ac:dyDescent="0.2">
      <c r="A45" s="507" t="s">
        <v>572</v>
      </c>
      <c r="B45" s="839" t="s">
        <v>573</v>
      </c>
      <c r="C45" s="839"/>
      <c r="D45" s="839"/>
      <c r="E45" s="484">
        <f>+E8-E39</f>
        <v>0</v>
      </c>
      <c r="F45" s="485" t="e">
        <f>+E45/E138</f>
        <v>#DIV/0!</v>
      </c>
    </row>
    <row r="46" spans="1:6" ht="15.75" customHeight="1" x14ac:dyDescent="0.2">
      <c r="A46" s="507" t="s">
        <v>574</v>
      </c>
      <c r="B46" s="839" t="s">
        <v>575</v>
      </c>
      <c r="C46" s="839"/>
      <c r="D46" s="839"/>
      <c r="E46" s="484">
        <f>+SUM(E47,E50,E53)</f>
        <v>0</v>
      </c>
      <c r="F46" s="485" t="e">
        <f>+E46/E138</f>
        <v>#DIV/0!</v>
      </c>
    </row>
    <row r="47" spans="1:6" ht="15" customHeight="1" x14ac:dyDescent="0.2">
      <c r="A47" s="486"/>
      <c r="B47" s="487">
        <v>4.0999999999999996</v>
      </c>
      <c r="C47" s="837" t="s">
        <v>576</v>
      </c>
      <c r="D47" s="837"/>
      <c r="E47" s="488">
        <f>+SUM(E48:E49)</f>
        <v>0</v>
      </c>
      <c r="F47" s="489" t="e">
        <f>+E47/E138</f>
        <v>#DIV/0!</v>
      </c>
    </row>
    <row r="48" spans="1:6" x14ac:dyDescent="0.2">
      <c r="A48" s="486"/>
      <c r="B48" s="490" t="s">
        <v>577</v>
      </c>
      <c r="C48" s="491" t="s">
        <v>260</v>
      </c>
      <c r="D48" s="492">
        <v>4401</v>
      </c>
      <c r="E48" s="493">
        <f>+BALANCE!H187/1000</f>
        <v>0</v>
      </c>
      <c r="F48" s="494" t="e">
        <f>+E48/E138</f>
        <v>#DIV/0!</v>
      </c>
    </row>
    <row r="49" spans="1:6" x14ac:dyDescent="0.2">
      <c r="A49" s="486"/>
      <c r="B49" s="490" t="s">
        <v>578</v>
      </c>
      <c r="C49" s="491" t="s">
        <v>579</v>
      </c>
      <c r="D49" s="492">
        <v>4402</v>
      </c>
      <c r="E49" s="493">
        <f>+BALANCE!H188/1000</f>
        <v>0</v>
      </c>
      <c r="F49" s="494" t="e">
        <f>+E49/E138</f>
        <v>#DIV/0!</v>
      </c>
    </row>
    <row r="50" spans="1:6" x14ac:dyDescent="0.2">
      <c r="A50" s="486"/>
      <c r="B50" s="487">
        <v>4.2</v>
      </c>
      <c r="C50" s="837" t="s">
        <v>580</v>
      </c>
      <c r="D50" s="837"/>
      <c r="E50" s="488">
        <f>+SUM(E51:E52)</f>
        <v>0</v>
      </c>
      <c r="F50" s="489" t="e">
        <f>+E50/E138</f>
        <v>#DIV/0!</v>
      </c>
    </row>
    <row r="51" spans="1:6" x14ac:dyDescent="0.2">
      <c r="A51" s="486"/>
      <c r="B51" s="490" t="s">
        <v>581</v>
      </c>
      <c r="C51" s="491" t="s">
        <v>266</v>
      </c>
      <c r="D51" s="492">
        <v>4411</v>
      </c>
      <c r="E51" s="493">
        <f>+BALANCE!H190/1000</f>
        <v>0</v>
      </c>
      <c r="F51" s="494" t="e">
        <f>+E51/E138</f>
        <v>#DIV/0!</v>
      </c>
    </row>
    <row r="52" spans="1:6" x14ac:dyDescent="0.2">
      <c r="A52" s="486"/>
      <c r="B52" s="490" t="s">
        <v>582</v>
      </c>
      <c r="C52" s="491" t="s">
        <v>268</v>
      </c>
      <c r="D52" s="492">
        <v>4412</v>
      </c>
      <c r="E52" s="493">
        <f>+BALANCE!H191/1000</f>
        <v>0</v>
      </c>
      <c r="F52" s="494" t="e">
        <f>+E52/E138</f>
        <v>#DIV/0!</v>
      </c>
    </row>
    <row r="53" spans="1:6" x14ac:dyDescent="0.2">
      <c r="A53" s="486"/>
      <c r="B53" s="487">
        <v>4.3</v>
      </c>
      <c r="C53" s="837" t="s">
        <v>583</v>
      </c>
      <c r="D53" s="837"/>
      <c r="E53" s="488">
        <f>+SUM(E54:E60)</f>
        <v>0</v>
      </c>
      <c r="F53" s="489" t="e">
        <f>+E53/E138</f>
        <v>#DIV/0!</v>
      </c>
    </row>
    <row r="54" spans="1:6" x14ac:dyDescent="0.2">
      <c r="A54" s="486"/>
      <c r="B54" s="490" t="s">
        <v>584</v>
      </c>
      <c r="C54" s="497" t="s">
        <v>272</v>
      </c>
      <c r="D54" s="492">
        <v>4421</v>
      </c>
      <c r="E54" s="493">
        <f>+BALANCE!H193/1000</f>
        <v>0</v>
      </c>
      <c r="F54" s="494" t="e">
        <f>+E54/E138</f>
        <v>#DIV/0!</v>
      </c>
    </row>
    <row r="55" spans="1:6" x14ac:dyDescent="0.2">
      <c r="A55" s="486"/>
      <c r="B55" s="490" t="s">
        <v>585</v>
      </c>
      <c r="C55" s="491" t="s">
        <v>274</v>
      </c>
      <c r="D55" s="492">
        <v>4422</v>
      </c>
      <c r="E55" s="493">
        <f>+BALANCE!H194/1000</f>
        <v>0</v>
      </c>
      <c r="F55" s="494" t="e">
        <f>+E55/E138</f>
        <v>#DIV/0!</v>
      </c>
    </row>
    <row r="56" spans="1:6" x14ac:dyDescent="0.2">
      <c r="A56" s="486"/>
      <c r="B56" s="490" t="s">
        <v>586</v>
      </c>
      <c r="C56" s="491" t="s">
        <v>276</v>
      </c>
      <c r="D56" s="492">
        <v>4423</v>
      </c>
      <c r="E56" s="493">
        <f>+BALANCE!H195/1000</f>
        <v>0</v>
      </c>
      <c r="F56" s="494" t="e">
        <f>+E56/E138</f>
        <v>#DIV/0!</v>
      </c>
    </row>
    <row r="57" spans="1:6" x14ac:dyDescent="0.2">
      <c r="A57" s="486"/>
      <c r="B57" s="490" t="s">
        <v>587</v>
      </c>
      <c r="C57" s="497" t="s">
        <v>278</v>
      </c>
      <c r="D57" s="492">
        <v>4424</v>
      </c>
      <c r="E57" s="493">
        <f>+BALANCE!H196/1000</f>
        <v>0</v>
      </c>
      <c r="F57" s="494" t="e">
        <f>+E57/E138</f>
        <v>#DIV/0!</v>
      </c>
    </row>
    <row r="58" spans="1:6" x14ac:dyDescent="0.2">
      <c r="A58" s="486"/>
      <c r="B58" s="490" t="s">
        <v>588</v>
      </c>
      <c r="C58" s="491" t="s">
        <v>280</v>
      </c>
      <c r="D58" s="492">
        <v>4425</v>
      </c>
      <c r="E58" s="493">
        <f>+BALANCE!H197/1000</f>
        <v>0</v>
      </c>
      <c r="F58" s="494" t="e">
        <f>+E58/E138</f>
        <v>#DIV/0!</v>
      </c>
    </row>
    <row r="59" spans="1:6" x14ac:dyDescent="0.2">
      <c r="A59" s="486"/>
      <c r="B59" s="490" t="s">
        <v>589</v>
      </c>
      <c r="C59" s="491" t="s">
        <v>282</v>
      </c>
      <c r="D59" s="492">
        <v>4426</v>
      </c>
      <c r="E59" s="493">
        <f>+BALANCE!H198/1000</f>
        <v>0</v>
      </c>
      <c r="F59" s="494" t="e">
        <f>+E59/E138</f>
        <v>#DIV/0!</v>
      </c>
    </row>
    <row r="60" spans="1:6" x14ac:dyDescent="0.2">
      <c r="A60" s="486"/>
      <c r="B60" s="490" t="s">
        <v>590</v>
      </c>
      <c r="C60" s="491" t="s">
        <v>162</v>
      </c>
      <c r="D60" s="492">
        <v>4427</v>
      </c>
      <c r="E60" s="493">
        <f>+BALANCE!H199/1000</f>
        <v>0</v>
      </c>
      <c r="F60" s="494" t="e">
        <f>+E60/E138</f>
        <v>#DIV/0!</v>
      </c>
    </row>
    <row r="61" spans="1:6" ht="15.75" customHeight="1" x14ac:dyDescent="0.2">
      <c r="A61" s="507" t="s">
        <v>591</v>
      </c>
      <c r="B61" s="839" t="s">
        <v>592</v>
      </c>
      <c r="C61" s="839"/>
      <c r="D61" s="839"/>
      <c r="E61" s="484">
        <f>+SUM(E62,E67,E77)</f>
        <v>0</v>
      </c>
      <c r="F61" s="485" t="e">
        <f>+E61/E139</f>
        <v>#DIV/0!</v>
      </c>
    </row>
    <row r="62" spans="1:6" ht="15" customHeight="1" x14ac:dyDescent="0.2">
      <c r="A62" s="490"/>
      <c r="B62" s="487">
        <v>5.0999999999999996</v>
      </c>
      <c r="C62" s="837" t="s">
        <v>593</v>
      </c>
      <c r="D62" s="837"/>
      <c r="E62" s="488">
        <f>+SUM(E63:E66)</f>
        <v>0</v>
      </c>
      <c r="F62" s="489" t="e">
        <f>+E62/E139</f>
        <v>#DIV/0!</v>
      </c>
    </row>
    <row r="63" spans="1:6" x14ac:dyDescent="0.2">
      <c r="A63" s="490"/>
      <c r="B63" s="490" t="s">
        <v>594</v>
      </c>
      <c r="C63" s="491" t="s">
        <v>348</v>
      </c>
      <c r="D63" s="492">
        <v>5211</v>
      </c>
      <c r="E63" s="493">
        <f>+BALANCE!D271/1000</f>
        <v>0</v>
      </c>
      <c r="F63" s="494" t="e">
        <f>+E63/E139</f>
        <v>#DIV/0!</v>
      </c>
    </row>
    <row r="64" spans="1:6" x14ac:dyDescent="0.2">
      <c r="A64" s="490"/>
      <c r="B64" s="490" t="s">
        <v>595</v>
      </c>
      <c r="C64" s="491" t="s">
        <v>349</v>
      </c>
      <c r="D64" s="492">
        <v>5212</v>
      </c>
      <c r="E64" s="493">
        <f>+BALANCE!D272/1000</f>
        <v>0</v>
      </c>
      <c r="F64" s="494" t="e">
        <f>+E64/E139</f>
        <v>#DIV/0!</v>
      </c>
    </row>
    <row r="65" spans="1:6" x14ac:dyDescent="0.2">
      <c r="A65" s="490"/>
      <c r="B65" s="490" t="s">
        <v>596</v>
      </c>
      <c r="C65" s="491" t="s">
        <v>597</v>
      </c>
      <c r="D65" s="492">
        <v>5213</v>
      </c>
      <c r="E65" s="493">
        <f>+BALANCE!D273/1000</f>
        <v>0</v>
      </c>
      <c r="F65" s="494" t="e">
        <f>+E65/E139</f>
        <v>#DIV/0!</v>
      </c>
    </row>
    <row r="66" spans="1:6" x14ac:dyDescent="0.2">
      <c r="A66" s="490"/>
      <c r="B66" s="490" t="s">
        <v>598</v>
      </c>
      <c r="C66" s="491" t="s">
        <v>351</v>
      </c>
      <c r="D66" s="492">
        <v>5214</v>
      </c>
      <c r="E66" s="493">
        <f>+BALANCE!D274/1000</f>
        <v>0</v>
      </c>
      <c r="F66" s="494" t="e">
        <f>+E66/E139</f>
        <v>#DIV/0!</v>
      </c>
    </row>
    <row r="67" spans="1:6" ht="15" customHeight="1" x14ac:dyDescent="0.2">
      <c r="A67" s="490"/>
      <c r="B67" s="487">
        <v>5.2</v>
      </c>
      <c r="C67" s="838" t="s">
        <v>599</v>
      </c>
      <c r="D67" s="838"/>
      <c r="E67" s="488">
        <f>+SUM(E68:E76)</f>
        <v>0</v>
      </c>
      <c r="F67" s="489" t="e">
        <f>+E67/E139</f>
        <v>#DIV/0!</v>
      </c>
    </row>
    <row r="68" spans="1:6" x14ac:dyDescent="0.2">
      <c r="A68" s="490"/>
      <c r="B68" s="490" t="s">
        <v>600</v>
      </c>
      <c r="C68" s="491" t="s">
        <v>353</v>
      </c>
      <c r="D68" s="492">
        <v>5221</v>
      </c>
      <c r="E68" s="493">
        <f>+BALANCE!D276/1000</f>
        <v>0</v>
      </c>
      <c r="F68" s="494" t="e">
        <f>+E68/E139</f>
        <v>#DIV/0!</v>
      </c>
    </row>
    <row r="69" spans="1:6" x14ac:dyDescent="0.2">
      <c r="A69" s="490"/>
      <c r="B69" s="490" t="s">
        <v>601</v>
      </c>
      <c r="C69" s="497" t="s">
        <v>354</v>
      </c>
      <c r="D69" s="492">
        <v>5222</v>
      </c>
      <c r="E69" s="493">
        <f>+BALANCE!D277/1000</f>
        <v>0</v>
      </c>
      <c r="F69" s="494" t="e">
        <f>+E69/E139</f>
        <v>#DIV/0!</v>
      </c>
    </row>
    <row r="70" spans="1:6" x14ac:dyDescent="0.2">
      <c r="A70" s="490"/>
      <c r="B70" s="490" t="s">
        <v>602</v>
      </c>
      <c r="C70" s="497" t="s">
        <v>355</v>
      </c>
      <c r="D70" s="492">
        <v>5223</v>
      </c>
      <c r="E70" s="493">
        <f>+BALANCE!D278/1000</f>
        <v>0</v>
      </c>
      <c r="F70" s="494" t="e">
        <f>+E70/E139</f>
        <v>#DIV/0!</v>
      </c>
    </row>
    <row r="71" spans="1:6" x14ac:dyDescent="0.2">
      <c r="A71" s="490"/>
      <c r="B71" s="490" t="s">
        <v>603</v>
      </c>
      <c r="C71" s="497" t="s">
        <v>356</v>
      </c>
      <c r="D71" s="492">
        <v>5224</v>
      </c>
      <c r="E71" s="493">
        <f>+BALANCE!D279/1000</f>
        <v>0</v>
      </c>
      <c r="F71" s="494" t="e">
        <f>+E71/E139</f>
        <v>#DIV/0!</v>
      </c>
    </row>
    <row r="72" spans="1:6" x14ac:dyDescent="0.2">
      <c r="A72" s="490"/>
      <c r="B72" s="490" t="s">
        <v>604</v>
      </c>
      <c r="C72" s="491" t="s">
        <v>357</v>
      </c>
      <c r="D72" s="492">
        <v>5225</v>
      </c>
      <c r="E72" s="493">
        <f>+BALANCE!D280/1000</f>
        <v>0</v>
      </c>
      <c r="F72" s="494" t="e">
        <f>+E72/E139</f>
        <v>#DIV/0!</v>
      </c>
    </row>
    <row r="73" spans="1:6" x14ac:dyDescent="0.2">
      <c r="A73" s="490"/>
      <c r="B73" s="490" t="s">
        <v>605</v>
      </c>
      <c r="C73" s="491" t="s">
        <v>358</v>
      </c>
      <c r="D73" s="492">
        <v>5226</v>
      </c>
      <c r="E73" s="493">
        <f>+BALANCE!D281/1000</f>
        <v>0</v>
      </c>
      <c r="F73" s="494" t="e">
        <f>+E73/E139</f>
        <v>#DIV/0!</v>
      </c>
    </row>
    <row r="74" spans="1:6" x14ac:dyDescent="0.2">
      <c r="A74" s="490"/>
      <c r="B74" s="490" t="s">
        <v>606</v>
      </c>
      <c r="C74" s="491" t="s">
        <v>607</v>
      </c>
      <c r="D74" s="492">
        <v>5227</v>
      </c>
      <c r="E74" s="493">
        <f>+BALANCE!D282/1000</f>
        <v>0</v>
      </c>
      <c r="F74" s="494" t="e">
        <f>+E74/E139</f>
        <v>#DIV/0!</v>
      </c>
    </row>
    <row r="75" spans="1:6" x14ac:dyDescent="0.2">
      <c r="A75" s="490"/>
      <c r="B75" s="490" t="s">
        <v>608</v>
      </c>
      <c r="C75" s="491" t="s">
        <v>360</v>
      </c>
      <c r="D75" s="492">
        <v>5228</v>
      </c>
      <c r="E75" s="493">
        <f>+BALANCE!D283/1000</f>
        <v>0</v>
      </c>
      <c r="F75" s="494" t="e">
        <f>+E75/E139</f>
        <v>#DIV/0!</v>
      </c>
    </row>
    <row r="76" spans="1:6" x14ac:dyDescent="0.2">
      <c r="A76" s="490"/>
      <c r="B76" s="490" t="s">
        <v>609</v>
      </c>
      <c r="C76" s="491" t="s">
        <v>128</v>
      </c>
      <c r="D76" s="492">
        <v>5229</v>
      </c>
      <c r="E76" s="493">
        <f>+BALANCE!D284/1000</f>
        <v>0</v>
      </c>
      <c r="F76" s="494" t="e">
        <f>+E76/E139</f>
        <v>#DIV/0!</v>
      </c>
    </row>
    <row r="77" spans="1:6" x14ac:dyDescent="0.2">
      <c r="A77" s="490"/>
      <c r="B77" s="487">
        <v>5.3</v>
      </c>
      <c r="C77" s="838" t="s">
        <v>610</v>
      </c>
      <c r="D77" s="838"/>
      <c r="E77" s="488">
        <f>+SUM(E78:E106)</f>
        <v>0</v>
      </c>
      <c r="F77" s="489" t="e">
        <f>+E77/E139</f>
        <v>#DIV/0!</v>
      </c>
    </row>
    <row r="78" spans="1:6" ht="25.5" x14ac:dyDescent="0.2">
      <c r="A78" s="490"/>
      <c r="B78" s="490" t="s">
        <v>611</v>
      </c>
      <c r="C78" s="491" t="s">
        <v>362</v>
      </c>
      <c r="D78" s="492">
        <v>5231</v>
      </c>
      <c r="E78" s="493">
        <f>+BALANCE!D286/1000</f>
        <v>0</v>
      </c>
      <c r="F78" s="494" t="e">
        <f>+E78/E139</f>
        <v>#DIV/0!</v>
      </c>
    </row>
    <row r="79" spans="1:6" ht="25.5" x14ac:dyDescent="0.2">
      <c r="A79" s="490"/>
      <c r="B79" s="490" t="s">
        <v>612</v>
      </c>
      <c r="C79" s="491" t="s">
        <v>613</v>
      </c>
      <c r="D79" s="492">
        <v>5232</v>
      </c>
      <c r="E79" s="493">
        <f>+BALANCE!D287/1000</f>
        <v>0</v>
      </c>
      <c r="F79" s="494" t="e">
        <f>+E79/E139</f>
        <v>#DIV/0!</v>
      </c>
    </row>
    <row r="80" spans="1:6" ht="25.5" x14ac:dyDescent="0.2">
      <c r="A80" s="490"/>
      <c r="B80" s="490" t="s">
        <v>614</v>
      </c>
      <c r="C80" s="491" t="s">
        <v>364</v>
      </c>
      <c r="D80" s="492">
        <v>5233</v>
      </c>
      <c r="E80" s="493">
        <f>+BALANCE!D288/1000</f>
        <v>0</v>
      </c>
      <c r="F80" s="494" t="e">
        <f>+E80/E139</f>
        <v>#DIV/0!</v>
      </c>
    </row>
    <row r="81" spans="1:6" ht="25.5" x14ac:dyDescent="0.2">
      <c r="A81" s="490"/>
      <c r="B81" s="490" t="s">
        <v>615</v>
      </c>
      <c r="C81" s="491" t="s">
        <v>365</v>
      </c>
      <c r="D81" s="492">
        <v>5234</v>
      </c>
      <c r="E81" s="493">
        <f>+BALANCE!D289/1000</f>
        <v>0</v>
      </c>
      <c r="F81" s="494" t="e">
        <f>+E81/E139</f>
        <v>#DIV/0!</v>
      </c>
    </row>
    <row r="82" spans="1:6" x14ac:dyDescent="0.2">
      <c r="A82" s="490"/>
      <c r="B82" s="490" t="s">
        <v>616</v>
      </c>
      <c r="C82" s="491" t="s">
        <v>366</v>
      </c>
      <c r="D82" s="492">
        <v>5235</v>
      </c>
      <c r="E82" s="493">
        <f>+BALANCE!D290/1000</f>
        <v>0</v>
      </c>
      <c r="F82" s="494" t="e">
        <f>+E82/E139</f>
        <v>#DIV/0!</v>
      </c>
    </row>
    <row r="83" spans="1:6" x14ac:dyDescent="0.2">
      <c r="A83" s="490"/>
      <c r="B83" s="490" t="s">
        <v>617</v>
      </c>
      <c r="C83" s="491" t="s">
        <v>367</v>
      </c>
      <c r="D83" s="492">
        <v>5236</v>
      </c>
      <c r="E83" s="493">
        <f>+BALANCE!D291/1000</f>
        <v>0</v>
      </c>
      <c r="F83" s="494" t="e">
        <f>+E83/E139</f>
        <v>#DIV/0!</v>
      </c>
    </row>
    <row r="84" spans="1:6" x14ac:dyDescent="0.2">
      <c r="A84" s="490"/>
      <c r="B84" s="490" t="s">
        <v>618</v>
      </c>
      <c r="C84" s="497" t="s">
        <v>368</v>
      </c>
      <c r="D84" s="492">
        <v>5237</v>
      </c>
      <c r="E84" s="493">
        <f>+BALANCE!D292/1000</f>
        <v>0</v>
      </c>
      <c r="F84" s="494" t="e">
        <f>+E84/E139</f>
        <v>#DIV/0!</v>
      </c>
    </row>
    <row r="85" spans="1:6" x14ac:dyDescent="0.2">
      <c r="A85" s="490"/>
      <c r="B85" s="490" t="s">
        <v>619</v>
      </c>
      <c r="C85" s="491" t="s">
        <v>369</v>
      </c>
      <c r="D85" s="492">
        <v>5238</v>
      </c>
      <c r="E85" s="493">
        <f>+BALANCE!D293/1000</f>
        <v>0</v>
      </c>
      <c r="F85" s="494" t="e">
        <f>+E85/E139</f>
        <v>#DIV/0!</v>
      </c>
    </row>
    <row r="86" spans="1:6" x14ac:dyDescent="0.2">
      <c r="A86" s="490"/>
      <c r="B86" s="490" t="s">
        <v>620</v>
      </c>
      <c r="C86" s="491" t="s">
        <v>370</v>
      </c>
      <c r="D86" s="492">
        <v>5239</v>
      </c>
      <c r="E86" s="493">
        <f>+BALANCE!D294/1000</f>
        <v>0</v>
      </c>
      <c r="F86" s="494" t="e">
        <f>+E86/E139</f>
        <v>#DIV/0!</v>
      </c>
    </row>
    <row r="87" spans="1:6" x14ac:dyDescent="0.2">
      <c r="A87" s="490"/>
      <c r="B87" s="490" t="s">
        <v>621</v>
      </c>
      <c r="C87" s="491" t="s">
        <v>622</v>
      </c>
      <c r="D87" s="492">
        <v>5240</v>
      </c>
      <c r="E87" s="493">
        <f>+BALANCE!D295/1000</f>
        <v>0</v>
      </c>
      <c r="F87" s="494" t="e">
        <f>+E87/E139</f>
        <v>#DIV/0!</v>
      </c>
    </row>
    <row r="88" spans="1:6" x14ac:dyDescent="0.2">
      <c r="A88" s="490"/>
      <c r="B88" s="490" t="s">
        <v>623</v>
      </c>
      <c r="C88" s="491" t="s">
        <v>624</v>
      </c>
      <c r="D88" s="492">
        <v>5241</v>
      </c>
      <c r="E88" s="493">
        <f>+BALANCE!D296/1000</f>
        <v>0</v>
      </c>
      <c r="F88" s="494" t="e">
        <f>+E88/E139</f>
        <v>#DIV/0!</v>
      </c>
    </row>
    <row r="89" spans="1:6" x14ac:dyDescent="0.2">
      <c r="A89" s="490"/>
      <c r="B89" s="490" t="s">
        <v>625</v>
      </c>
      <c r="C89" s="491" t="s">
        <v>626</v>
      </c>
      <c r="D89" s="492">
        <v>5242</v>
      </c>
      <c r="E89" s="493">
        <f>+BALANCE!D297/1000</f>
        <v>0</v>
      </c>
      <c r="F89" s="494" t="e">
        <f>+E89/E139</f>
        <v>#DIV/0!</v>
      </c>
    </row>
    <row r="90" spans="1:6" ht="25.5" x14ac:dyDescent="0.2">
      <c r="A90" s="490"/>
      <c r="B90" s="490" t="s">
        <v>627</v>
      </c>
      <c r="C90" s="491" t="s">
        <v>628</v>
      </c>
      <c r="D90" s="492">
        <v>5243</v>
      </c>
      <c r="E90" s="493">
        <f>+BALANCE!D298/1000</f>
        <v>0</v>
      </c>
      <c r="F90" s="494" t="e">
        <f>+E90/E139</f>
        <v>#DIV/0!</v>
      </c>
    </row>
    <row r="91" spans="1:6" x14ac:dyDescent="0.2">
      <c r="A91" s="490"/>
      <c r="B91" s="490" t="s">
        <v>629</v>
      </c>
      <c r="C91" s="491" t="s">
        <v>375</v>
      </c>
      <c r="D91" s="492">
        <v>5244</v>
      </c>
      <c r="E91" s="493">
        <f>+BALANCE!D299/1000</f>
        <v>0</v>
      </c>
      <c r="F91" s="494" t="e">
        <f>+E91/E139</f>
        <v>#DIV/0!</v>
      </c>
    </row>
    <row r="92" spans="1:6" x14ac:dyDescent="0.2">
      <c r="A92" s="490"/>
      <c r="B92" s="490" t="s">
        <v>630</v>
      </c>
      <c r="C92" s="491" t="s">
        <v>376</v>
      </c>
      <c r="D92" s="492">
        <v>5245</v>
      </c>
      <c r="E92" s="493">
        <f>+BALANCE!D300/1000</f>
        <v>0</v>
      </c>
      <c r="F92" s="494" t="e">
        <f>+E92/E139</f>
        <v>#DIV/0!</v>
      </c>
    </row>
    <row r="93" spans="1:6" x14ac:dyDescent="0.2">
      <c r="A93" s="490"/>
      <c r="B93" s="490" t="s">
        <v>631</v>
      </c>
      <c r="C93" s="491" t="s">
        <v>377</v>
      </c>
      <c r="D93" s="492">
        <v>5246</v>
      </c>
      <c r="E93" s="493">
        <f>+BALANCE!D301/1000</f>
        <v>0</v>
      </c>
      <c r="F93" s="494" t="e">
        <f>+E93/E139</f>
        <v>#DIV/0!</v>
      </c>
    </row>
    <row r="94" spans="1:6" x14ac:dyDescent="0.2">
      <c r="A94" s="490"/>
      <c r="B94" s="490" t="s">
        <v>632</v>
      </c>
      <c r="C94" s="491" t="s">
        <v>378</v>
      </c>
      <c r="D94" s="492">
        <v>5247</v>
      </c>
      <c r="E94" s="493">
        <f>+BALANCE!D302/1000</f>
        <v>0</v>
      </c>
      <c r="F94" s="494" t="e">
        <f>+E94/E139</f>
        <v>#DIV/0!</v>
      </c>
    </row>
    <row r="95" spans="1:6" x14ac:dyDescent="0.2">
      <c r="A95" s="490"/>
      <c r="B95" s="490" t="s">
        <v>633</v>
      </c>
      <c r="C95" s="497" t="s">
        <v>379</v>
      </c>
      <c r="D95" s="492">
        <v>5248</v>
      </c>
      <c r="E95" s="493">
        <f>+BALANCE!D303/1000</f>
        <v>0</v>
      </c>
      <c r="F95" s="494" t="e">
        <f>+E95/E139</f>
        <v>#DIV/0!</v>
      </c>
    </row>
    <row r="96" spans="1:6" x14ac:dyDescent="0.2">
      <c r="A96" s="490"/>
      <c r="B96" s="490" t="s">
        <v>634</v>
      </c>
      <c r="C96" s="491" t="s">
        <v>380</v>
      </c>
      <c r="D96" s="492">
        <v>5249</v>
      </c>
      <c r="E96" s="493">
        <f>+BALANCE!D304/1000</f>
        <v>0</v>
      </c>
      <c r="F96" s="494" t="e">
        <f>+E96/E139</f>
        <v>#DIV/0!</v>
      </c>
    </row>
    <row r="97" spans="1:6" x14ac:dyDescent="0.2">
      <c r="A97" s="490"/>
      <c r="B97" s="490" t="s">
        <v>635</v>
      </c>
      <c r="C97" s="491" t="s">
        <v>381</v>
      </c>
      <c r="D97" s="492">
        <v>5250</v>
      </c>
      <c r="E97" s="493">
        <f>+BALANCE!D305/1000</f>
        <v>0</v>
      </c>
      <c r="F97" s="494" t="e">
        <f>+E97/E139</f>
        <v>#DIV/0!</v>
      </c>
    </row>
    <row r="98" spans="1:6" x14ac:dyDescent="0.2">
      <c r="A98" s="490"/>
      <c r="B98" s="490" t="s">
        <v>636</v>
      </c>
      <c r="C98" s="491" t="s">
        <v>382</v>
      </c>
      <c r="D98" s="492">
        <v>5251</v>
      </c>
      <c r="E98" s="493">
        <f>+BALANCE!D306/1000</f>
        <v>0</v>
      </c>
      <c r="F98" s="494" t="e">
        <f>+E98/E139</f>
        <v>#DIV/0!</v>
      </c>
    </row>
    <row r="99" spans="1:6" x14ac:dyDescent="0.2">
      <c r="A99" s="490"/>
      <c r="B99" s="490" t="s">
        <v>637</v>
      </c>
      <c r="C99" s="491" t="s">
        <v>638</v>
      </c>
      <c r="D99" s="492">
        <v>5252</v>
      </c>
      <c r="E99" s="493">
        <f>+BALANCE!D307/1000</f>
        <v>0</v>
      </c>
      <c r="F99" s="494" t="e">
        <f>+E99/E139</f>
        <v>#DIV/0!</v>
      </c>
    </row>
    <row r="100" spans="1:6" x14ac:dyDescent="0.2">
      <c r="A100" s="490"/>
      <c r="B100" s="490" t="s">
        <v>639</v>
      </c>
      <c r="C100" s="491" t="s">
        <v>384</v>
      </c>
      <c r="D100" s="492">
        <v>5253</v>
      </c>
      <c r="E100" s="493">
        <f>+BALANCE!D308/1000</f>
        <v>0</v>
      </c>
      <c r="F100" s="494" t="e">
        <f>+E100/E139</f>
        <v>#DIV/0!</v>
      </c>
    </row>
    <row r="101" spans="1:6" x14ac:dyDescent="0.2">
      <c r="A101" s="490"/>
      <c r="B101" s="490" t="s">
        <v>640</v>
      </c>
      <c r="C101" s="491" t="s">
        <v>385</v>
      </c>
      <c r="D101" s="492">
        <v>5254</v>
      </c>
      <c r="E101" s="493">
        <f>+BALANCE!D309/1000</f>
        <v>0</v>
      </c>
      <c r="F101" s="494" t="e">
        <f>+E101/E139</f>
        <v>#DIV/0!</v>
      </c>
    </row>
    <row r="102" spans="1:6" x14ac:dyDescent="0.2">
      <c r="A102" s="490"/>
      <c r="B102" s="490" t="s">
        <v>641</v>
      </c>
      <c r="C102" s="491" t="s">
        <v>386</v>
      </c>
      <c r="D102" s="492">
        <v>5255</v>
      </c>
      <c r="E102" s="493">
        <f>+BALANCE!D310/1000</f>
        <v>0</v>
      </c>
      <c r="F102" s="494" t="e">
        <f>+E102/E139</f>
        <v>#DIV/0!</v>
      </c>
    </row>
    <row r="103" spans="1:6" x14ac:dyDescent="0.2">
      <c r="A103" s="490"/>
      <c r="B103" s="490" t="s">
        <v>642</v>
      </c>
      <c r="C103" s="491" t="s">
        <v>387</v>
      </c>
      <c r="D103" s="492">
        <v>5256</v>
      </c>
      <c r="E103" s="493">
        <f>+BALANCE!D311/1000</f>
        <v>0</v>
      </c>
      <c r="F103" s="494" t="e">
        <f>+E103/E139</f>
        <v>#DIV/0!</v>
      </c>
    </row>
    <row r="104" spans="1:6" x14ac:dyDescent="0.2">
      <c r="A104" s="490"/>
      <c r="B104" s="490" t="s">
        <v>643</v>
      </c>
      <c r="C104" s="491" t="s">
        <v>644</v>
      </c>
      <c r="D104" s="492">
        <v>5257</v>
      </c>
      <c r="E104" s="493">
        <f>+BALANCE!D312/1000</f>
        <v>0</v>
      </c>
      <c r="F104" s="494" t="e">
        <f>+E104/E139</f>
        <v>#DIV/0!</v>
      </c>
    </row>
    <row r="105" spans="1:6" x14ac:dyDescent="0.2">
      <c r="A105" s="490"/>
      <c r="B105" s="490" t="s">
        <v>645</v>
      </c>
      <c r="C105" s="497" t="s">
        <v>389</v>
      </c>
      <c r="D105" s="492">
        <v>5258</v>
      </c>
      <c r="E105" s="493">
        <f>+BALANCE!D313/1000</f>
        <v>0</v>
      </c>
      <c r="F105" s="494" t="e">
        <f>+E105/E139</f>
        <v>#DIV/0!</v>
      </c>
    </row>
    <row r="106" spans="1:6" x14ac:dyDescent="0.2">
      <c r="A106" s="490"/>
      <c r="B106" s="490" t="s">
        <v>646</v>
      </c>
      <c r="C106" s="503" t="s">
        <v>390</v>
      </c>
      <c r="D106" s="504">
        <v>5259</v>
      </c>
      <c r="E106" s="493">
        <f>+BALANCE!D314/1000</f>
        <v>0</v>
      </c>
      <c r="F106" s="494" t="e">
        <f>+E106/E139</f>
        <v>#DIV/0!</v>
      </c>
    </row>
    <row r="107" spans="1:6" ht="15.75" customHeight="1" x14ac:dyDescent="0.2">
      <c r="A107" s="507" t="s">
        <v>647</v>
      </c>
      <c r="B107" s="839" t="s">
        <v>648</v>
      </c>
      <c r="C107" s="839"/>
      <c r="D107" s="839"/>
      <c r="E107" s="484">
        <f>+E46-E61</f>
        <v>0</v>
      </c>
      <c r="F107" s="485"/>
    </row>
    <row r="108" spans="1:6" ht="25.5" customHeight="1" x14ac:dyDescent="0.2">
      <c r="A108" s="507" t="s">
        <v>649</v>
      </c>
      <c r="B108" s="840" t="s">
        <v>650</v>
      </c>
      <c r="C108" s="840"/>
      <c r="D108" s="840"/>
      <c r="E108" s="484">
        <f>+E45+E107</f>
        <v>0</v>
      </c>
      <c r="F108" s="485"/>
    </row>
    <row r="109" spans="1:6" ht="15.75" customHeight="1" x14ac:dyDescent="0.2">
      <c r="A109" s="507" t="s">
        <v>651</v>
      </c>
      <c r="B109" s="839" t="s">
        <v>652</v>
      </c>
      <c r="C109" s="839"/>
      <c r="D109" s="839"/>
      <c r="E109" s="484">
        <f>+SUM(E110:E115)</f>
        <v>0</v>
      </c>
      <c r="F109" s="485" t="e">
        <f>+E109/E139</f>
        <v>#DIV/0!</v>
      </c>
    </row>
    <row r="110" spans="1:6" x14ac:dyDescent="0.2">
      <c r="A110" s="490"/>
      <c r="B110" s="490">
        <v>8.1</v>
      </c>
      <c r="C110" s="503" t="s">
        <v>341</v>
      </c>
      <c r="D110" s="504">
        <v>5201</v>
      </c>
      <c r="E110" s="493">
        <f>+BALANCE!D264/1000</f>
        <v>0</v>
      </c>
      <c r="F110" s="494" t="e">
        <f>+E110/E139</f>
        <v>#DIV/0!</v>
      </c>
    </row>
    <row r="111" spans="1:6" x14ac:dyDescent="0.2">
      <c r="A111" s="490"/>
      <c r="B111" s="490">
        <v>8.1999999999999993</v>
      </c>
      <c r="C111" s="503" t="s">
        <v>342</v>
      </c>
      <c r="D111" s="504">
        <v>5202</v>
      </c>
      <c r="E111" s="493">
        <f>+BALANCE!D265/1000</f>
        <v>0</v>
      </c>
      <c r="F111" s="494" t="e">
        <f>+E111/E139</f>
        <v>#DIV/0!</v>
      </c>
    </row>
    <row r="112" spans="1:6" x14ac:dyDescent="0.2">
      <c r="A112" s="490"/>
      <c r="B112" s="490">
        <v>8.3000000000000007</v>
      </c>
      <c r="C112" s="503" t="s">
        <v>653</v>
      </c>
      <c r="D112" s="504">
        <v>5203</v>
      </c>
      <c r="E112" s="493">
        <f>+BALANCE!D266/1000</f>
        <v>0</v>
      </c>
      <c r="F112" s="494" t="e">
        <f>+E112/E139</f>
        <v>#DIV/0!</v>
      </c>
    </row>
    <row r="113" spans="1:6" x14ac:dyDescent="0.2">
      <c r="A113" s="490"/>
      <c r="B113" s="490">
        <v>8.4</v>
      </c>
      <c r="C113" s="503" t="s">
        <v>344</v>
      </c>
      <c r="D113" s="504">
        <v>5204</v>
      </c>
      <c r="E113" s="493">
        <f>+BALANCE!D267/1000</f>
        <v>0</v>
      </c>
      <c r="F113" s="494" t="e">
        <f>+E113/E139</f>
        <v>#DIV/0!</v>
      </c>
    </row>
    <row r="114" spans="1:6" x14ac:dyDescent="0.2">
      <c r="A114" s="490"/>
      <c r="B114" s="490">
        <v>8.5</v>
      </c>
      <c r="C114" s="503" t="s">
        <v>345</v>
      </c>
      <c r="D114" s="504">
        <v>5205</v>
      </c>
      <c r="E114" s="493">
        <f>+BALANCE!D268/1000</f>
        <v>0</v>
      </c>
      <c r="F114" s="494" t="e">
        <f>+E114/E139</f>
        <v>#DIV/0!</v>
      </c>
    </row>
    <row r="115" spans="1:6" x14ac:dyDescent="0.2">
      <c r="A115" s="490"/>
      <c r="B115" s="490">
        <v>8.6</v>
      </c>
      <c r="C115" s="503" t="s">
        <v>346</v>
      </c>
      <c r="D115" s="504">
        <v>5206</v>
      </c>
      <c r="E115" s="493">
        <f>+BALANCE!D269/1000</f>
        <v>0</v>
      </c>
      <c r="F115" s="494" t="e">
        <f>+E115/E139</f>
        <v>#DIV/0!</v>
      </c>
    </row>
    <row r="116" spans="1:6" ht="15.75" customHeight="1" x14ac:dyDescent="0.2">
      <c r="A116" s="507" t="s">
        <v>654</v>
      </c>
      <c r="B116" s="839" t="s">
        <v>655</v>
      </c>
      <c r="C116" s="839"/>
      <c r="D116" s="839"/>
      <c r="E116" s="484">
        <f>+E108-E109</f>
        <v>0</v>
      </c>
      <c r="F116" s="485"/>
    </row>
    <row r="117" spans="1:6" ht="15.75" customHeight="1" x14ac:dyDescent="0.2">
      <c r="A117" s="507" t="s">
        <v>656</v>
      </c>
      <c r="B117" s="839" t="s">
        <v>657</v>
      </c>
      <c r="C117" s="839"/>
      <c r="D117" s="839"/>
      <c r="E117" s="484">
        <f>+SUM(E118:E123)</f>
        <v>0</v>
      </c>
      <c r="F117" s="485" t="e">
        <f>+E117/E138</f>
        <v>#DIV/0!</v>
      </c>
    </row>
    <row r="118" spans="1:6" x14ac:dyDescent="0.2">
      <c r="A118" s="490"/>
      <c r="B118" s="490">
        <v>10.1</v>
      </c>
      <c r="C118" s="491" t="s">
        <v>287</v>
      </c>
      <c r="D118" s="492">
        <v>4501</v>
      </c>
      <c r="E118" s="493">
        <f>+BALANCE!H201/1000</f>
        <v>0</v>
      </c>
      <c r="F118" s="494" t="e">
        <f>+E118/E138</f>
        <v>#DIV/0!</v>
      </c>
    </row>
    <row r="119" spans="1:6" x14ac:dyDescent="0.2">
      <c r="A119" s="490"/>
      <c r="B119" s="490">
        <v>10.199999999999999</v>
      </c>
      <c r="C119" s="491" t="s">
        <v>289</v>
      </c>
      <c r="D119" s="492">
        <v>4502</v>
      </c>
      <c r="E119" s="493">
        <f>+BALANCE!H202/1000</f>
        <v>0</v>
      </c>
      <c r="F119" s="494" t="e">
        <f>+E119/E138</f>
        <v>#DIV/0!</v>
      </c>
    </row>
    <row r="120" spans="1:6" x14ac:dyDescent="0.2">
      <c r="A120" s="490"/>
      <c r="B120" s="490">
        <v>10.3</v>
      </c>
      <c r="C120" s="491" t="s">
        <v>291</v>
      </c>
      <c r="D120" s="492">
        <v>4503</v>
      </c>
      <c r="E120" s="493">
        <f>+BALANCE!H203/1000</f>
        <v>0</v>
      </c>
      <c r="F120" s="494" t="e">
        <f>+E120/E138</f>
        <v>#DIV/0!</v>
      </c>
    </row>
    <row r="121" spans="1:6" x14ac:dyDescent="0.2">
      <c r="A121" s="490"/>
      <c r="B121" s="490">
        <v>10.4</v>
      </c>
      <c r="C121" s="491" t="s">
        <v>293</v>
      </c>
      <c r="D121" s="492">
        <v>4504</v>
      </c>
      <c r="E121" s="493">
        <f>+BALANCE!H204/1000</f>
        <v>0</v>
      </c>
      <c r="F121" s="494" t="e">
        <f>+E121/E138</f>
        <v>#DIV/0!</v>
      </c>
    </row>
    <row r="122" spans="1:6" x14ac:dyDescent="0.2">
      <c r="A122" s="490"/>
      <c r="B122" s="490">
        <v>10.5</v>
      </c>
      <c r="C122" s="491" t="s">
        <v>295</v>
      </c>
      <c r="D122" s="492">
        <v>4505</v>
      </c>
      <c r="E122" s="493">
        <f>+BALANCE!H205/1000</f>
        <v>0</v>
      </c>
      <c r="F122" s="494" t="e">
        <f>+E122/E138</f>
        <v>#DIV/0!</v>
      </c>
    </row>
    <row r="123" spans="1:6" x14ac:dyDescent="0.2">
      <c r="A123" s="490"/>
      <c r="B123" s="490">
        <v>10.6</v>
      </c>
      <c r="C123" s="491" t="s">
        <v>162</v>
      </c>
      <c r="D123" s="492">
        <v>4506</v>
      </c>
      <c r="E123" s="493">
        <f>+BALANCE!H206/1000</f>
        <v>0</v>
      </c>
      <c r="F123" s="494" t="e">
        <f>+E123/E138</f>
        <v>#DIV/0!</v>
      </c>
    </row>
    <row r="124" spans="1:6" ht="15.75" customHeight="1" x14ac:dyDescent="0.2">
      <c r="A124" s="507" t="s">
        <v>658</v>
      </c>
      <c r="B124" s="839" t="s">
        <v>659</v>
      </c>
      <c r="C124" s="839"/>
      <c r="D124" s="839"/>
      <c r="E124" s="484">
        <f>+SUM(E125:E130)</f>
        <v>0</v>
      </c>
      <c r="F124" s="485" t="e">
        <f>+E124/E139</f>
        <v>#DIV/0!</v>
      </c>
    </row>
    <row r="125" spans="1:6" x14ac:dyDescent="0.2">
      <c r="A125" s="490"/>
      <c r="B125" s="490">
        <v>11.1</v>
      </c>
      <c r="C125" s="491" t="s">
        <v>392</v>
      </c>
      <c r="D125" s="492">
        <v>5301</v>
      </c>
      <c r="E125" s="493">
        <f>+BALANCE!D316/1000</f>
        <v>0</v>
      </c>
      <c r="F125" s="494" t="e">
        <f>+E125/E139</f>
        <v>#DIV/0!</v>
      </c>
    </row>
    <row r="126" spans="1:6" x14ac:dyDescent="0.2">
      <c r="A126" s="490"/>
      <c r="B126" s="490">
        <v>11.2</v>
      </c>
      <c r="C126" s="491" t="s">
        <v>393</v>
      </c>
      <c r="D126" s="492">
        <v>5302</v>
      </c>
      <c r="E126" s="493">
        <f>+BALANCE!D317/1000</f>
        <v>0</v>
      </c>
      <c r="F126" s="494" t="e">
        <f>+E126/E139</f>
        <v>#DIV/0!</v>
      </c>
    </row>
    <row r="127" spans="1:6" x14ac:dyDescent="0.2">
      <c r="A127" s="490"/>
      <c r="B127" s="490">
        <v>11.3</v>
      </c>
      <c r="C127" s="491" t="s">
        <v>394</v>
      </c>
      <c r="D127" s="492">
        <v>5303</v>
      </c>
      <c r="E127" s="493">
        <f>+BALANCE!D318/1000</f>
        <v>0</v>
      </c>
      <c r="F127" s="494" t="e">
        <f>+E127/E139</f>
        <v>#DIV/0!</v>
      </c>
    </row>
    <row r="128" spans="1:6" x14ac:dyDescent="0.2">
      <c r="A128" s="490"/>
      <c r="B128" s="490">
        <v>11.4</v>
      </c>
      <c r="C128" s="491" t="s">
        <v>293</v>
      </c>
      <c r="D128" s="492">
        <v>5304</v>
      </c>
      <c r="E128" s="493">
        <f>+BALANCE!D319/1000</f>
        <v>0</v>
      </c>
      <c r="F128" s="494" t="e">
        <f>+E128/E139</f>
        <v>#DIV/0!</v>
      </c>
    </row>
    <row r="129" spans="1:6" x14ac:dyDescent="0.2">
      <c r="A129" s="490"/>
      <c r="B129" s="490">
        <v>11.5</v>
      </c>
      <c r="C129" s="491" t="s">
        <v>395</v>
      </c>
      <c r="D129" s="492">
        <v>5305</v>
      </c>
      <c r="E129" s="493">
        <f>+BALANCE!D320/1000</f>
        <v>0</v>
      </c>
      <c r="F129" s="494" t="e">
        <f>+E129/E139</f>
        <v>#DIV/0!</v>
      </c>
    </row>
    <row r="130" spans="1:6" x14ac:dyDescent="0.2">
      <c r="A130" s="490"/>
      <c r="B130" s="490">
        <v>11.6</v>
      </c>
      <c r="C130" s="491" t="s">
        <v>396</v>
      </c>
      <c r="D130" s="492">
        <v>5306</v>
      </c>
      <c r="E130" s="493">
        <f>+BALANCE!D321/1000</f>
        <v>0</v>
      </c>
      <c r="F130" s="494" t="e">
        <f>+E130/E139</f>
        <v>#DIV/0!</v>
      </c>
    </row>
    <row r="131" spans="1:6" ht="15.75" customHeight="1" x14ac:dyDescent="0.2">
      <c r="A131" s="507" t="s">
        <v>660</v>
      </c>
      <c r="B131" s="839" t="s">
        <v>661</v>
      </c>
      <c r="C131" s="839"/>
      <c r="D131" s="839"/>
      <c r="E131" s="484">
        <f>+E116+E117-E124</f>
        <v>0</v>
      </c>
      <c r="F131" s="485"/>
    </row>
    <row r="132" spans="1:6" x14ac:dyDescent="0.2">
      <c r="A132" s="486"/>
      <c r="B132" s="490">
        <v>13.1</v>
      </c>
      <c r="C132" s="505" t="s">
        <v>297</v>
      </c>
      <c r="D132" s="506">
        <v>4601</v>
      </c>
      <c r="E132" s="493">
        <f>+BALANCE!H207/1000</f>
        <v>0</v>
      </c>
      <c r="F132" s="494" t="e">
        <f>+E132/E138</f>
        <v>#DIV/0!</v>
      </c>
    </row>
    <row r="133" spans="1:6" x14ac:dyDescent="0.2">
      <c r="A133" s="486"/>
      <c r="B133" s="490">
        <v>14.1</v>
      </c>
      <c r="C133" s="505" t="s">
        <v>397</v>
      </c>
      <c r="D133" s="490">
        <v>5601</v>
      </c>
      <c r="E133" s="493">
        <f>+BALANCE!D322/1000</f>
        <v>0</v>
      </c>
      <c r="F133" s="494" t="e">
        <f>+E133/E139</f>
        <v>#DIV/0!</v>
      </c>
    </row>
    <row r="134" spans="1:6" ht="15.75" customHeight="1" x14ac:dyDescent="0.2">
      <c r="A134" s="507" t="s">
        <v>662</v>
      </c>
      <c r="B134" s="831" t="s">
        <v>663</v>
      </c>
      <c r="C134" s="831"/>
      <c r="D134" s="831"/>
      <c r="E134" s="484">
        <f>+E131+E132-E133</f>
        <v>0</v>
      </c>
      <c r="F134" s="485"/>
    </row>
    <row r="135" spans="1:6" x14ac:dyDescent="0.2">
      <c r="A135" s="508"/>
      <c r="B135" s="836" t="s">
        <v>399</v>
      </c>
      <c r="C135" s="836"/>
      <c r="D135" s="509">
        <v>5701</v>
      </c>
      <c r="E135" s="510">
        <f>+BALANCE!D325/1000</f>
        <v>0</v>
      </c>
      <c r="F135" s="494" t="e">
        <f>+E135/E139</f>
        <v>#DIV/0!</v>
      </c>
    </row>
    <row r="136" spans="1:6" ht="15.75" customHeight="1" x14ac:dyDescent="0.2">
      <c r="A136" s="507" t="s">
        <v>664</v>
      </c>
      <c r="B136" s="831" t="s">
        <v>665</v>
      </c>
      <c r="C136" s="831"/>
      <c r="D136" s="831"/>
      <c r="E136" s="484">
        <f>+E134-E135</f>
        <v>0</v>
      </c>
      <c r="F136" s="485"/>
    </row>
    <row r="138" spans="1:6" ht="15.75" customHeight="1" x14ac:dyDescent="0.2">
      <c r="C138" s="832" t="s">
        <v>666</v>
      </c>
      <c r="D138" s="832"/>
      <c r="E138" s="511">
        <f>+E8+E46+E117+E132</f>
        <v>0</v>
      </c>
      <c r="F138" s="512">
        <v>1</v>
      </c>
    </row>
    <row r="139" spans="1:6" ht="15.75" customHeight="1" x14ac:dyDescent="0.2">
      <c r="C139" s="832" t="s">
        <v>667</v>
      </c>
      <c r="D139" s="832"/>
      <c r="E139" s="511">
        <f>+E39+E61+E109+E124++E133+E135</f>
        <v>0</v>
      </c>
      <c r="F139" s="512">
        <v>1</v>
      </c>
    </row>
    <row r="140" spans="1:6" ht="15.75" customHeight="1" x14ac:dyDescent="0.2">
      <c r="C140" s="833" t="s">
        <v>668</v>
      </c>
      <c r="D140" s="833"/>
      <c r="E140" s="511">
        <f>E138-E139</f>
        <v>0</v>
      </c>
      <c r="F140" s="512">
        <v>1</v>
      </c>
    </row>
    <row r="143" spans="1:6" x14ac:dyDescent="0.2">
      <c r="A143" s="834" t="s">
        <v>36</v>
      </c>
      <c r="B143" s="835"/>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437</v>
      </c>
      <c r="C146" s="518"/>
      <c r="D146" s="518"/>
      <c r="E146" s="59"/>
    </row>
    <row r="147" spans="1:6" x14ac:dyDescent="0.2">
      <c r="A147" s="517"/>
      <c r="B147" s="60"/>
      <c r="C147" s="513"/>
      <c r="D147" s="513"/>
      <c r="E147" s="59"/>
    </row>
    <row r="148" spans="1:6" x14ac:dyDescent="0.2">
      <c r="A148" s="517"/>
      <c r="B148" s="60"/>
      <c r="C148" s="759" t="str">
        <f>+BALANCE!D361</f>
        <v>ГҮЙЦЭТГЭХ ЗАХИРАЛ.................................................................//</v>
      </c>
      <c r="D148" s="759"/>
      <c r="E148" s="759"/>
      <c r="F148" s="759"/>
    </row>
    <row r="149" spans="1:6" x14ac:dyDescent="0.2">
      <c r="A149" s="517"/>
      <c r="B149" s="60"/>
      <c r="C149" s="519"/>
      <c r="D149" s="519"/>
      <c r="E149" s="519"/>
      <c r="F149" s="519"/>
    </row>
    <row r="150" spans="1:6" x14ac:dyDescent="0.2">
      <c r="A150" s="517"/>
      <c r="B150" s="60"/>
      <c r="C150" s="759" t="str">
        <f>+BALANCE!D363</f>
        <v>ЕРӨНХИЙ НЯГТЛАН БОДОГЧ....................................................//</v>
      </c>
      <c r="D150" s="759"/>
      <c r="E150" s="759"/>
      <c r="F150" s="759"/>
    </row>
    <row r="151" spans="1:6" x14ac:dyDescent="0.2">
      <c r="A151" s="517"/>
      <c r="B151" s="60"/>
      <c r="C151" s="519"/>
      <c r="D151" s="519"/>
      <c r="E151" s="519"/>
      <c r="F151" s="519"/>
    </row>
    <row r="152" spans="1:6" x14ac:dyDescent="0.2">
      <c r="A152" s="517"/>
      <c r="B152" s="60"/>
      <c r="C152" s="759">
        <f>+BALANCE!D365</f>
        <v>0</v>
      </c>
      <c r="D152" s="759"/>
      <c r="E152" s="759"/>
      <c r="F152" s="759"/>
    </row>
  </sheetData>
  <sheetProtection password="CA9F"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927" t="s">
        <v>669</v>
      </c>
      <c r="B2" s="927"/>
      <c r="C2" s="927"/>
      <c r="D2" s="927"/>
      <c r="E2" s="927"/>
    </row>
    <row r="3" spans="1:5" x14ac:dyDescent="0.2">
      <c r="A3" s="928" t="str">
        <f>+BALANCE!A3</f>
        <v>БАНК БУС САНХҮҮГИЙН БАЙГУУЛЛАГЫН НЭР</v>
      </c>
      <c r="B3" s="928"/>
      <c r="C3" s="928"/>
      <c r="D3" s="928"/>
      <c r="E3" s="928"/>
    </row>
    <row r="4" spans="1:5" ht="15" customHeight="1" x14ac:dyDescent="0.2">
      <c r="A4" s="929" t="str">
        <f>+BALANCE!A4</f>
        <v>БАНК БУС САНХҮҮГИЙН БАЙГУУЛЛАГА</v>
      </c>
      <c r="B4" s="929"/>
      <c r="C4" s="929"/>
      <c r="D4" s="929"/>
      <c r="E4" s="929"/>
    </row>
    <row r="5" spans="1:5" ht="15" customHeight="1" x14ac:dyDescent="0.2">
      <c r="A5" s="73"/>
      <c r="B5" s="73"/>
      <c r="C5" s="73"/>
      <c r="D5" s="73"/>
      <c r="E5" s="73"/>
    </row>
    <row r="6" spans="1:5" ht="13.5" thickBot="1" x14ac:dyDescent="0.25">
      <c r="A6" s="930">
        <f>+BALANCE!A6</f>
        <v>44742</v>
      </c>
      <c r="B6" s="931"/>
      <c r="C6" s="74"/>
      <c r="D6" s="140"/>
      <c r="E6" s="141" t="s">
        <v>439</v>
      </c>
    </row>
    <row r="7" spans="1:5" ht="13.5" thickTop="1" x14ac:dyDescent="0.2">
      <c r="A7" s="75"/>
      <c r="B7" s="932" t="s">
        <v>529</v>
      </c>
      <c r="C7" s="933"/>
      <c r="D7" s="934" t="s">
        <v>670</v>
      </c>
      <c r="E7" s="935"/>
    </row>
    <row r="8" spans="1:5" x14ac:dyDescent="0.2">
      <c r="A8" s="76" t="s">
        <v>671</v>
      </c>
      <c r="B8" s="916" t="s">
        <v>672</v>
      </c>
      <c r="C8" s="917"/>
      <c r="D8" s="918">
        <f>+SUM(D9,D19)-D17</f>
        <v>0</v>
      </c>
      <c r="E8" s="919"/>
    </row>
    <row r="9" spans="1:5" x14ac:dyDescent="0.2">
      <c r="A9" s="920" t="s">
        <v>673</v>
      </c>
      <c r="B9" s="921"/>
      <c r="C9" s="921"/>
      <c r="D9" s="922">
        <f>+SUM(D10,-D11,D12:E16)</f>
        <v>0</v>
      </c>
      <c r="E9" s="923"/>
    </row>
    <row r="10" spans="1:5" x14ac:dyDescent="0.2">
      <c r="A10" s="77">
        <v>1</v>
      </c>
      <c r="B10" s="885" t="s">
        <v>674</v>
      </c>
      <c r="C10" s="924"/>
      <c r="D10" s="925">
        <f>+BALANCESHEET!G84</f>
        <v>0</v>
      </c>
      <c r="E10" s="926"/>
    </row>
    <row r="11" spans="1:5" x14ac:dyDescent="0.2">
      <c r="A11" s="78">
        <v>2</v>
      </c>
      <c r="B11" s="887" t="s">
        <v>200</v>
      </c>
      <c r="C11" s="890"/>
      <c r="D11" s="906">
        <f>+BALANCESHEET!G86</f>
        <v>0</v>
      </c>
      <c r="E11" s="914"/>
    </row>
    <row r="12" spans="1:5" x14ac:dyDescent="0.2">
      <c r="A12" s="79">
        <v>3</v>
      </c>
      <c r="B12" s="889" t="s">
        <v>675</v>
      </c>
      <c r="C12" s="915"/>
      <c r="D12" s="906">
        <f>+BALANCESHEET!G88</f>
        <v>0</v>
      </c>
      <c r="E12" s="907"/>
    </row>
    <row r="13" spans="1:5" x14ac:dyDescent="0.2">
      <c r="A13" s="79">
        <v>4</v>
      </c>
      <c r="B13" s="889" t="s">
        <v>207</v>
      </c>
      <c r="C13" s="890"/>
      <c r="D13" s="906">
        <f>+BALANCESHEET!G90</f>
        <v>0</v>
      </c>
      <c r="E13" s="907"/>
    </row>
    <row r="14" spans="1:5" x14ac:dyDescent="0.2">
      <c r="A14" s="79">
        <v>5</v>
      </c>
      <c r="B14" s="889" t="s">
        <v>676</v>
      </c>
      <c r="C14" s="905"/>
      <c r="D14" s="906">
        <f>+BALANCESHEET!G92</f>
        <v>0</v>
      </c>
      <c r="E14" s="907"/>
    </row>
    <row r="15" spans="1:5" x14ac:dyDescent="0.2">
      <c r="A15" s="79">
        <v>6</v>
      </c>
      <c r="B15" s="908" t="s">
        <v>515</v>
      </c>
      <c r="C15" s="909"/>
      <c r="D15" s="906">
        <f>+BALANCESHEET!G95</f>
        <v>0</v>
      </c>
      <c r="E15" s="907"/>
    </row>
    <row r="16" spans="1:5" x14ac:dyDescent="0.2">
      <c r="A16" s="80">
        <v>7</v>
      </c>
      <c r="B16" s="910" t="s">
        <v>516</v>
      </c>
      <c r="C16" s="911"/>
      <c r="D16" s="912">
        <f>+BALANCESHEET!G96</f>
        <v>0</v>
      </c>
      <c r="E16" s="913"/>
    </row>
    <row r="17" spans="1:6" x14ac:dyDescent="0.2">
      <c r="A17" s="79">
        <v>8</v>
      </c>
      <c r="B17" s="891" t="s">
        <v>677</v>
      </c>
      <c r="C17" s="892"/>
      <c r="D17" s="893"/>
      <c r="E17" s="894"/>
    </row>
    <row r="18" spans="1:6" ht="15" customHeight="1" x14ac:dyDescent="0.2">
      <c r="A18" s="895" t="s">
        <v>678</v>
      </c>
      <c r="B18" s="896"/>
      <c r="C18" s="897"/>
      <c r="D18" s="898">
        <f>+SUM(D9+D17)</f>
        <v>0</v>
      </c>
      <c r="E18" s="899"/>
    </row>
    <row r="19" spans="1:6" x14ac:dyDescent="0.2">
      <c r="A19" s="900" t="s">
        <v>679</v>
      </c>
      <c r="B19" s="901"/>
      <c r="C19" s="902"/>
      <c r="D19" s="903">
        <f>+SUM(D20:E23)</f>
        <v>0</v>
      </c>
      <c r="E19" s="904"/>
    </row>
    <row r="20" spans="1:6" x14ac:dyDescent="0.2">
      <c r="A20" s="78">
        <v>9</v>
      </c>
      <c r="B20" s="885" t="s">
        <v>198</v>
      </c>
      <c r="C20" s="886"/>
      <c r="D20" s="863">
        <f>+BALANCESHEET!G85</f>
        <v>0</v>
      </c>
      <c r="E20" s="864"/>
    </row>
    <row r="21" spans="1:6" x14ac:dyDescent="0.2">
      <c r="A21" s="78">
        <v>10</v>
      </c>
      <c r="B21" s="887" t="s">
        <v>206</v>
      </c>
      <c r="C21" s="888"/>
      <c r="D21" s="863">
        <f>+BALANCESHEET!G89</f>
        <v>0</v>
      </c>
      <c r="E21" s="864"/>
    </row>
    <row r="22" spans="1:6" x14ac:dyDescent="0.2">
      <c r="A22" s="78">
        <v>11</v>
      </c>
      <c r="B22" s="889" t="s">
        <v>211</v>
      </c>
      <c r="C22" s="890"/>
      <c r="D22" s="863">
        <f>+BALANCESHEET!G93</f>
        <v>0</v>
      </c>
      <c r="E22" s="864"/>
    </row>
    <row r="23" spans="1:6" x14ac:dyDescent="0.2">
      <c r="A23" s="82">
        <v>12</v>
      </c>
      <c r="B23" s="861" t="s">
        <v>680</v>
      </c>
      <c r="C23" s="862"/>
      <c r="D23" s="863">
        <f>+BALANCESHEET!G97</f>
        <v>0</v>
      </c>
      <c r="E23" s="864"/>
    </row>
    <row r="24" spans="1:6" ht="15" customHeight="1" x14ac:dyDescent="0.2">
      <c r="A24" s="865" t="s">
        <v>681</v>
      </c>
      <c r="B24" s="867" t="s">
        <v>682</v>
      </c>
      <c r="C24" s="869" t="s">
        <v>683</v>
      </c>
      <c r="D24" s="871" t="s">
        <v>684</v>
      </c>
      <c r="E24" s="142">
        <f>+SUM(E26,E44,D17,E46,E47)</f>
        <v>0</v>
      </c>
    </row>
    <row r="25" spans="1:6" ht="25.5" x14ac:dyDescent="0.2">
      <c r="A25" s="866"/>
      <c r="B25" s="868"/>
      <c r="C25" s="870"/>
      <c r="D25" s="872"/>
      <c r="E25" s="143" t="s">
        <v>685</v>
      </c>
    </row>
    <row r="26" spans="1:6" ht="13.5" customHeight="1" x14ac:dyDescent="0.2">
      <c r="A26" s="873" t="s">
        <v>686</v>
      </c>
      <c r="B26" s="874"/>
      <c r="C26" s="875"/>
      <c r="D26" s="144">
        <f>+SUM(D27:D43)</f>
        <v>0</v>
      </c>
      <c r="E26" s="145">
        <f>+SUM(E27:E43)</f>
        <v>0</v>
      </c>
    </row>
    <row r="27" spans="1:6" x14ac:dyDescent="0.2">
      <c r="A27" s="79">
        <v>1</v>
      </c>
      <c r="B27" s="81" t="s">
        <v>687</v>
      </c>
      <c r="C27" s="83">
        <v>0</v>
      </c>
      <c r="D27" s="146">
        <f>+SUM(BALANCE!D12,BALANCE!D13)/1000</f>
        <v>0</v>
      </c>
      <c r="E27" s="147">
        <f t="shared" ref="E27:E43" si="0">+C27*D27</f>
        <v>0</v>
      </c>
    </row>
    <row r="28" spans="1:6" x14ac:dyDescent="0.2">
      <c r="A28" s="79">
        <v>2</v>
      </c>
      <c r="B28" s="81" t="s">
        <v>688</v>
      </c>
      <c r="C28" s="83">
        <v>0.2</v>
      </c>
      <c r="D28" s="148">
        <f>+SUM(BALANCE!D14,BALANCE!D15)/1000</f>
        <v>0</v>
      </c>
      <c r="E28" s="149">
        <f t="shared" si="0"/>
        <v>0</v>
      </c>
    </row>
    <row r="29" spans="1:6" x14ac:dyDescent="0.2">
      <c r="A29" s="79">
        <v>3</v>
      </c>
      <c r="B29" s="81" t="s">
        <v>689</v>
      </c>
      <c r="C29" s="83">
        <v>0</v>
      </c>
      <c r="D29" s="148">
        <f>+SUM(BALANCE!D16,BALANCE!D17)/1000</f>
        <v>0</v>
      </c>
      <c r="E29" s="149">
        <f t="shared" si="0"/>
        <v>0</v>
      </c>
    </row>
    <row r="30" spans="1:6" x14ac:dyDescent="0.2">
      <c r="A30" s="79">
        <v>4</v>
      </c>
      <c r="B30" s="81" t="s">
        <v>690</v>
      </c>
      <c r="C30" s="83">
        <v>0.2</v>
      </c>
      <c r="D30" s="148">
        <f>+SUM(BALANCE!D18,BALANCE!D23)/1000</f>
        <v>0</v>
      </c>
      <c r="E30" s="149">
        <f t="shared" si="0"/>
        <v>0</v>
      </c>
      <c r="F30" s="84"/>
    </row>
    <row r="31" spans="1:6" x14ac:dyDescent="0.2">
      <c r="A31" s="79">
        <v>5</v>
      </c>
      <c r="B31" s="81" t="s">
        <v>691</v>
      </c>
      <c r="C31" s="83">
        <v>0.2</v>
      </c>
      <c r="D31" s="148">
        <f>+IF(ROUND(SUM(F31:F34),1)&gt;ROUND(SUM(BALANCE!D28,BALANCE!D31)/1000,1),"БУРУУ ӨГӨГДӨЛ",ROUND(F31,1))</f>
        <v>0</v>
      </c>
      <c r="E31" s="149">
        <f t="shared" si="0"/>
        <v>0</v>
      </c>
      <c r="F31" s="85"/>
    </row>
    <row r="32" spans="1:6" x14ac:dyDescent="0.2">
      <c r="A32" s="79">
        <v>6</v>
      </c>
      <c r="B32" s="81" t="s">
        <v>691</v>
      </c>
      <c r="C32" s="83">
        <v>0.5</v>
      </c>
      <c r="D32" s="148">
        <f>+IF(ROUND(SUM(F31:F34),1)&gt;ROUND(SUM(BALANCE!D28,BALANCE!D31)/1000,1),"БУРУУ ӨГӨГДӨЛ",ROUND(F32,1))</f>
        <v>0</v>
      </c>
      <c r="E32" s="149">
        <f t="shared" si="0"/>
        <v>0</v>
      </c>
      <c r="F32" s="85"/>
    </row>
    <row r="33" spans="1:6" x14ac:dyDescent="0.2">
      <c r="A33" s="79">
        <v>7</v>
      </c>
      <c r="B33" s="81" t="s">
        <v>691</v>
      </c>
      <c r="C33" s="83">
        <v>1</v>
      </c>
      <c r="D33" s="148">
        <f>+IF(ROUND(SUM(F31:F34),1)&gt;ROUND(SUM(BALANCE!D28,BALANCE!D31)/1000,1),"БУРУУ ӨГӨГДӨЛ",ROUND(F33,1))</f>
        <v>0</v>
      </c>
      <c r="E33" s="149">
        <f t="shared" si="0"/>
        <v>0</v>
      </c>
      <c r="F33" s="85"/>
    </row>
    <row r="34" spans="1:6" x14ac:dyDescent="0.2">
      <c r="A34" s="79">
        <v>8</v>
      </c>
      <c r="B34" s="81" t="s">
        <v>691</v>
      </c>
      <c r="C34" s="83">
        <v>1.5</v>
      </c>
      <c r="D34" s="148">
        <f>+IF(ROUND(SUM(F31:F34),1)&gt;ROUND(SUM(BALANCE!D28,BALANCE!D31)/1000,1),"БУРУУ ӨГӨГДӨЛ",ROUND(F34,1))</f>
        <v>0</v>
      </c>
      <c r="E34" s="149">
        <f t="shared" si="0"/>
        <v>0</v>
      </c>
      <c r="F34" s="86"/>
    </row>
    <row r="35" spans="1:6" x14ac:dyDescent="0.2">
      <c r="A35" s="79">
        <v>9</v>
      </c>
      <c r="B35" s="81" t="s">
        <v>692</v>
      </c>
      <c r="C35" s="83">
        <v>0</v>
      </c>
      <c r="D35" s="148">
        <f>+SUM(BALANCESHEET!C18,BALANCESHEET!C24)</f>
        <v>0</v>
      </c>
      <c r="E35" s="149">
        <f t="shared" si="0"/>
        <v>0</v>
      </c>
      <c r="F35" s="84"/>
    </row>
    <row r="36" spans="1:6" x14ac:dyDescent="0.2">
      <c r="A36" s="79">
        <v>10</v>
      </c>
      <c r="B36" s="81" t="s">
        <v>693</v>
      </c>
      <c r="C36" s="83">
        <v>0</v>
      </c>
      <c r="D36" s="148">
        <f>+SUM(BALANCESHEET!C19,BALANCESHEET!C25)</f>
        <v>0</v>
      </c>
      <c r="E36" s="149">
        <f t="shared" si="0"/>
        <v>0</v>
      </c>
    </row>
    <row r="37" spans="1:6" x14ac:dyDescent="0.2">
      <c r="A37" s="79">
        <v>11</v>
      </c>
      <c r="B37" s="81" t="s">
        <v>694</v>
      </c>
      <c r="C37" s="83">
        <v>1</v>
      </c>
      <c r="D37" s="148">
        <f>+SUM(BALANCESHEET!C20,BALANCESHEET!C21,BALANCESHEET!C22,BALANCESHEET!C26,BALANCESHEET!C27,BALANCESHEET!C28,BALANCESHEET!C29)-BALANCESHEET!C30</f>
        <v>0</v>
      </c>
      <c r="E37" s="149">
        <f>+C37*D37</f>
        <v>0</v>
      </c>
    </row>
    <row r="38" spans="1:6" x14ac:dyDescent="0.2">
      <c r="A38" s="78">
        <v>12</v>
      </c>
      <c r="B38" s="81" t="s">
        <v>695</v>
      </c>
      <c r="C38" s="87">
        <v>1</v>
      </c>
      <c r="D38" s="150">
        <f>+BALANCESHEET!C31</f>
        <v>0</v>
      </c>
      <c r="E38" s="151">
        <f t="shared" si="0"/>
        <v>0</v>
      </c>
    </row>
    <row r="39" spans="1:6" x14ac:dyDescent="0.2">
      <c r="A39" s="88">
        <v>13</v>
      </c>
      <c r="B39" s="81" t="s">
        <v>696</v>
      </c>
      <c r="C39" s="87">
        <v>1</v>
      </c>
      <c r="D39" s="148">
        <f>+BALANCESHEET!C48</f>
        <v>0</v>
      </c>
      <c r="E39" s="152">
        <f t="shared" si="0"/>
        <v>0</v>
      </c>
    </row>
    <row r="40" spans="1:6" x14ac:dyDescent="0.2">
      <c r="A40" s="78">
        <v>14</v>
      </c>
      <c r="B40" s="81" t="s">
        <v>697</v>
      </c>
      <c r="C40" s="87">
        <v>1</v>
      </c>
      <c r="D40" s="148">
        <f>+BALANCESHEET!C65</f>
        <v>0</v>
      </c>
      <c r="E40" s="152">
        <f t="shared" si="0"/>
        <v>0</v>
      </c>
    </row>
    <row r="41" spans="1:6" x14ac:dyDescent="0.2">
      <c r="A41" s="78">
        <v>15</v>
      </c>
      <c r="B41" s="81" t="s">
        <v>698</v>
      </c>
      <c r="C41" s="87">
        <v>1</v>
      </c>
      <c r="D41" s="148">
        <f>+BALANCESHEET!C83-BALANCESHEET!C84</f>
        <v>0</v>
      </c>
      <c r="E41" s="149">
        <f t="shared" si="0"/>
        <v>0</v>
      </c>
    </row>
    <row r="42" spans="1:6" x14ac:dyDescent="0.2">
      <c r="A42" s="78">
        <v>16</v>
      </c>
      <c r="B42" s="81" t="s">
        <v>699</v>
      </c>
      <c r="C42" s="87">
        <v>1</v>
      </c>
      <c r="D42" s="148">
        <f>+BALANCESHEET!C113</f>
        <v>0</v>
      </c>
      <c r="E42" s="149">
        <f t="shared" si="0"/>
        <v>0</v>
      </c>
    </row>
    <row r="43" spans="1:6" x14ac:dyDescent="0.2">
      <c r="A43" s="78">
        <v>17</v>
      </c>
      <c r="B43" s="89" t="s">
        <v>700</v>
      </c>
      <c r="C43" s="87">
        <v>1</v>
      </c>
      <c r="D43" s="153">
        <f>+SUM(BALANCESHEET!C85,BALANCESHEET!C86,BALANCESHEET!C111)</f>
        <v>0</v>
      </c>
      <c r="E43" s="154">
        <f t="shared" si="0"/>
        <v>0</v>
      </c>
    </row>
    <row r="44" spans="1:6" ht="13.5" customHeight="1" x14ac:dyDescent="0.2">
      <c r="A44" s="876" t="s">
        <v>701</v>
      </c>
      <c r="B44" s="877"/>
      <c r="C44" s="877"/>
      <c r="D44" s="878"/>
      <c r="E44" s="155">
        <f>+E45</f>
        <v>0</v>
      </c>
    </row>
    <row r="45" spans="1:6" x14ac:dyDescent="0.2">
      <c r="A45" s="90">
        <v>18</v>
      </c>
      <c r="B45" s="91" t="s">
        <v>702</v>
      </c>
      <c r="C45" s="92">
        <v>1</v>
      </c>
      <c r="D45" s="156">
        <f>+SUM(BALANCE!D332,BALANCE!D333)/1000</f>
        <v>0</v>
      </c>
      <c r="E45" s="157">
        <f>+C45*D45</f>
        <v>0</v>
      </c>
    </row>
    <row r="46" spans="1:6" x14ac:dyDescent="0.2">
      <c r="A46" s="93" t="s">
        <v>572</v>
      </c>
      <c r="B46" s="879" t="s">
        <v>703</v>
      </c>
      <c r="C46" s="880"/>
      <c r="D46" s="881"/>
      <c r="E46" s="158">
        <f>ABS(Forex!M26)</f>
        <v>0</v>
      </c>
      <c r="F46" s="84"/>
    </row>
    <row r="47" spans="1:6" x14ac:dyDescent="0.2">
      <c r="A47" s="94" t="s">
        <v>574</v>
      </c>
      <c r="B47" s="882" t="s">
        <v>704</v>
      </c>
      <c r="C47" s="883"/>
      <c r="D47" s="884"/>
      <c r="E47" s="159">
        <f>Statistic!C52*0.15/0.2</f>
        <v>0</v>
      </c>
      <c r="F47" s="9"/>
    </row>
    <row r="48" spans="1:6" x14ac:dyDescent="0.2">
      <c r="A48" s="95" t="s">
        <v>705</v>
      </c>
      <c r="B48" s="852" t="s">
        <v>706</v>
      </c>
      <c r="C48" s="853"/>
      <c r="D48" s="854"/>
      <c r="E48" s="160" t="s">
        <v>707</v>
      </c>
      <c r="F48" s="84"/>
    </row>
    <row r="49" spans="1:6" x14ac:dyDescent="0.2">
      <c r="A49" s="96">
        <v>1</v>
      </c>
      <c r="B49" s="858" t="s">
        <v>708</v>
      </c>
      <c r="C49" s="859"/>
      <c r="D49" s="860"/>
      <c r="E49" s="161" t="e">
        <f>+D9/E24*100%</f>
        <v>#DIV/0!</v>
      </c>
      <c r="F49" s="84"/>
    </row>
    <row r="50" spans="1:6" x14ac:dyDescent="0.2">
      <c r="A50" s="97">
        <v>2</v>
      </c>
      <c r="B50" s="849" t="s">
        <v>709</v>
      </c>
      <c r="C50" s="850"/>
      <c r="D50" s="851"/>
      <c r="E50" s="162" t="e">
        <f>IF(E49&lt;0.1,"Хангаагүй","Хангасан")</f>
        <v>#DIV/0!</v>
      </c>
    </row>
    <row r="51" spans="1:6" ht="12.75" customHeight="1" x14ac:dyDescent="0.2">
      <c r="A51" s="95" t="s">
        <v>710</v>
      </c>
      <c r="B51" s="852" t="s">
        <v>711</v>
      </c>
      <c r="C51" s="853"/>
      <c r="D51" s="854"/>
      <c r="E51" s="163" t="s">
        <v>712</v>
      </c>
    </row>
    <row r="52" spans="1:6" x14ac:dyDescent="0.2">
      <c r="A52" s="90">
        <v>1</v>
      </c>
      <c r="B52" s="849" t="s">
        <v>708</v>
      </c>
      <c r="C52" s="850"/>
      <c r="D52" s="851"/>
      <c r="E52" s="366" t="e">
        <f>+BALANCESHEET!G82/E24</f>
        <v>#DIV/0!</v>
      </c>
    </row>
    <row r="53" spans="1:6" x14ac:dyDescent="0.2">
      <c r="A53" s="90">
        <v>2</v>
      </c>
      <c r="B53" s="849" t="s">
        <v>709</v>
      </c>
      <c r="C53" s="850"/>
      <c r="D53" s="851"/>
      <c r="E53" s="162" t="e">
        <f>+IF(E52&lt;0.2,"Хангаагүй","Хангасан")</f>
        <v>#DIV/0!</v>
      </c>
    </row>
    <row r="54" spans="1:6" ht="12.75" customHeight="1" x14ac:dyDescent="0.2">
      <c r="A54" s="98" t="s">
        <v>713</v>
      </c>
      <c r="B54" s="852" t="s">
        <v>714</v>
      </c>
      <c r="C54" s="853"/>
      <c r="D54" s="854"/>
      <c r="E54" s="163" t="s">
        <v>707</v>
      </c>
    </row>
    <row r="55" spans="1:6" x14ac:dyDescent="0.2">
      <c r="A55" s="97">
        <v>1</v>
      </c>
      <c r="B55" s="849" t="s">
        <v>708</v>
      </c>
      <c r="C55" s="850"/>
      <c r="D55" s="851"/>
      <c r="E55" s="164" t="e">
        <f>+D9/BALANCESHEET!C116</f>
        <v>#DIV/0!</v>
      </c>
    </row>
    <row r="56" spans="1:6" ht="13.5" thickBot="1" x14ac:dyDescent="0.25">
      <c r="A56" s="99">
        <v>2</v>
      </c>
      <c r="B56" s="855" t="s">
        <v>709</v>
      </c>
      <c r="C56" s="856"/>
      <c r="D56" s="857"/>
      <c r="E56" s="165" t="e">
        <f>+IF(E55&lt;0.1,"Хангаагүй","Хангасан")</f>
        <v>#DIV/0!</v>
      </c>
    </row>
    <row r="57" spans="1:6" ht="13.5" thickTop="1" x14ac:dyDescent="0.2"/>
    <row r="59" spans="1:6" x14ac:dyDescent="0.2">
      <c r="A59" s="758" t="s">
        <v>36</v>
      </c>
      <c r="B59" s="758"/>
      <c r="C59" s="135"/>
      <c r="D59" s="13"/>
      <c r="E59" s="14"/>
    </row>
    <row r="60" spans="1:6" x14ac:dyDescent="0.2">
      <c r="A60" s="70"/>
      <c r="B60" s="136"/>
      <c r="C60" s="135"/>
      <c r="D60" s="13"/>
      <c r="E60" s="14"/>
    </row>
    <row r="61" spans="1:6" ht="15" customHeight="1" x14ac:dyDescent="0.2">
      <c r="A61" s="816" t="s">
        <v>437</v>
      </c>
      <c r="B61" s="816"/>
      <c r="C61" s="137"/>
      <c r="D61" s="17"/>
      <c r="E61" s="3"/>
    </row>
    <row r="62" spans="1:6" x14ac:dyDescent="0.2">
      <c r="A62" s="16"/>
      <c r="B62" s="136"/>
      <c r="C62" s="135"/>
      <c r="D62" s="13"/>
      <c r="E62" s="14"/>
    </row>
    <row r="63" spans="1:6" x14ac:dyDescent="0.2">
      <c r="A63" s="848" t="str">
        <f>+BALANCE!D361</f>
        <v>ГҮЙЦЭТГЭХ ЗАХИРАЛ.................................................................//</v>
      </c>
      <c r="B63" s="848"/>
      <c r="C63" s="848"/>
      <c r="D63" s="848"/>
      <c r="E63" s="848"/>
    </row>
    <row r="64" spans="1:6" x14ac:dyDescent="0.2">
      <c r="A64" s="450"/>
      <c r="B64" s="450"/>
      <c r="C64" s="450"/>
      <c r="D64" s="450"/>
      <c r="E64" s="450"/>
    </row>
    <row r="65" spans="1:5" x14ac:dyDescent="0.2">
      <c r="A65" s="848" t="str">
        <f>+BALANCE!D363</f>
        <v>ЕРӨНХИЙ НЯГТЛАН БОДОГЧ....................................................//</v>
      </c>
      <c r="B65" s="848"/>
      <c r="C65" s="848"/>
      <c r="D65" s="848"/>
      <c r="E65" s="848"/>
    </row>
    <row r="66" spans="1:5" x14ac:dyDescent="0.2">
      <c r="A66" s="450"/>
      <c r="B66" s="450"/>
      <c r="C66" s="450"/>
      <c r="D66" s="450"/>
      <c r="E66" s="450"/>
    </row>
    <row r="67" spans="1:5" x14ac:dyDescent="0.2">
      <c r="A67" s="848">
        <f>+BALANCE!D365</f>
        <v>0</v>
      </c>
      <c r="B67" s="848"/>
      <c r="C67" s="848"/>
      <c r="D67" s="848"/>
      <c r="E67" s="848"/>
    </row>
    <row r="68" spans="1:5" x14ac:dyDescent="0.2">
      <c r="A68" s="133"/>
      <c r="B68" s="133"/>
      <c r="C68" s="134"/>
      <c r="D68" s="3"/>
      <c r="E68" s="3"/>
    </row>
  </sheetData>
  <sheetProtection password="CA9F"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44" t="s">
        <v>715</v>
      </c>
      <c r="B2" s="744"/>
      <c r="C2" s="744"/>
      <c r="D2" s="744"/>
      <c r="E2" s="744"/>
    </row>
    <row r="3" spans="1:5" x14ac:dyDescent="0.2">
      <c r="A3" s="762" t="str">
        <f>BALANCE!A3</f>
        <v>БАНК БУС САНХҮҮГИЙН БАЙГУУЛЛАГЫН НЭР</v>
      </c>
      <c r="B3" s="762"/>
      <c r="C3" s="762"/>
      <c r="D3" s="762"/>
      <c r="E3" s="762"/>
    </row>
    <row r="4" spans="1:5" x14ac:dyDescent="0.2">
      <c r="A4" s="744" t="str">
        <f>BALANCE!A4</f>
        <v>БАНК БУС САНХҮҮГИЙН БАЙГУУЛЛАГА</v>
      </c>
      <c r="B4" s="744"/>
      <c r="C4" s="744"/>
      <c r="D4" s="744"/>
      <c r="E4" s="744"/>
    </row>
    <row r="5" spans="1:5" x14ac:dyDescent="0.2">
      <c r="A5" s="1"/>
      <c r="B5" s="1"/>
      <c r="C5" s="1"/>
      <c r="D5" s="1"/>
      <c r="E5" s="1"/>
    </row>
    <row r="6" spans="1:5" x14ac:dyDescent="0.2">
      <c r="A6" s="829">
        <f>BALANCE!A6</f>
        <v>44742</v>
      </c>
      <c r="B6" s="829"/>
      <c r="C6" s="166"/>
      <c r="D6" s="166"/>
      <c r="E6" s="167" t="s">
        <v>439</v>
      </c>
    </row>
    <row r="7" spans="1:5" x14ac:dyDescent="0.2">
      <c r="A7" s="937" t="s">
        <v>529</v>
      </c>
      <c r="B7" s="937"/>
      <c r="C7" s="245" t="s">
        <v>716</v>
      </c>
      <c r="D7" s="245" t="s">
        <v>717</v>
      </c>
      <c r="E7" s="245" t="s">
        <v>670</v>
      </c>
    </row>
    <row r="8" spans="1:5" x14ac:dyDescent="0.2">
      <c r="A8" s="938" t="s">
        <v>718</v>
      </c>
      <c r="B8" s="938"/>
      <c r="C8" s="246">
        <f>+SUM(C9:C13)</f>
        <v>0</v>
      </c>
      <c r="D8" s="246">
        <f>+SUM(D9:D13)</f>
        <v>0</v>
      </c>
      <c r="E8" s="247">
        <f>+SUM(E9:E13)</f>
        <v>0</v>
      </c>
    </row>
    <row r="9" spans="1:5" x14ac:dyDescent="0.2">
      <c r="A9" s="43">
        <v>1</v>
      </c>
      <c r="B9" s="39" t="s">
        <v>687</v>
      </c>
      <c r="C9" s="248">
        <f>+SUM(BALANCE!D12,BALANCE!D14,BALANCE!D16)/1000</f>
        <v>0</v>
      </c>
      <c r="D9" s="248">
        <f>+SUM(BALANCE!D13,BALANCE!D15,BALANCE!D17)/1000</f>
        <v>0</v>
      </c>
      <c r="E9" s="248">
        <f>+C9+D9</f>
        <v>0</v>
      </c>
    </row>
    <row r="10" spans="1:5" x14ac:dyDescent="0.2">
      <c r="A10" s="43">
        <v>2</v>
      </c>
      <c r="B10" s="39" t="s">
        <v>719</v>
      </c>
      <c r="C10" s="248">
        <f>+SUM(BALANCE!D19,BALANCE!D21)/1000</f>
        <v>0</v>
      </c>
      <c r="D10" s="248">
        <f>+SUM(BALANCE!D20,BALANCE!D22,BALANCE!D29,BALANCE!D30)/1000</f>
        <v>0</v>
      </c>
      <c r="E10" s="248">
        <f>+C10+D10</f>
        <v>0</v>
      </c>
    </row>
    <row r="11" spans="1:5" x14ac:dyDescent="0.2">
      <c r="A11" s="43">
        <v>3</v>
      </c>
      <c r="B11" s="39" t="s">
        <v>720</v>
      </c>
      <c r="C11" s="248">
        <f>+SUM(BALANCE!D24,BALANCE!D26)/1000</f>
        <v>0</v>
      </c>
      <c r="D11" s="248">
        <f>+SUM(BALANCE!D25,BALANCE!D27,BALANCE!D32,BALANCE!D33)/1000</f>
        <v>0</v>
      </c>
      <c r="E11" s="248">
        <f>+C11+D11</f>
        <v>0</v>
      </c>
    </row>
    <row r="12" spans="1:5" x14ac:dyDescent="0.2">
      <c r="A12" s="43">
        <v>4</v>
      </c>
      <c r="B12" s="39" t="s">
        <v>96</v>
      </c>
      <c r="C12" s="248">
        <f>+SUM(BALANCE!D36,BALANCE!D42)/1000</f>
        <v>0</v>
      </c>
      <c r="D12" s="248">
        <v>0</v>
      </c>
      <c r="E12" s="248">
        <f>+C12+D12</f>
        <v>0</v>
      </c>
    </row>
    <row r="13" spans="1:5" x14ac:dyDescent="0.2">
      <c r="A13" s="43">
        <v>5</v>
      </c>
      <c r="B13" s="39" t="s">
        <v>97</v>
      </c>
      <c r="C13" s="248">
        <f>+SUM(BALANCE!D37,BALANCE!D43)/1000</f>
        <v>0</v>
      </c>
      <c r="D13" s="248">
        <v>0</v>
      </c>
      <c r="E13" s="248">
        <f>+C13+D13</f>
        <v>0</v>
      </c>
    </row>
    <row r="14" spans="1:5" x14ac:dyDescent="0.2">
      <c r="A14" s="938" t="s">
        <v>721</v>
      </c>
      <c r="B14" s="938"/>
      <c r="C14" s="246">
        <f>+SUM(C15:C25)</f>
        <v>0</v>
      </c>
      <c r="D14" s="246">
        <f>+SUM(D15:D25)</f>
        <v>0</v>
      </c>
      <c r="E14" s="247">
        <f>+SUM(E15:E25)</f>
        <v>0</v>
      </c>
    </row>
    <row r="15" spans="1:5" x14ac:dyDescent="0.2">
      <c r="A15" s="43">
        <v>1</v>
      </c>
      <c r="B15" s="39" t="s">
        <v>722</v>
      </c>
      <c r="C15" s="248">
        <f>+SUM(BALANCE!H18,BALANCE!H25,BALANCE!H32,BALANCE!H39)/1000</f>
        <v>0</v>
      </c>
      <c r="D15" s="248">
        <f>+SUM(BALANCE!H21,BALANCE!H28,BALANCE!H35,BALANCE!H42,BALANCE!H47,BALANCE!H50,BALANCE!H54,BALANCE!H57)/1000</f>
        <v>0</v>
      </c>
      <c r="E15" s="248">
        <f>+C15+D15</f>
        <v>0</v>
      </c>
    </row>
    <row r="16" spans="1:5" x14ac:dyDescent="0.2">
      <c r="A16" s="43">
        <v>2</v>
      </c>
      <c r="B16" s="39" t="s">
        <v>723</v>
      </c>
      <c r="C16" s="248">
        <f>+SUM(BALANCE!H81,BALANCE!H84,BALANCE!H87,BALANCE!H90)/1000</f>
        <v>0</v>
      </c>
      <c r="D16" s="248">
        <f>+SUM(BALANCE!H82,BALANCE!H85,BALANCE!H88,BALANCE!H91)/1000</f>
        <v>0</v>
      </c>
      <c r="E16" s="248">
        <f>+C16+D16</f>
        <v>0</v>
      </c>
    </row>
    <row r="17" spans="1:8" x14ac:dyDescent="0.2">
      <c r="A17" s="43">
        <v>3</v>
      </c>
      <c r="B17" s="39" t="s">
        <v>54</v>
      </c>
      <c r="C17" s="248">
        <f>+SUM(BALANCE!H12)/1000</f>
        <v>0</v>
      </c>
      <c r="D17" s="248">
        <f>+SUM(BALANCE!H13)/1000</f>
        <v>0</v>
      </c>
      <c r="E17" s="248">
        <f t="shared" ref="E17:E24" si="0">+C17+D17</f>
        <v>0</v>
      </c>
    </row>
    <row r="18" spans="1:8" x14ac:dyDescent="0.2">
      <c r="A18" s="43">
        <v>4</v>
      </c>
      <c r="B18" s="39" t="s">
        <v>139</v>
      </c>
      <c r="C18" s="248">
        <f>+SUM(BALANCE!H70)/1000</f>
        <v>0</v>
      </c>
      <c r="D18" s="248">
        <f>+SUM(BALANCE!H71)/1000</f>
        <v>0</v>
      </c>
      <c r="E18" s="248">
        <f t="shared" si="0"/>
        <v>0</v>
      </c>
    </row>
    <row r="19" spans="1:8" x14ac:dyDescent="0.2">
      <c r="A19" s="43">
        <v>5</v>
      </c>
      <c r="B19" s="39" t="s">
        <v>133</v>
      </c>
      <c r="C19" s="248">
        <f>+SUM(BALANCE!H64)/1000</f>
        <v>0</v>
      </c>
      <c r="D19" s="248">
        <f>+SUM(BALANCE!H65)/1000</f>
        <v>0</v>
      </c>
      <c r="E19" s="248">
        <f t="shared" si="0"/>
        <v>0</v>
      </c>
    </row>
    <row r="20" spans="1:8" x14ac:dyDescent="0.2">
      <c r="A20" s="43">
        <v>6</v>
      </c>
      <c r="B20" s="39" t="s">
        <v>136</v>
      </c>
      <c r="C20" s="248">
        <f>+SUM(BALANCE!H67)/1000</f>
        <v>0</v>
      </c>
      <c r="D20" s="248">
        <f>+SUM(BALANCE!H68)/1000</f>
        <v>0</v>
      </c>
      <c r="E20" s="248">
        <f t="shared" si="0"/>
        <v>0</v>
      </c>
    </row>
    <row r="21" spans="1:8" x14ac:dyDescent="0.2">
      <c r="A21" s="43">
        <v>7</v>
      </c>
      <c r="B21" s="39" t="s">
        <v>101</v>
      </c>
      <c r="C21" s="248">
        <f>+SUM(BALANCE!H76)/1000</f>
        <v>0</v>
      </c>
      <c r="D21" s="248">
        <f>+SUM(BALANCE!H77)/1000</f>
        <v>0</v>
      </c>
      <c r="E21" s="248">
        <f t="shared" si="0"/>
        <v>0</v>
      </c>
    </row>
    <row r="22" spans="1:8" x14ac:dyDescent="0.2">
      <c r="A22" s="43">
        <v>8</v>
      </c>
      <c r="B22" s="39" t="s">
        <v>724</v>
      </c>
      <c r="C22" s="248">
        <f>+SUM(BALANCE!H61)/1000</f>
        <v>0</v>
      </c>
      <c r="D22" s="248">
        <f>+SUM(BALANCE!H62)/1000</f>
        <v>0</v>
      </c>
      <c r="E22" s="248">
        <f t="shared" si="0"/>
        <v>0</v>
      </c>
    </row>
    <row r="23" spans="1:8" x14ac:dyDescent="0.2">
      <c r="A23" s="43">
        <v>9</v>
      </c>
      <c r="B23" s="39" t="s">
        <v>725</v>
      </c>
      <c r="C23" s="248">
        <f>+SUM(BALANCE!H73)/1000</f>
        <v>0</v>
      </c>
      <c r="D23" s="248">
        <f>+SUM(BALANCE!H74)/1000</f>
        <v>0</v>
      </c>
      <c r="E23" s="248">
        <f t="shared" si="0"/>
        <v>0</v>
      </c>
    </row>
    <row r="24" spans="1:8" x14ac:dyDescent="0.2">
      <c r="A24" s="43">
        <v>10</v>
      </c>
      <c r="B24" s="39" t="s">
        <v>726</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727</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39" t="s">
        <v>728</v>
      </c>
      <c r="B26" s="939"/>
      <c r="C26" s="249">
        <v>0.08</v>
      </c>
      <c r="D26" s="249">
        <v>0.08</v>
      </c>
      <c r="E26" s="250">
        <v>0.08</v>
      </c>
    </row>
    <row r="27" spans="1:8" x14ac:dyDescent="0.2">
      <c r="A27" s="251">
        <v>1</v>
      </c>
      <c r="B27" s="252" t="s">
        <v>708</v>
      </c>
      <c r="C27" s="365" t="str">
        <f>IF(C14=0,"-",C8/C14)</f>
        <v>-</v>
      </c>
      <c r="D27" s="365" t="str">
        <f>IF(D14=0,"-",D8/D14)</f>
        <v>-</v>
      </c>
      <c r="E27" s="365" t="str">
        <f>IF(E14=0,"-",E8/E14)</f>
        <v>-</v>
      </c>
    </row>
    <row r="28" spans="1:8" x14ac:dyDescent="0.2">
      <c r="A28" s="43">
        <v>2</v>
      </c>
      <c r="B28" s="253" t="s">
        <v>709</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58" t="s">
        <v>36</v>
      </c>
      <c r="B30" s="758"/>
      <c r="C30" s="170"/>
      <c r="D30" s="170"/>
      <c r="E30" s="136"/>
      <c r="F30" s="136"/>
      <c r="G30" s="13"/>
      <c r="H30" s="14"/>
    </row>
    <row r="31" spans="1:8" x14ac:dyDescent="0.2">
      <c r="A31" s="15"/>
      <c r="B31" s="16"/>
      <c r="C31" s="171"/>
      <c r="D31" s="171"/>
      <c r="E31" s="136"/>
      <c r="F31" s="136"/>
      <c r="G31" s="13"/>
      <c r="H31" s="14"/>
    </row>
    <row r="32" spans="1:8" x14ac:dyDescent="0.2">
      <c r="A32" s="15"/>
      <c r="B32" s="72" t="s">
        <v>437</v>
      </c>
      <c r="C32" s="172"/>
      <c r="D32" s="172"/>
      <c r="E32" s="72"/>
      <c r="F32" s="72"/>
      <c r="G32" s="13"/>
      <c r="H32" s="14"/>
    </row>
    <row r="33" spans="1:8" x14ac:dyDescent="0.2">
      <c r="A33" s="15"/>
      <c r="B33" s="16"/>
      <c r="C33" s="171"/>
      <c r="D33" s="171"/>
      <c r="E33" s="136"/>
      <c r="F33" s="136"/>
      <c r="G33" s="13"/>
      <c r="H33" s="14"/>
    </row>
    <row r="34" spans="1:8" x14ac:dyDescent="0.2">
      <c r="A34" s="15"/>
      <c r="B34" s="936" t="str">
        <f>+BALANCE!D361</f>
        <v>ГҮЙЦЭТГЭХ ЗАХИРАЛ.................................................................//</v>
      </c>
      <c r="C34" s="936"/>
      <c r="D34" s="936"/>
      <c r="E34" s="936"/>
      <c r="F34" s="139"/>
    </row>
    <row r="35" spans="1:8" x14ac:dyDescent="0.2">
      <c r="A35" s="15"/>
      <c r="B35" s="449"/>
      <c r="C35" s="173"/>
      <c r="D35" s="173"/>
      <c r="E35" s="449"/>
      <c r="F35" s="139"/>
    </row>
    <row r="36" spans="1:8" x14ac:dyDescent="0.2">
      <c r="A36" s="15"/>
      <c r="B36" s="936" t="str">
        <f>BALANCE!D363</f>
        <v>ЕРӨНХИЙ НЯГТЛАН БОДОГЧ....................................................//</v>
      </c>
      <c r="C36" s="936"/>
      <c r="D36" s="936"/>
      <c r="E36" s="936"/>
      <c r="F36" s="139"/>
    </row>
    <row r="37" spans="1:8" x14ac:dyDescent="0.2">
      <c r="A37" s="15"/>
      <c r="B37" s="449"/>
      <c r="C37" s="173"/>
      <c r="D37" s="173"/>
      <c r="E37" s="449"/>
      <c r="F37" s="139"/>
    </row>
    <row r="38" spans="1:8" x14ac:dyDescent="0.2">
      <c r="A38" s="15"/>
      <c r="B38" s="936">
        <f>BALANCE!D365</f>
        <v>0</v>
      </c>
      <c r="C38" s="936"/>
      <c r="D38" s="936"/>
      <c r="E38" s="936"/>
      <c r="F38" s="13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44" t="s">
        <v>729</v>
      </c>
      <c r="B2" s="744"/>
      <c r="C2" s="744"/>
      <c r="D2" s="744"/>
      <c r="E2" s="744"/>
      <c r="F2" s="744"/>
      <c r="G2" s="744"/>
      <c r="H2" s="744"/>
      <c r="I2" s="744"/>
      <c r="J2" s="744"/>
      <c r="K2" s="744"/>
      <c r="L2" s="744"/>
      <c r="M2" s="744"/>
    </row>
    <row r="3" spans="1:13" x14ac:dyDescent="0.2">
      <c r="A3" s="762" t="str">
        <f>BALANCE!A3</f>
        <v>БАНК БУС САНХҮҮГИЙН БАЙГУУЛЛАГЫН НЭР</v>
      </c>
      <c r="B3" s="762"/>
      <c r="C3" s="762"/>
      <c r="D3" s="762"/>
      <c r="E3" s="762"/>
      <c r="F3" s="762"/>
      <c r="G3" s="762"/>
      <c r="H3" s="762"/>
      <c r="I3" s="762"/>
      <c r="J3" s="762"/>
      <c r="K3" s="762"/>
      <c r="L3" s="762"/>
      <c r="M3" s="762"/>
    </row>
    <row r="4" spans="1:13" ht="13.5" customHeight="1" x14ac:dyDescent="0.2">
      <c r="A4" s="744" t="str">
        <f>BALANCE!A4</f>
        <v>БАНК БУС САНХҮҮГИЙН БАЙГУУЛЛАГА</v>
      </c>
      <c r="B4" s="744"/>
      <c r="C4" s="744"/>
      <c r="D4" s="744"/>
      <c r="E4" s="744"/>
      <c r="F4" s="744"/>
      <c r="G4" s="744"/>
      <c r="H4" s="744"/>
      <c r="I4" s="744"/>
      <c r="J4" s="744"/>
      <c r="K4" s="744"/>
      <c r="L4" s="744"/>
      <c r="M4" s="744"/>
    </row>
    <row r="5" spans="1:13" ht="13.5" customHeight="1" x14ac:dyDescent="0.2">
      <c r="A5" s="390"/>
      <c r="B5" s="390"/>
      <c r="C5" s="390"/>
      <c r="D5" s="390"/>
      <c r="E5" s="390"/>
      <c r="F5" s="390"/>
      <c r="G5" s="390"/>
      <c r="H5" s="390"/>
      <c r="I5" s="390"/>
      <c r="J5" s="390"/>
      <c r="K5" s="390"/>
      <c r="L5" s="390"/>
      <c r="M5" s="390"/>
    </row>
    <row r="6" spans="1:13" x14ac:dyDescent="0.2">
      <c r="A6" s="952">
        <f>BALANCE!A6</f>
        <v>44742</v>
      </c>
      <c r="B6" s="952"/>
      <c r="L6" s="953" t="s">
        <v>439</v>
      </c>
      <c r="M6" s="953"/>
    </row>
    <row r="7" spans="1:13" x14ac:dyDescent="0.2">
      <c r="A7" s="948" t="s">
        <v>529</v>
      </c>
      <c r="B7" s="948"/>
      <c r="C7" s="949" t="s">
        <v>730</v>
      </c>
      <c r="D7" s="949"/>
      <c r="E7" s="949"/>
      <c r="F7" s="949"/>
      <c r="G7" s="949"/>
      <c r="H7" s="949"/>
      <c r="I7" s="949"/>
      <c r="J7" s="949"/>
      <c r="K7" s="949"/>
      <c r="L7" s="949" t="s">
        <v>670</v>
      </c>
      <c r="M7" s="949"/>
    </row>
    <row r="8" spans="1:13" x14ac:dyDescent="0.2">
      <c r="A8" s="948"/>
      <c r="B8" s="948"/>
      <c r="C8" s="392" t="s">
        <v>413</v>
      </c>
      <c r="D8" s="392" t="s">
        <v>415</v>
      </c>
      <c r="E8" s="392" t="s">
        <v>417</v>
      </c>
      <c r="F8" s="392" t="s">
        <v>419</v>
      </c>
      <c r="G8" s="392" t="s">
        <v>421</v>
      </c>
      <c r="H8" s="392" t="s">
        <v>423</v>
      </c>
      <c r="I8" s="392" t="s">
        <v>425</v>
      </c>
      <c r="J8" s="392" t="s">
        <v>426</v>
      </c>
      <c r="K8" s="392" t="s">
        <v>128</v>
      </c>
      <c r="L8" s="392" t="s">
        <v>731</v>
      </c>
      <c r="M8" s="392" t="s">
        <v>732</v>
      </c>
    </row>
    <row r="9" spans="1:13" x14ac:dyDescent="0.2">
      <c r="A9" s="942" t="s">
        <v>733</v>
      </c>
      <c r="B9" s="942"/>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734</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735</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736</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737</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738</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739</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2" t="s">
        <v>740</v>
      </c>
      <c r="B16" s="942"/>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741</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742</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743</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101</v>
      </c>
      <c r="C20" s="201"/>
      <c r="D20" s="201"/>
      <c r="E20" s="201"/>
      <c r="F20" s="201"/>
      <c r="G20" s="201"/>
      <c r="H20" s="201"/>
      <c r="I20" s="201"/>
      <c r="J20" s="201"/>
      <c r="K20" s="201"/>
      <c r="L20" s="255">
        <f t="shared" si="3"/>
        <v>0</v>
      </c>
      <c r="M20" s="255">
        <f>+BALANCE!H77/1000</f>
        <v>0</v>
      </c>
    </row>
    <row r="21" spans="1:13" x14ac:dyDescent="0.2">
      <c r="A21" s="256">
        <v>5</v>
      </c>
      <c r="B21" s="244" t="s">
        <v>744</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745</v>
      </c>
      <c r="C22" s="201"/>
      <c r="D22" s="201"/>
      <c r="E22" s="201"/>
      <c r="F22" s="201"/>
      <c r="G22" s="201"/>
      <c r="H22" s="201"/>
      <c r="I22" s="201"/>
      <c r="J22" s="201"/>
      <c r="K22" s="201"/>
      <c r="L22" s="255">
        <f t="shared" si="3"/>
        <v>0</v>
      </c>
      <c r="M22" s="255">
        <f>+SUM(BALANCE!H108,BALANCE!H110,BALANCE!H112)/1000</f>
        <v>0</v>
      </c>
    </row>
    <row r="23" spans="1:13" x14ac:dyDescent="0.2">
      <c r="A23" s="942" t="s">
        <v>746</v>
      </c>
      <c r="B23" s="942"/>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747</v>
      </c>
      <c r="C24" s="201"/>
      <c r="D24" s="201"/>
      <c r="E24" s="201"/>
      <c r="F24" s="201"/>
      <c r="G24" s="201"/>
      <c r="H24" s="201"/>
      <c r="I24" s="201"/>
      <c r="J24" s="201"/>
      <c r="K24" s="201"/>
      <c r="L24" s="255">
        <f>+SUMPRODUCT(C24:K24,$C$32:$K$32)/$M$32</f>
        <v>0</v>
      </c>
      <c r="M24" s="257">
        <f>+SUMPRODUCT(C24:K24,$C$32:$K$32)</f>
        <v>0</v>
      </c>
    </row>
    <row r="25" spans="1:13" x14ac:dyDescent="0.2">
      <c r="A25" s="256">
        <v>2</v>
      </c>
      <c r="B25" s="209" t="s">
        <v>748</v>
      </c>
      <c r="C25" s="201"/>
      <c r="D25" s="201"/>
      <c r="E25" s="201"/>
      <c r="F25" s="201"/>
      <c r="G25" s="201"/>
      <c r="H25" s="201"/>
      <c r="I25" s="201"/>
      <c r="J25" s="201"/>
      <c r="K25" s="201"/>
      <c r="L25" s="255">
        <f>+SUMPRODUCT(C25:K25,$C$32:$K$32)/$M$32</f>
        <v>0</v>
      </c>
      <c r="M25" s="257">
        <f>+SUMPRODUCT(C25:K25,$C$32:$K$32)</f>
        <v>0</v>
      </c>
    </row>
    <row r="26" spans="1:13" x14ac:dyDescent="0.2">
      <c r="A26" s="945" t="s">
        <v>749</v>
      </c>
      <c r="B26" s="945"/>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46" t="s">
        <v>750</v>
      </c>
      <c r="B27" s="946"/>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46" t="s">
        <v>751</v>
      </c>
      <c r="B28" s="946"/>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47" t="s">
        <v>752</v>
      </c>
      <c r="B29" s="947"/>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50" t="s">
        <v>753</v>
      </c>
      <c r="B30" s="950"/>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51" t="s">
        <v>754</v>
      </c>
      <c r="B31" s="951"/>
      <c r="C31" s="261" t="s">
        <v>755</v>
      </c>
      <c r="D31" s="261" t="s">
        <v>755</v>
      </c>
      <c r="E31" s="261" t="s">
        <v>755</v>
      </c>
      <c r="F31" s="261" t="s">
        <v>755</v>
      </c>
      <c r="G31" s="261" t="s">
        <v>755</v>
      </c>
      <c r="H31" s="261" t="s">
        <v>755</v>
      </c>
      <c r="I31" s="261" t="s">
        <v>755</v>
      </c>
      <c r="J31" s="261" t="s">
        <v>755</v>
      </c>
      <c r="K31" s="261" t="s">
        <v>755</v>
      </c>
      <c r="L31" s="261" t="s">
        <v>755</v>
      </c>
      <c r="M31" s="261" t="s">
        <v>755</v>
      </c>
    </row>
    <row r="32" spans="1:13" x14ac:dyDescent="0.2">
      <c r="A32" s="940" t="s">
        <v>756</v>
      </c>
      <c r="B32" s="940"/>
      <c r="C32" s="262">
        <f>BALANCE!H335</f>
        <v>3134.28</v>
      </c>
      <c r="D32" s="262">
        <f>BALANCE!H336</f>
        <v>3295.07</v>
      </c>
      <c r="E32" s="262">
        <f>BALANCE!H337</f>
        <v>23.03</v>
      </c>
      <c r="F32" s="262">
        <f>BALANCE!H338</f>
        <v>3277.85</v>
      </c>
      <c r="G32" s="262">
        <f>BALANCE!H339</f>
        <v>3823.19</v>
      </c>
      <c r="H32" s="262">
        <f>BALANCE!H340</f>
        <v>467.68</v>
      </c>
      <c r="I32" s="262">
        <f>BALANCE!H341</f>
        <v>61.85</v>
      </c>
      <c r="J32" s="262">
        <f>BALANCE!H342</f>
        <v>2.41</v>
      </c>
      <c r="K32" s="262">
        <f>BALANCE!H343</f>
        <v>0</v>
      </c>
      <c r="L32" s="262">
        <v>1</v>
      </c>
      <c r="M32" s="262">
        <f>+C32</f>
        <v>3134.28</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3" t="s">
        <v>1120</v>
      </c>
      <c r="B34" s="943"/>
      <c r="C34" s="943"/>
      <c r="D34" s="943"/>
      <c r="E34" s="943"/>
      <c r="F34" s="943"/>
      <c r="G34" s="943"/>
      <c r="H34" s="943"/>
      <c r="I34" s="943"/>
      <c r="J34" s="943"/>
      <c r="K34" s="943"/>
      <c r="L34" s="943"/>
      <c r="M34" s="943"/>
    </row>
    <row r="35" spans="1:13" x14ac:dyDescent="0.2">
      <c r="A35" s="944" t="s">
        <v>1119</v>
      </c>
      <c r="B35" s="944"/>
      <c r="C35" s="944"/>
      <c r="D35" s="944"/>
      <c r="E35" s="944"/>
      <c r="F35" s="944"/>
      <c r="G35" s="944"/>
      <c r="H35" s="944"/>
      <c r="I35" s="944"/>
      <c r="J35" s="944"/>
      <c r="K35" s="944"/>
      <c r="L35" s="944"/>
      <c r="M35" s="944"/>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36</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41" t="s">
        <v>437</v>
      </c>
      <c r="E39" s="941"/>
      <c r="F39" s="941"/>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6" t="str">
        <f>BALANCE!D361</f>
        <v>ГҮЙЦЭТГЭХ ЗАХИРАЛ.................................................................//</v>
      </c>
      <c r="E41" s="936"/>
      <c r="F41" s="936"/>
      <c r="G41" s="936"/>
      <c r="H41" s="936"/>
      <c r="I41" s="936"/>
      <c r="J41" s="936"/>
      <c r="K41" s="936"/>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6" t="str">
        <f>BALANCE!D363</f>
        <v>ЕРӨНХИЙ НЯГТЛАН БОДОГЧ....................................................//</v>
      </c>
      <c r="E43" s="936"/>
      <c r="F43" s="936"/>
      <c r="G43" s="936"/>
      <c r="H43" s="936"/>
      <c r="I43" s="936"/>
      <c r="J43" s="936"/>
      <c r="K43" s="936"/>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6">
        <f>BALANCE!D365</f>
        <v>0</v>
      </c>
      <c r="E45" s="936"/>
      <c r="F45" s="936"/>
      <c r="G45" s="936"/>
      <c r="H45" s="936"/>
      <c r="I45" s="936"/>
      <c r="J45" s="936"/>
      <c r="K45" s="936"/>
    </row>
  </sheetData>
  <sheetProtection password="CA9F" sheet="1" objects="1" scenarios="1"/>
  <mergeCells count="24">
    <mergeCell ref="A2:M2"/>
    <mergeCell ref="A3:M3"/>
    <mergeCell ref="A4:M4"/>
    <mergeCell ref="A6:B6"/>
    <mergeCell ref="L6:M6"/>
    <mergeCell ref="A7:B8"/>
    <mergeCell ref="C7:K7"/>
    <mergeCell ref="L7:M7"/>
    <mergeCell ref="A30:B30"/>
    <mergeCell ref="A31:B31"/>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44" t="s">
        <v>757</v>
      </c>
      <c r="B2" s="744"/>
      <c r="C2" s="744"/>
      <c r="D2" s="744"/>
      <c r="E2" s="744"/>
      <c r="F2" s="744"/>
      <c r="G2" s="744"/>
    </row>
    <row r="3" spans="1:9" x14ac:dyDescent="0.2">
      <c r="A3" s="762" t="str">
        <f>+BALANCE!A3</f>
        <v>БАНК БУС САНХҮҮГИЙН БАЙГУУЛЛАГЫН НЭР</v>
      </c>
      <c r="B3" s="762"/>
      <c r="C3" s="762"/>
      <c r="D3" s="762"/>
      <c r="E3" s="762"/>
      <c r="F3" s="762"/>
      <c r="G3" s="762"/>
      <c r="H3" s="104"/>
      <c r="I3" s="104"/>
    </row>
    <row r="4" spans="1:9" x14ac:dyDescent="0.2">
      <c r="A4" s="744" t="str">
        <f>+BALANCE!A4</f>
        <v>БАНК БУС САНХҮҮГИЙН БАЙГУУЛЛАГА</v>
      </c>
      <c r="B4" s="744"/>
      <c r="C4" s="744"/>
      <c r="D4" s="744"/>
      <c r="E4" s="744"/>
      <c r="F4" s="744"/>
      <c r="G4" s="744"/>
      <c r="H4" s="2"/>
      <c r="I4" s="2"/>
    </row>
    <row r="5" spans="1:9" x14ac:dyDescent="0.2">
      <c r="A5" s="952">
        <f>+BALANCE!A6</f>
        <v>44742</v>
      </c>
      <c r="B5" s="952"/>
      <c r="G5" s="174" t="s">
        <v>439</v>
      </c>
    </row>
    <row r="6" spans="1:9" ht="16.5" customHeight="1" x14ac:dyDescent="0.2">
      <c r="A6" s="937" t="s">
        <v>529</v>
      </c>
      <c r="B6" s="937"/>
      <c r="C6" s="937"/>
      <c r="D6" s="937"/>
      <c r="E6" s="937"/>
      <c r="F6" s="964" t="s">
        <v>670</v>
      </c>
      <c r="G6" s="964"/>
    </row>
    <row r="7" spans="1:9" ht="43.5" customHeight="1" x14ac:dyDescent="0.2">
      <c r="A7" s="44" t="s">
        <v>2</v>
      </c>
      <c r="B7" s="263" t="s">
        <v>758</v>
      </c>
      <c r="C7" s="264" t="s">
        <v>759</v>
      </c>
      <c r="D7" s="263" t="s">
        <v>760</v>
      </c>
      <c r="E7" s="264" t="s">
        <v>761</v>
      </c>
      <c r="F7" s="264" t="s">
        <v>762</v>
      </c>
      <c r="G7" s="264" t="s">
        <v>1054</v>
      </c>
    </row>
    <row r="8" spans="1:9" x14ac:dyDescent="0.2">
      <c r="A8" s="265" t="s">
        <v>763</v>
      </c>
      <c r="B8" s="265" t="s">
        <v>764</v>
      </c>
      <c r="C8" s="266">
        <f>+C9+C10+C11</f>
        <v>0</v>
      </c>
      <c r="D8" s="267">
        <v>1</v>
      </c>
      <c r="E8" s="266">
        <f>+SUM(E9:E11)</f>
        <v>0</v>
      </c>
      <c r="F8" s="961">
        <f>+BALANCESHEET!C47</f>
        <v>0</v>
      </c>
      <c r="G8" s="958">
        <f>+F8-E8</f>
        <v>0</v>
      </c>
    </row>
    <row r="9" spans="1:9" ht="15" customHeight="1" x14ac:dyDescent="0.2">
      <c r="A9" s="263">
        <v>1</v>
      </c>
      <c r="B9" s="105" t="s">
        <v>765</v>
      </c>
      <c r="C9" s="175">
        <f>+BALANCESHEET!C34+BALANCESHEET!C41</f>
        <v>0</v>
      </c>
      <c r="D9" s="268">
        <v>0</v>
      </c>
      <c r="E9" s="269">
        <f>C9*D9</f>
        <v>0</v>
      </c>
      <c r="F9" s="961"/>
      <c r="G9" s="958"/>
    </row>
    <row r="10" spans="1:9" ht="15" customHeight="1" x14ac:dyDescent="0.2">
      <c r="A10" s="263">
        <v>2</v>
      </c>
      <c r="B10" s="105" t="s">
        <v>1174</v>
      </c>
      <c r="C10" s="175">
        <f>+BALANCESHEET!C35+BALANCESHEET!C42</f>
        <v>0</v>
      </c>
      <c r="D10" s="106">
        <v>0.05</v>
      </c>
      <c r="E10" s="269">
        <f>C10*D10</f>
        <v>0</v>
      </c>
      <c r="F10" s="961"/>
      <c r="G10" s="958"/>
    </row>
    <row r="11" spans="1:9" ht="15" customHeight="1" x14ac:dyDescent="0.2">
      <c r="A11" s="270">
        <v>3</v>
      </c>
      <c r="B11" s="271" t="s">
        <v>766</v>
      </c>
      <c r="C11" s="272">
        <f>SUM(C12:C14)</f>
        <v>0</v>
      </c>
      <c r="D11" s="273"/>
      <c r="E11" s="274">
        <f>SUM(E12:E14)</f>
        <v>0</v>
      </c>
      <c r="F11" s="961"/>
      <c r="G11" s="958"/>
    </row>
    <row r="12" spans="1:9" x14ac:dyDescent="0.2">
      <c r="A12" s="275"/>
      <c r="B12" s="107" t="s">
        <v>767</v>
      </c>
      <c r="C12" s="175">
        <f>+BALANCESHEET!C37+BALANCESHEET!C44</f>
        <v>0</v>
      </c>
      <c r="D12" s="106">
        <v>0.25</v>
      </c>
      <c r="E12" s="175">
        <f>C12*D12</f>
        <v>0</v>
      </c>
      <c r="F12" s="961"/>
      <c r="G12" s="958"/>
    </row>
    <row r="13" spans="1:9" x14ac:dyDescent="0.2">
      <c r="A13" s="275"/>
      <c r="B13" s="107" t="s">
        <v>768</v>
      </c>
      <c r="C13" s="175">
        <f>+BALANCESHEET!C38+BALANCESHEET!C45</f>
        <v>0</v>
      </c>
      <c r="D13" s="106">
        <v>0.5</v>
      </c>
      <c r="E13" s="175">
        <f>C13*D13</f>
        <v>0</v>
      </c>
      <c r="F13" s="961"/>
      <c r="G13" s="958"/>
    </row>
    <row r="14" spans="1:9" x14ac:dyDescent="0.2">
      <c r="A14" s="275"/>
      <c r="B14" s="107" t="s">
        <v>769</v>
      </c>
      <c r="C14" s="175">
        <f>+BALANCESHEET!C39+BALANCESHEET!C46</f>
        <v>0</v>
      </c>
      <c r="D14" s="106">
        <v>1</v>
      </c>
      <c r="E14" s="175">
        <f>C14*D14</f>
        <v>0</v>
      </c>
      <c r="F14" s="961"/>
      <c r="G14" s="958"/>
    </row>
    <row r="15" spans="1:9" x14ac:dyDescent="0.2">
      <c r="A15" s="276" t="s">
        <v>770</v>
      </c>
      <c r="B15" s="277" t="s">
        <v>771</v>
      </c>
      <c r="C15" s="278">
        <f>+SUM(C16:C18)</f>
        <v>0</v>
      </c>
      <c r="D15" s="279">
        <v>1</v>
      </c>
      <c r="E15" s="278">
        <f>+SUM(E16:E18)</f>
        <v>0</v>
      </c>
      <c r="F15" s="954">
        <f>+BALANCESHEET!C64</f>
        <v>0</v>
      </c>
      <c r="G15" s="955">
        <f>+F15-E15</f>
        <v>0</v>
      </c>
    </row>
    <row r="16" spans="1:9" ht="15" customHeight="1" x14ac:dyDescent="0.2">
      <c r="A16" s="263">
        <v>4</v>
      </c>
      <c r="B16" s="107" t="s">
        <v>772</v>
      </c>
      <c r="C16" s="280">
        <f>+SUM(BALANCESHEET!C51,BALANCESHEET!C58)</f>
        <v>0</v>
      </c>
      <c r="D16" s="281">
        <v>0</v>
      </c>
      <c r="E16" s="176">
        <f>+C16*D16</f>
        <v>0</v>
      </c>
      <c r="F16" s="954"/>
      <c r="G16" s="955"/>
    </row>
    <row r="17" spans="1:7" ht="14.25" customHeight="1" x14ac:dyDescent="0.2">
      <c r="A17" s="263">
        <v>5</v>
      </c>
      <c r="B17" s="107" t="s">
        <v>1175</v>
      </c>
      <c r="C17" s="176">
        <f>+SUM(BALANCESHEET!C52,BALANCESHEET!C59)</f>
        <v>0</v>
      </c>
      <c r="D17" s="108">
        <v>0.05</v>
      </c>
      <c r="E17" s="176">
        <f>+C17*D17</f>
        <v>0</v>
      </c>
      <c r="F17" s="954"/>
      <c r="G17" s="955"/>
    </row>
    <row r="18" spans="1:7" x14ac:dyDescent="0.2">
      <c r="A18" s="282">
        <v>6</v>
      </c>
      <c r="B18" s="271" t="s">
        <v>773</v>
      </c>
      <c r="C18" s="283">
        <f>+SUM(C19:C21)</f>
        <v>0</v>
      </c>
      <c r="D18" s="284"/>
      <c r="E18" s="283">
        <f>+SUM(E19:E21)</f>
        <v>0</v>
      </c>
      <c r="F18" s="954"/>
      <c r="G18" s="955"/>
    </row>
    <row r="19" spans="1:7" x14ac:dyDescent="0.2">
      <c r="A19" s="263"/>
      <c r="B19" s="107" t="s">
        <v>767</v>
      </c>
      <c r="C19" s="176">
        <f>+SUM(BALANCESHEET!C54,BALANCESHEET!C61)</f>
        <v>0</v>
      </c>
      <c r="D19" s="108">
        <v>0.25</v>
      </c>
      <c r="E19" s="176">
        <f>+C19*D19</f>
        <v>0</v>
      </c>
      <c r="F19" s="954"/>
      <c r="G19" s="955"/>
    </row>
    <row r="20" spans="1:7" x14ac:dyDescent="0.2">
      <c r="A20" s="263"/>
      <c r="B20" s="107" t="s">
        <v>768</v>
      </c>
      <c r="C20" s="176">
        <f>+SUM(BALANCESHEET!C55,BALANCESHEET!C62)</f>
        <v>0</v>
      </c>
      <c r="D20" s="108">
        <v>0.5</v>
      </c>
      <c r="E20" s="176">
        <f>+C20*D20</f>
        <v>0</v>
      </c>
      <c r="F20" s="954"/>
      <c r="G20" s="955"/>
    </row>
    <row r="21" spans="1:7" x14ac:dyDescent="0.2">
      <c r="A21" s="263"/>
      <c r="B21" s="107" t="s">
        <v>769</v>
      </c>
      <c r="C21" s="176">
        <f>+SUM(BALANCESHEET!C56,BALANCESHEET!C63)</f>
        <v>0</v>
      </c>
      <c r="D21" s="108">
        <v>1</v>
      </c>
      <c r="E21" s="176">
        <f>+C21*D21</f>
        <v>0</v>
      </c>
      <c r="F21" s="954"/>
      <c r="G21" s="955"/>
    </row>
    <row r="22" spans="1:7" x14ac:dyDescent="0.2">
      <c r="A22" s="265" t="s">
        <v>774</v>
      </c>
      <c r="B22" s="285" t="s">
        <v>775</v>
      </c>
      <c r="C22" s="286">
        <f>+SUM(C23:C25)</f>
        <v>0</v>
      </c>
      <c r="D22" s="287">
        <v>1</v>
      </c>
      <c r="E22" s="286">
        <f>+SUM(E23:E25)</f>
        <v>0</v>
      </c>
      <c r="F22" s="959">
        <f>+BALANCESHEET!C81</f>
        <v>0</v>
      </c>
      <c r="G22" s="960">
        <f>+F22-E22</f>
        <v>0</v>
      </c>
    </row>
    <row r="23" spans="1:7" x14ac:dyDescent="0.2">
      <c r="A23" s="263">
        <v>7</v>
      </c>
      <c r="B23" s="107" t="s">
        <v>776</v>
      </c>
      <c r="C23" s="288">
        <f>+SUM(BALANCESHEET!C68,BALANCESHEET!C75)</f>
        <v>0</v>
      </c>
      <c r="D23" s="281">
        <v>0</v>
      </c>
      <c r="E23" s="175">
        <f>+C23*D23</f>
        <v>0</v>
      </c>
      <c r="F23" s="959"/>
      <c r="G23" s="960"/>
    </row>
    <row r="24" spans="1:7" x14ac:dyDescent="0.2">
      <c r="A24" s="263">
        <v>8</v>
      </c>
      <c r="B24" s="105" t="s">
        <v>1176</v>
      </c>
      <c r="C24" s="175">
        <f>+SUM(BALANCESHEET!C69,BALANCESHEET!C76)</f>
        <v>0</v>
      </c>
      <c r="D24" s="108">
        <v>0.05</v>
      </c>
      <c r="E24" s="175">
        <f>+C24*D24</f>
        <v>0</v>
      </c>
      <c r="F24" s="959"/>
      <c r="G24" s="960"/>
    </row>
    <row r="25" spans="1:7" x14ac:dyDescent="0.2">
      <c r="A25" s="282">
        <v>9</v>
      </c>
      <c r="B25" s="289" t="s">
        <v>777</v>
      </c>
      <c r="C25" s="272">
        <f>+SUM(C26:C28)</f>
        <v>0</v>
      </c>
      <c r="D25" s="284"/>
      <c r="E25" s="272">
        <f>+SUM(E26:E28)</f>
        <v>0</v>
      </c>
      <c r="F25" s="959"/>
      <c r="G25" s="960"/>
    </row>
    <row r="26" spans="1:7" x14ac:dyDescent="0.2">
      <c r="A26" s="263"/>
      <c r="B26" s="105" t="s">
        <v>767</v>
      </c>
      <c r="C26" s="175">
        <f>+SUM(BALANCESHEET!C71,BALANCESHEET!C78)</f>
        <v>0</v>
      </c>
      <c r="D26" s="108">
        <v>0.25</v>
      </c>
      <c r="E26" s="175">
        <f>+C26*D26</f>
        <v>0</v>
      </c>
      <c r="F26" s="959"/>
      <c r="G26" s="960"/>
    </row>
    <row r="27" spans="1:7" x14ac:dyDescent="0.2">
      <c r="A27" s="263"/>
      <c r="B27" s="105" t="s">
        <v>768</v>
      </c>
      <c r="C27" s="175">
        <f>+SUM(BALANCESHEET!C72,BALANCESHEET!C79)</f>
        <v>0</v>
      </c>
      <c r="D27" s="108">
        <v>0.5</v>
      </c>
      <c r="E27" s="175">
        <f>+C27*D27</f>
        <v>0</v>
      </c>
      <c r="F27" s="959"/>
      <c r="G27" s="960"/>
    </row>
    <row r="28" spans="1:7" x14ac:dyDescent="0.2">
      <c r="A28" s="263"/>
      <c r="B28" s="105" t="s">
        <v>769</v>
      </c>
      <c r="C28" s="175">
        <f>+SUM(BALANCESHEET!C73,BALANCESHEET!C80)</f>
        <v>0</v>
      </c>
      <c r="D28" s="108">
        <v>1</v>
      </c>
      <c r="E28" s="175">
        <f>+C28*D28</f>
        <v>0</v>
      </c>
      <c r="F28" s="959"/>
      <c r="G28" s="960"/>
    </row>
    <row r="29" spans="1:7" x14ac:dyDescent="0.2">
      <c r="A29" s="265" t="s">
        <v>778</v>
      </c>
      <c r="B29" s="285" t="s">
        <v>512</v>
      </c>
      <c r="C29" s="286">
        <f>+SUM(C30:C32)</f>
        <v>0</v>
      </c>
      <c r="D29" s="287">
        <v>1</v>
      </c>
      <c r="E29" s="286">
        <f>+SUM(E30:E32)</f>
        <v>0</v>
      </c>
      <c r="F29" s="954">
        <f>+BALANCESHEET!C109</f>
        <v>0</v>
      </c>
      <c r="G29" s="955">
        <f>+F29-E29</f>
        <v>0</v>
      </c>
    </row>
    <row r="30" spans="1:7" x14ac:dyDescent="0.2">
      <c r="A30" s="263">
        <v>10</v>
      </c>
      <c r="B30" s="105" t="s">
        <v>292</v>
      </c>
      <c r="C30" s="175">
        <f>+SUM(BALANCESHEET!C96,BALANCESHEET!C103)</f>
        <v>0</v>
      </c>
      <c r="D30" s="268">
        <v>0</v>
      </c>
      <c r="E30" s="175">
        <f>+C30*D30</f>
        <v>0</v>
      </c>
      <c r="F30" s="954"/>
      <c r="G30" s="955"/>
    </row>
    <row r="31" spans="1:7" x14ac:dyDescent="0.2">
      <c r="A31" s="263">
        <v>11</v>
      </c>
      <c r="B31" s="105" t="s">
        <v>1170</v>
      </c>
      <c r="C31" s="175">
        <f>+SUM(BALANCESHEET!C97,BALANCESHEET!C104)</f>
        <v>0</v>
      </c>
      <c r="D31" s="108">
        <v>0.05</v>
      </c>
      <c r="E31" s="175">
        <f>+C31*D31</f>
        <v>0</v>
      </c>
      <c r="F31" s="954"/>
      <c r="G31" s="955"/>
    </row>
    <row r="32" spans="1:7" x14ac:dyDescent="0.2">
      <c r="A32" s="282">
        <v>12</v>
      </c>
      <c r="B32" s="289" t="s">
        <v>779</v>
      </c>
      <c r="C32" s="272">
        <f>+SUM(C33:C35)</f>
        <v>0</v>
      </c>
      <c r="D32" s="284"/>
      <c r="E32" s="272">
        <f>+SUM(E33:E35)</f>
        <v>0</v>
      </c>
      <c r="F32" s="954"/>
      <c r="G32" s="955"/>
    </row>
    <row r="33" spans="1:7" x14ac:dyDescent="0.2">
      <c r="A33" s="290"/>
      <c r="B33" s="105" t="s">
        <v>767</v>
      </c>
      <c r="C33" s="175">
        <f>+SUM(BALANCESHEET!C99,BALANCESHEET!C106)</f>
        <v>0</v>
      </c>
      <c r="D33" s="108">
        <v>0.25</v>
      </c>
      <c r="E33" s="175">
        <f>+C33*D33</f>
        <v>0</v>
      </c>
      <c r="F33" s="954"/>
      <c r="G33" s="955"/>
    </row>
    <row r="34" spans="1:7" x14ac:dyDescent="0.2">
      <c r="A34" s="290"/>
      <c r="B34" s="105" t="s">
        <v>768</v>
      </c>
      <c r="C34" s="175">
        <f>+SUM(BALANCESHEET!C100,BALANCESHEET!C107)</f>
        <v>0</v>
      </c>
      <c r="D34" s="108">
        <v>0.5</v>
      </c>
      <c r="E34" s="175">
        <f>+C34*D34</f>
        <v>0</v>
      </c>
      <c r="F34" s="954"/>
      <c r="G34" s="955"/>
    </row>
    <row r="35" spans="1:7" x14ac:dyDescent="0.2">
      <c r="A35" s="290"/>
      <c r="B35" s="105" t="s">
        <v>769</v>
      </c>
      <c r="C35" s="175">
        <f>+SUM(BALANCESHEET!C101,BALANCESHEET!C108)</f>
        <v>0</v>
      </c>
      <c r="D35" s="108">
        <v>1</v>
      </c>
      <c r="E35" s="175">
        <f>+C35*D35</f>
        <v>0</v>
      </c>
      <c r="F35" s="954"/>
      <c r="G35" s="955"/>
    </row>
    <row r="36" spans="1:7" x14ac:dyDescent="0.2">
      <c r="A36" s="265" t="s">
        <v>780</v>
      </c>
      <c r="B36" s="285" t="s">
        <v>781</v>
      </c>
      <c r="C36" s="291">
        <f>+SUM(BALANCESHEET!C17,BALANCESHEET!C23)</f>
        <v>0</v>
      </c>
      <c r="D36" s="292">
        <v>0</v>
      </c>
      <c r="E36" s="291">
        <f>+C36*D36</f>
        <v>0</v>
      </c>
      <c r="F36" s="293">
        <f>+BALANCESHEET!C30</f>
        <v>0</v>
      </c>
      <c r="G36" s="294">
        <f>+F36-E36</f>
        <v>0</v>
      </c>
    </row>
    <row r="37" spans="1:7" x14ac:dyDescent="0.2">
      <c r="A37" s="265" t="s">
        <v>782</v>
      </c>
      <c r="B37" s="285" t="s">
        <v>783</v>
      </c>
      <c r="C37" s="286">
        <f>+SUM(C38:C40)</f>
        <v>0</v>
      </c>
      <c r="D37" s="295">
        <v>1</v>
      </c>
      <c r="E37" s="286">
        <f>+SUM(E38:E40)</f>
        <v>0</v>
      </c>
      <c r="F37" s="956">
        <f>+BALANCESHEET!C84</f>
        <v>0</v>
      </c>
      <c r="G37" s="957">
        <f>+F37-E37</f>
        <v>0</v>
      </c>
    </row>
    <row r="38" spans="1:7" x14ac:dyDescent="0.2">
      <c r="A38" s="205">
        <v>13</v>
      </c>
      <c r="B38" s="107" t="s">
        <v>784</v>
      </c>
      <c r="C38" s="288">
        <f>+BALANCE!D176/1000</f>
        <v>0</v>
      </c>
      <c r="D38" s="296">
        <v>0</v>
      </c>
      <c r="E38" s="175">
        <f>+C38*D38</f>
        <v>0</v>
      </c>
      <c r="F38" s="956"/>
      <c r="G38" s="957"/>
    </row>
    <row r="39" spans="1:7" x14ac:dyDescent="0.2">
      <c r="A39" s="263">
        <v>14</v>
      </c>
      <c r="B39" s="105" t="s">
        <v>1177</v>
      </c>
      <c r="C39" s="175">
        <f>+BALANCE!D177/1000</f>
        <v>0</v>
      </c>
      <c r="D39" s="108">
        <v>0.05</v>
      </c>
      <c r="E39" s="175">
        <f>+C39*D39</f>
        <v>0</v>
      </c>
      <c r="F39" s="956"/>
      <c r="G39" s="957"/>
    </row>
    <row r="40" spans="1:7" x14ac:dyDescent="0.2">
      <c r="A40" s="282">
        <v>15</v>
      </c>
      <c r="B40" s="289" t="s">
        <v>785</v>
      </c>
      <c r="C40" s="272">
        <f>+SUM(C41:C43)</f>
        <v>0</v>
      </c>
      <c r="D40" s="284"/>
      <c r="E40" s="272">
        <f>+SUM(E41:E43)</f>
        <v>0</v>
      </c>
      <c r="F40" s="956"/>
      <c r="G40" s="957"/>
    </row>
    <row r="41" spans="1:7" x14ac:dyDescent="0.2">
      <c r="A41" s="263"/>
      <c r="B41" s="105" t="s">
        <v>767</v>
      </c>
      <c r="C41" s="175">
        <f>+BALANCE!D179/1000</f>
        <v>0</v>
      </c>
      <c r="D41" s="108">
        <v>0.25</v>
      </c>
      <c r="E41" s="175">
        <f>+C41*D41</f>
        <v>0</v>
      </c>
      <c r="F41" s="956"/>
      <c r="G41" s="957"/>
    </row>
    <row r="42" spans="1:7" x14ac:dyDescent="0.2">
      <c r="A42" s="263"/>
      <c r="B42" s="105" t="s">
        <v>768</v>
      </c>
      <c r="C42" s="175">
        <f>+BALANCE!D180/1000</f>
        <v>0</v>
      </c>
      <c r="D42" s="108">
        <v>0.5</v>
      </c>
      <c r="E42" s="175">
        <f>+C42*D42</f>
        <v>0</v>
      </c>
      <c r="F42" s="956"/>
      <c r="G42" s="957"/>
    </row>
    <row r="43" spans="1:7" x14ac:dyDescent="0.2">
      <c r="A43" s="263"/>
      <c r="B43" s="105" t="s">
        <v>769</v>
      </c>
      <c r="C43" s="175">
        <f>+BALANCE!D181/1000</f>
        <v>0</v>
      </c>
      <c r="D43" s="108">
        <v>1</v>
      </c>
      <c r="E43" s="175">
        <f>+C43*D43</f>
        <v>0</v>
      </c>
      <c r="F43" s="956"/>
      <c r="G43" s="957"/>
    </row>
    <row r="44" spans="1:7" ht="25.5" x14ac:dyDescent="0.2">
      <c r="A44" s="265" t="s">
        <v>786</v>
      </c>
      <c r="B44" s="285" t="s">
        <v>787</v>
      </c>
      <c r="C44" s="297">
        <f>+SUM(BALANCE!D332,BALANCE!D333)/1000</f>
        <v>0</v>
      </c>
      <c r="D44" s="298">
        <v>0</v>
      </c>
      <c r="E44" s="297">
        <f>+C44*D44</f>
        <v>0</v>
      </c>
      <c r="F44" s="299"/>
      <c r="G44" s="294"/>
    </row>
    <row r="45" spans="1:7" ht="15.75" customHeight="1" x14ac:dyDescent="0.2">
      <c r="A45" s="962" t="s">
        <v>788</v>
      </c>
      <c r="B45" s="962"/>
      <c r="C45" s="300">
        <f>+C44+C37+C36+C29+C22+C15+C8</f>
        <v>0</v>
      </c>
      <c r="D45" s="301"/>
      <c r="E45" s="300">
        <f>+E8+E15+E22+E29+E36+E37+E44</f>
        <v>0</v>
      </c>
      <c r="F45" s="302">
        <f>+F8+F15+F22+F29+F36+F37+F44</f>
        <v>0</v>
      </c>
      <c r="G45" s="303">
        <f>+G8+G15+G22+G29+G36+G37+G44</f>
        <v>0</v>
      </c>
    </row>
    <row r="47" spans="1:7" x14ac:dyDescent="0.2">
      <c r="A47" s="963" t="s">
        <v>36</v>
      </c>
      <c r="B47" s="963"/>
      <c r="C47" s="3"/>
      <c r="D47" s="136"/>
      <c r="E47" s="136"/>
      <c r="F47" s="13"/>
      <c r="G47" s="14"/>
    </row>
    <row r="48" spans="1:7" x14ac:dyDescent="0.2">
      <c r="B48" s="15"/>
      <c r="C48" s="16"/>
      <c r="D48" s="136"/>
      <c r="E48" s="136"/>
      <c r="F48" s="13"/>
      <c r="G48" s="14"/>
    </row>
    <row r="49" spans="2:7" x14ac:dyDescent="0.2">
      <c r="B49" s="816" t="s">
        <v>437</v>
      </c>
      <c r="C49" s="816"/>
      <c r="D49" s="17"/>
      <c r="F49" s="13"/>
      <c r="G49" s="14"/>
    </row>
    <row r="50" spans="2:7" x14ac:dyDescent="0.2">
      <c r="B50" s="15"/>
      <c r="C50" s="16"/>
      <c r="D50" s="136"/>
      <c r="E50" s="136"/>
      <c r="F50" s="13"/>
      <c r="G50" s="14"/>
    </row>
    <row r="51" spans="2:7" ht="15" customHeight="1" x14ac:dyDescent="0.2">
      <c r="B51" s="936" t="str">
        <f>+BALANCE!D361</f>
        <v>ГҮЙЦЭТГЭХ ЗАХИРАЛ.................................................................//</v>
      </c>
      <c r="C51" s="936"/>
      <c r="D51" s="936"/>
      <c r="E51" s="936"/>
      <c r="F51" s="936"/>
      <c r="G51" s="936"/>
    </row>
    <row r="52" spans="2:7" x14ac:dyDescent="0.2">
      <c r="B52" s="15"/>
      <c r="C52" s="53"/>
      <c r="D52" s="435"/>
      <c r="E52" s="449"/>
      <c r="F52" s="449"/>
      <c r="G52" s="449"/>
    </row>
    <row r="53" spans="2:7" ht="15" customHeight="1" x14ac:dyDescent="0.2">
      <c r="B53" s="936" t="str">
        <f>+BALANCE!D363</f>
        <v>ЕРӨНХИЙ НЯГТЛАН БОДОГЧ....................................................//</v>
      </c>
      <c r="C53" s="936"/>
      <c r="D53" s="936"/>
      <c r="E53" s="936"/>
      <c r="F53" s="936"/>
      <c r="G53" s="936"/>
    </row>
    <row r="54" spans="2:7" x14ac:dyDescent="0.2">
      <c r="B54" s="15"/>
      <c r="C54" s="53"/>
      <c r="D54" s="435"/>
      <c r="E54" s="449"/>
      <c r="F54" s="449"/>
      <c r="G54" s="449"/>
    </row>
    <row r="55" spans="2:7" ht="15" customHeight="1" x14ac:dyDescent="0.2">
      <c r="B55" s="936">
        <f>+BALANCE!D365</f>
        <v>0</v>
      </c>
      <c r="C55" s="936"/>
      <c r="D55" s="936"/>
      <c r="E55" s="936"/>
      <c r="F55" s="936"/>
      <c r="G55" s="936"/>
    </row>
  </sheetData>
  <sheetProtection password="CA9F"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44" t="s">
        <v>789</v>
      </c>
      <c r="B2" s="744"/>
      <c r="C2" s="744"/>
      <c r="D2" s="744"/>
      <c r="E2" s="744"/>
      <c r="F2" s="744"/>
      <c r="G2" s="744"/>
      <c r="H2" s="744"/>
      <c r="I2" s="744"/>
      <c r="J2" s="744"/>
      <c r="K2" s="744"/>
    </row>
    <row r="3" spans="1:12" x14ac:dyDescent="0.2">
      <c r="A3" s="965" t="str">
        <f>BALANCE!A3</f>
        <v>БАНК БУС САНХҮҮГИЙН БАЙГУУЛЛАГЫН НЭР</v>
      </c>
      <c r="B3" s="965"/>
      <c r="C3" s="965"/>
      <c r="D3" s="965"/>
      <c r="E3" s="965"/>
      <c r="F3" s="965"/>
      <c r="G3" s="965"/>
      <c r="H3" s="965"/>
      <c r="I3" s="965"/>
      <c r="J3" s="965"/>
      <c r="K3" s="965"/>
    </row>
    <row r="4" spans="1:12" x14ac:dyDescent="0.2">
      <c r="A4" s="744" t="str">
        <f>+BALANCE!A4</f>
        <v>БАНК БУС САНХҮҮГИЙН БАЙГУУЛЛАГА</v>
      </c>
      <c r="B4" s="744"/>
      <c r="C4" s="744"/>
      <c r="D4" s="744"/>
      <c r="E4" s="744"/>
      <c r="F4" s="744"/>
      <c r="G4" s="744"/>
      <c r="H4" s="744"/>
      <c r="I4" s="744"/>
      <c r="J4" s="744"/>
      <c r="K4" s="744"/>
    </row>
    <row r="5" spans="1:12" x14ac:dyDescent="0.2">
      <c r="A5" s="423"/>
      <c r="B5" s="423"/>
      <c r="C5" s="423"/>
      <c r="D5" s="423"/>
      <c r="E5" s="423"/>
      <c r="F5" s="423"/>
      <c r="G5" s="423"/>
      <c r="H5" s="423"/>
      <c r="I5" s="423"/>
      <c r="J5" s="423"/>
      <c r="K5" s="423"/>
    </row>
    <row r="6" spans="1:12" x14ac:dyDescent="0.2">
      <c r="A6" s="829">
        <f>BALANCE!A6</f>
        <v>44742</v>
      </c>
      <c r="B6" s="829"/>
      <c r="J6" s="953" t="s">
        <v>439</v>
      </c>
      <c r="K6" s="953"/>
    </row>
    <row r="7" spans="1:12" ht="18.75" customHeight="1" x14ac:dyDescent="0.2">
      <c r="A7" s="937" t="s">
        <v>790</v>
      </c>
      <c r="B7" s="937"/>
      <c r="C7" s="428" t="s">
        <v>791</v>
      </c>
      <c r="D7" s="428" t="s">
        <v>792</v>
      </c>
      <c r="E7" s="428" t="s">
        <v>793</v>
      </c>
      <c r="F7" s="428" t="s">
        <v>794</v>
      </c>
      <c r="G7" s="428" t="s">
        <v>795</v>
      </c>
      <c r="H7" s="428" t="s">
        <v>796</v>
      </c>
      <c r="I7" s="428" t="s">
        <v>797</v>
      </c>
      <c r="J7" s="428" t="s">
        <v>798</v>
      </c>
      <c r="K7" s="428" t="s">
        <v>799</v>
      </c>
    </row>
    <row r="8" spans="1:12" x14ac:dyDescent="0.2">
      <c r="A8" s="39">
        <v>1</v>
      </c>
      <c r="B8" s="39" t="s">
        <v>53</v>
      </c>
      <c r="C8" s="255">
        <f>+BALANCESHEET!C11</f>
        <v>0</v>
      </c>
      <c r="D8" s="255"/>
      <c r="E8" s="255"/>
      <c r="F8" s="255"/>
      <c r="G8" s="255"/>
      <c r="H8" s="255"/>
      <c r="I8" s="255"/>
      <c r="J8" s="255"/>
      <c r="K8" s="255">
        <f t="shared" ref="K8:K15" si="0">+SUM(C8:J8)</f>
        <v>0</v>
      </c>
    </row>
    <row r="9" spans="1:12" x14ac:dyDescent="0.2">
      <c r="A9" s="39">
        <v>2</v>
      </c>
      <c r="B9" s="39" t="s">
        <v>719</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720</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31</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800</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801</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802</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803</v>
      </c>
      <c r="C15" s="304"/>
      <c r="D15" s="540"/>
      <c r="E15" s="304"/>
      <c r="F15" s="304"/>
      <c r="G15" s="304"/>
      <c r="H15" s="304"/>
      <c r="I15" s="304"/>
      <c r="J15" s="304"/>
      <c r="K15" s="255">
        <f t="shared" si="0"/>
        <v>0</v>
      </c>
      <c r="L15" s="9" t="str">
        <f>+IF(K15=ROUND((BALANCESHEET!C110),2),"","Тэнцлийн дүн зөрүүтэй")</f>
        <v/>
      </c>
    </row>
    <row r="16" spans="1:12" x14ac:dyDescent="0.2">
      <c r="A16" s="966" t="s">
        <v>804</v>
      </c>
      <c r="B16" s="966"/>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7" t="s">
        <v>805</v>
      </c>
      <c r="B17" s="967"/>
      <c r="C17" s="305"/>
      <c r="D17" s="305"/>
      <c r="E17" s="305"/>
      <c r="F17" s="305"/>
      <c r="G17" s="305"/>
      <c r="H17" s="305"/>
      <c r="I17" s="305"/>
      <c r="J17" s="305"/>
      <c r="K17" s="305"/>
    </row>
    <row r="18" spans="1:12" x14ac:dyDescent="0.2">
      <c r="A18" s="39">
        <v>1</v>
      </c>
      <c r="B18" s="39" t="s">
        <v>54</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722</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726</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806</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743</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807</v>
      </c>
      <c r="C23" s="201"/>
      <c r="D23" s="201"/>
      <c r="E23" s="201"/>
      <c r="F23" s="201"/>
      <c r="G23" s="201"/>
      <c r="H23" s="201"/>
      <c r="I23" s="201"/>
      <c r="J23" s="201"/>
      <c r="K23" s="255">
        <f t="shared" si="2"/>
        <v>0</v>
      </c>
      <c r="L23" s="9" t="str">
        <f>+IF(K23=ROUND((BALANCESHEET!G97),2),"","Тэнцлийн дүн зөрүүтэй")</f>
        <v/>
      </c>
    </row>
    <row r="24" spans="1:12" x14ac:dyDescent="0.2">
      <c r="A24" s="966" t="s">
        <v>808</v>
      </c>
      <c r="B24" s="966"/>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68" t="s">
        <v>809</v>
      </c>
      <c r="B25" s="968"/>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68" t="s">
        <v>810</v>
      </c>
      <c r="B26" s="968"/>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69" t="s">
        <v>811</v>
      </c>
      <c r="B27" s="969"/>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1124</v>
      </c>
    </row>
    <row r="29" spans="1:12" x14ac:dyDescent="0.2">
      <c r="B29" s="3" t="s">
        <v>1125</v>
      </c>
    </row>
    <row r="31" spans="1:12" x14ac:dyDescent="0.2">
      <c r="B31" s="424" t="s">
        <v>36</v>
      </c>
      <c r="C31" s="136"/>
      <c r="D31" s="135"/>
      <c r="E31" s="13"/>
      <c r="F31" s="14"/>
    </row>
    <row r="32" spans="1:12" x14ac:dyDescent="0.2">
      <c r="B32" s="424"/>
      <c r="C32" s="136"/>
      <c r="D32" s="135"/>
      <c r="E32" s="13"/>
      <c r="F32" s="14"/>
    </row>
    <row r="33" spans="2:8" x14ac:dyDescent="0.2">
      <c r="B33" s="133"/>
      <c r="C33" s="427" t="s">
        <v>437</v>
      </c>
      <c r="D33" s="137"/>
      <c r="E33" s="427"/>
      <c r="F33" s="3"/>
    </row>
    <row r="34" spans="2:8" x14ac:dyDescent="0.2">
      <c r="B34" s="16"/>
      <c r="C34" s="136"/>
      <c r="D34" s="135"/>
      <c r="E34" s="13"/>
      <c r="F34" s="14"/>
    </row>
    <row r="35" spans="2:8" ht="15" customHeight="1" x14ac:dyDescent="0.2">
      <c r="B35" s="177"/>
      <c r="C35" s="177"/>
      <c r="D35" s="936" t="str">
        <f>BALANCE!D361</f>
        <v>ГҮЙЦЭТГЭХ ЗАХИРАЛ.................................................................//</v>
      </c>
      <c r="E35" s="936"/>
      <c r="F35" s="936"/>
      <c r="G35" s="936"/>
      <c r="H35" s="936"/>
    </row>
    <row r="36" spans="2:8" x14ac:dyDescent="0.2">
      <c r="B36" s="426"/>
      <c r="C36" s="426"/>
      <c r="D36" s="449"/>
      <c r="E36" s="449"/>
      <c r="F36" s="449"/>
      <c r="G36" s="546"/>
      <c r="H36" s="546"/>
    </row>
    <row r="37" spans="2:8" ht="15" customHeight="1" x14ac:dyDescent="0.2">
      <c r="B37" s="177"/>
      <c r="C37" s="177"/>
      <c r="D37" s="936" t="str">
        <f>BALANCE!D363</f>
        <v>ЕРӨНХИЙ НЯГТЛАН БОДОГЧ....................................................//</v>
      </c>
      <c r="E37" s="936"/>
      <c r="F37" s="936"/>
      <c r="G37" s="936"/>
      <c r="H37" s="936"/>
    </row>
    <row r="38" spans="2:8" x14ac:dyDescent="0.2">
      <c r="B38" s="426"/>
      <c r="C38" s="426"/>
      <c r="D38" s="449"/>
      <c r="E38" s="449"/>
      <c r="F38" s="449"/>
      <c r="G38" s="546"/>
      <c r="H38" s="546"/>
    </row>
    <row r="39" spans="2:8" ht="15" customHeight="1" x14ac:dyDescent="0.2">
      <c r="B39" s="177"/>
      <c r="C39" s="177"/>
      <c r="D39" s="936">
        <f>BALANCE!D365</f>
        <v>0</v>
      </c>
      <c r="E39" s="936"/>
      <c r="F39" s="936"/>
      <c r="G39" s="936"/>
      <c r="H39" s="936"/>
    </row>
  </sheetData>
  <sheetProtection password="CA9F" sheet="1" objects="1" scenarios="1"/>
  <mergeCells count="15">
    <mergeCell ref="D39:H39"/>
    <mergeCell ref="D37:H37"/>
    <mergeCell ref="A16:B16"/>
    <mergeCell ref="A17:B17"/>
    <mergeCell ref="A24:B24"/>
    <mergeCell ref="A25:B25"/>
    <mergeCell ref="A26:B26"/>
    <mergeCell ref="A27:B27"/>
    <mergeCell ref="D35:H35"/>
    <mergeCell ref="A7:B7"/>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70" t="s">
        <v>812</v>
      </c>
      <c r="B2" s="770"/>
      <c r="C2" s="770"/>
      <c r="D2" s="770"/>
      <c r="E2" s="770"/>
      <c r="F2" s="770"/>
      <c r="G2" s="770"/>
      <c r="H2" s="770"/>
      <c r="I2" s="770"/>
      <c r="J2" s="770"/>
      <c r="K2" s="770"/>
      <c r="L2" s="770"/>
      <c r="M2" s="770"/>
      <c r="N2" s="770"/>
      <c r="O2" s="770"/>
      <c r="P2" s="770"/>
      <c r="Q2" s="770"/>
      <c r="R2" s="770"/>
      <c r="S2" s="770"/>
    </row>
    <row r="3" spans="1:21" x14ac:dyDescent="0.2">
      <c r="A3" s="769" t="str">
        <f>BALANCE!A3</f>
        <v>БАНК БУС САНХҮҮГИЙН БАЙГУУЛЛАГЫН НЭР</v>
      </c>
      <c r="B3" s="769"/>
      <c r="C3" s="769"/>
      <c r="D3" s="769"/>
      <c r="E3" s="769"/>
      <c r="F3" s="769"/>
      <c r="G3" s="769"/>
      <c r="H3" s="769"/>
      <c r="I3" s="769"/>
      <c r="J3" s="769"/>
      <c r="K3" s="769"/>
      <c r="L3" s="769"/>
      <c r="M3" s="769"/>
      <c r="N3" s="769"/>
      <c r="O3" s="769"/>
      <c r="P3" s="769"/>
      <c r="Q3" s="769"/>
      <c r="R3" s="769"/>
      <c r="S3" s="769"/>
    </row>
    <row r="4" spans="1:21" x14ac:dyDescent="0.2">
      <c r="A4" s="744" t="str">
        <f>BALANCE!A4</f>
        <v>БАНК БУС САНХҮҮГИЙН БАЙГУУЛЛАГА</v>
      </c>
      <c r="B4" s="744"/>
      <c r="C4" s="744"/>
      <c r="D4" s="744"/>
      <c r="E4" s="744"/>
      <c r="F4" s="744"/>
      <c r="G4" s="744"/>
      <c r="H4" s="744"/>
      <c r="I4" s="744"/>
      <c r="J4" s="744"/>
      <c r="K4" s="744"/>
      <c r="L4" s="744"/>
      <c r="M4" s="744"/>
      <c r="N4" s="744"/>
      <c r="O4" s="744"/>
      <c r="P4" s="744"/>
      <c r="Q4" s="744"/>
      <c r="R4" s="744"/>
      <c r="S4" s="744"/>
    </row>
    <row r="5" spans="1:21" x14ac:dyDescent="0.2">
      <c r="A5" s="829">
        <f>BALANCE!A6</f>
        <v>44742</v>
      </c>
      <c r="B5" s="829"/>
      <c r="C5" s="443"/>
      <c r="D5" s="443"/>
      <c r="E5" s="179"/>
      <c r="F5" s="522"/>
      <c r="G5" s="439"/>
      <c r="H5" s="439"/>
      <c r="I5" s="439"/>
      <c r="J5" s="439"/>
      <c r="K5" s="439"/>
      <c r="L5" s="179"/>
      <c r="M5" s="179"/>
      <c r="N5" s="523"/>
      <c r="O5" s="523"/>
      <c r="P5" s="179"/>
      <c r="Q5" s="179"/>
      <c r="R5" s="974" t="s">
        <v>439</v>
      </c>
      <c r="S5" s="974"/>
    </row>
    <row r="6" spans="1:21" ht="51" customHeight="1" x14ac:dyDescent="0.2">
      <c r="A6" s="988" t="s">
        <v>813</v>
      </c>
      <c r="B6" s="990" t="s">
        <v>1055</v>
      </c>
      <c r="C6" s="991"/>
      <c r="D6" s="972" t="s">
        <v>1058</v>
      </c>
      <c r="E6" s="970" t="s">
        <v>1282</v>
      </c>
      <c r="F6" s="983" t="s">
        <v>1059</v>
      </c>
      <c r="G6" s="970" t="s">
        <v>814</v>
      </c>
      <c r="H6" s="972" t="s">
        <v>815</v>
      </c>
      <c r="I6" s="972" t="s">
        <v>816</v>
      </c>
      <c r="J6" s="972" t="s">
        <v>817</v>
      </c>
      <c r="K6" s="972" t="s">
        <v>818</v>
      </c>
      <c r="L6" s="992" t="s">
        <v>819</v>
      </c>
      <c r="M6" s="994" t="s">
        <v>1060</v>
      </c>
      <c r="N6" s="987" t="s">
        <v>1101</v>
      </c>
      <c r="O6" s="987" t="s">
        <v>1061</v>
      </c>
      <c r="P6" s="975" t="s">
        <v>820</v>
      </c>
      <c r="Q6" s="970" t="s">
        <v>821</v>
      </c>
      <c r="R6" s="970" t="s">
        <v>822</v>
      </c>
      <c r="S6" s="985" t="s">
        <v>823</v>
      </c>
    </row>
    <row r="7" spans="1:21" x14ac:dyDescent="0.2">
      <c r="A7" s="989"/>
      <c r="B7" s="670" t="s">
        <v>1163</v>
      </c>
      <c r="C7" s="448" t="s">
        <v>1057</v>
      </c>
      <c r="D7" s="973"/>
      <c r="E7" s="982"/>
      <c r="F7" s="984"/>
      <c r="G7" s="971"/>
      <c r="H7" s="973"/>
      <c r="I7" s="973"/>
      <c r="J7" s="973"/>
      <c r="K7" s="973"/>
      <c r="L7" s="993"/>
      <c r="M7" s="994"/>
      <c r="N7" s="987"/>
      <c r="O7" s="987"/>
      <c r="P7" s="976"/>
      <c r="Q7" s="971"/>
      <c r="R7" s="971"/>
      <c r="S7" s="986"/>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77" t="s">
        <v>824</v>
      </c>
      <c r="B48" s="978"/>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80" t="s">
        <v>825</v>
      </c>
      <c r="R49" s="980"/>
      <c r="S49" s="606" t="e">
        <f>MAX(S8:S47)</f>
        <v>#DIV/0!</v>
      </c>
    </row>
    <row r="50" spans="1:20" s="100" customFormat="1" ht="12.75" customHeight="1" x14ac:dyDescent="0.2">
      <c r="A50" s="981" t="s">
        <v>1079</v>
      </c>
      <c r="B50" s="981"/>
      <c r="C50" s="981"/>
      <c r="D50" s="981"/>
      <c r="E50" s="981"/>
      <c r="F50" s="981"/>
      <c r="G50" s="981"/>
      <c r="H50" s="981"/>
      <c r="I50" s="981"/>
      <c r="J50" s="981"/>
      <c r="K50" s="981"/>
      <c r="L50" s="981"/>
      <c r="M50" s="981"/>
      <c r="N50" s="981"/>
      <c r="O50" s="981"/>
      <c r="P50" s="981"/>
      <c r="Q50" s="981"/>
      <c r="R50" s="981"/>
      <c r="S50" s="981"/>
      <c r="T50" s="605"/>
    </row>
    <row r="51" spans="1:20" ht="12.75" customHeight="1" x14ac:dyDescent="0.2">
      <c r="A51" s="979" t="s">
        <v>927</v>
      </c>
      <c r="B51" s="979"/>
      <c r="C51" s="979"/>
      <c r="D51" s="979"/>
      <c r="E51" s="979"/>
      <c r="F51" s="979"/>
      <c r="G51" s="979"/>
      <c r="H51" s="979"/>
      <c r="I51" s="979"/>
      <c r="J51" s="979"/>
      <c r="K51" s="979"/>
      <c r="L51" s="979"/>
      <c r="M51" s="979"/>
      <c r="N51" s="979"/>
      <c r="O51" s="979"/>
      <c r="P51" s="979"/>
      <c r="Q51" s="979"/>
      <c r="R51" s="979"/>
      <c r="S51" s="979"/>
      <c r="T51" s="548"/>
    </row>
    <row r="52" spans="1:20" x14ac:dyDescent="0.2">
      <c r="A52" s="979"/>
      <c r="B52" s="979"/>
      <c r="C52" s="979"/>
      <c r="D52" s="979"/>
      <c r="E52" s="979"/>
      <c r="F52" s="979"/>
      <c r="G52" s="979"/>
      <c r="H52" s="979"/>
      <c r="I52" s="979"/>
      <c r="J52" s="979"/>
      <c r="K52" s="979"/>
      <c r="L52" s="979"/>
      <c r="M52" s="979"/>
      <c r="N52" s="979"/>
      <c r="O52" s="979"/>
      <c r="P52" s="979"/>
      <c r="Q52" s="979"/>
      <c r="R52" s="979"/>
      <c r="S52" s="979"/>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13" t="s">
        <v>36</v>
      </c>
      <c r="F54" s="813"/>
      <c r="G54" s="814"/>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16" t="s">
        <v>437</v>
      </c>
      <c r="H56" s="816"/>
      <c r="I56" s="816"/>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6" t="str">
        <f>BALANCE!D361</f>
        <v>ГҮЙЦЭТГЭХ ЗАХИРАЛ.................................................................//</v>
      </c>
      <c r="I58" s="936"/>
      <c r="J58" s="936"/>
      <c r="K58" s="936"/>
      <c r="L58" s="936"/>
      <c r="M58" s="936"/>
      <c r="N58" s="936"/>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6" t="str">
        <f>BALANCE!D363</f>
        <v>ЕРӨНХИЙ НЯГТЛАН БОДОГЧ....................................................//</v>
      </c>
      <c r="I60" s="936"/>
      <c r="J60" s="936"/>
      <c r="K60" s="936"/>
      <c r="L60" s="936"/>
      <c r="M60" s="936"/>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6">
        <f>BALANCE!D365</f>
        <v>0</v>
      </c>
      <c r="I62" s="936"/>
      <c r="J62" s="936"/>
      <c r="K62" s="936"/>
      <c r="L62" s="936"/>
      <c r="M62" s="936"/>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826</v>
      </c>
      <c r="C64" s="342"/>
      <c r="D64" s="342"/>
      <c r="E64" s="180" t="s">
        <v>12</v>
      </c>
      <c r="F64" s="527"/>
      <c r="G64" s="180"/>
      <c r="L64" s="180"/>
      <c r="M64" s="180"/>
      <c r="N64" s="528"/>
      <c r="O64" s="528"/>
      <c r="P64" s="180"/>
      <c r="Q64" s="376"/>
      <c r="R64" s="180"/>
      <c r="S64" s="184"/>
    </row>
    <row r="65" spans="2:19" s="100" customFormat="1" hidden="1" x14ac:dyDescent="0.2">
      <c r="B65" s="342" t="s">
        <v>827</v>
      </c>
      <c r="C65" s="342"/>
      <c r="D65" s="342"/>
      <c r="E65" s="180" t="s">
        <v>828</v>
      </c>
      <c r="F65" s="527"/>
      <c r="G65" s="180"/>
      <c r="L65" s="180"/>
      <c r="M65" s="180"/>
      <c r="N65" s="528"/>
      <c r="O65" s="528"/>
      <c r="P65" s="180"/>
      <c r="Q65" s="376"/>
      <c r="R65" s="180"/>
      <c r="S65" s="184"/>
    </row>
    <row r="66" spans="2:19" s="100" customFormat="1" hidden="1" x14ac:dyDescent="0.2">
      <c r="B66" s="343" t="s">
        <v>829</v>
      </c>
      <c r="C66" s="343"/>
      <c r="D66" s="343"/>
      <c r="E66" s="180" t="s">
        <v>481</v>
      </c>
      <c r="F66" s="527"/>
      <c r="G66" s="180"/>
      <c r="L66" s="180"/>
      <c r="M66" s="180"/>
      <c r="N66" s="528"/>
      <c r="O66" s="528"/>
      <c r="P66" s="180"/>
      <c r="Q66" s="376"/>
      <c r="R66" s="180"/>
      <c r="S66" s="184"/>
    </row>
    <row r="67" spans="2:19" s="100" customFormat="1" hidden="1" x14ac:dyDescent="0.2">
      <c r="B67" s="343" t="s">
        <v>830</v>
      </c>
      <c r="C67" s="343"/>
      <c r="D67" s="343"/>
      <c r="E67" s="180" t="s">
        <v>474</v>
      </c>
      <c r="F67" s="527"/>
      <c r="G67" s="180"/>
      <c r="L67" s="180"/>
      <c r="M67" s="180"/>
      <c r="N67" s="528"/>
      <c r="O67" s="528"/>
      <c r="P67" s="180"/>
      <c r="Q67" s="376"/>
      <c r="R67" s="180"/>
      <c r="S67" s="184"/>
    </row>
    <row r="68" spans="2:19" s="100" customFormat="1" hidden="1" x14ac:dyDescent="0.2">
      <c r="B68" s="343" t="s">
        <v>831</v>
      </c>
      <c r="C68" s="343"/>
      <c r="D68" s="343"/>
      <c r="E68" s="180" t="s">
        <v>832</v>
      </c>
      <c r="F68" s="527"/>
      <c r="G68" s="180"/>
      <c r="L68" s="180"/>
      <c r="M68" s="180"/>
      <c r="N68" s="528"/>
      <c r="O68" s="528"/>
      <c r="P68" s="180"/>
      <c r="Q68" s="376"/>
      <c r="R68" s="180"/>
      <c r="S68" s="184"/>
    </row>
    <row r="69" spans="2:19" s="100" customFormat="1" hidden="1" x14ac:dyDescent="0.2">
      <c r="B69" s="343" t="s">
        <v>833</v>
      </c>
      <c r="C69" s="343"/>
      <c r="D69" s="343"/>
      <c r="E69" s="180"/>
      <c r="F69" s="527"/>
      <c r="G69" s="180"/>
      <c r="L69" s="180"/>
      <c r="M69" s="180"/>
      <c r="N69" s="528"/>
      <c r="O69" s="528"/>
      <c r="P69" s="180"/>
      <c r="Q69" s="376"/>
      <c r="R69" s="180"/>
      <c r="S69" s="184"/>
    </row>
    <row r="70" spans="2:19" s="100" customFormat="1" hidden="1" x14ac:dyDescent="0.2">
      <c r="B70" s="343" t="s">
        <v>128</v>
      </c>
      <c r="C70" s="343"/>
      <c r="D70" s="343"/>
      <c r="E70" s="180"/>
      <c r="F70" s="527"/>
      <c r="G70" s="180"/>
      <c r="L70" s="180"/>
      <c r="M70" s="180"/>
      <c r="N70" s="528"/>
      <c r="O70" s="528"/>
      <c r="P70" s="180"/>
      <c r="Q70" s="376"/>
      <c r="R70" s="180"/>
      <c r="S70" s="184"/>
    </row>
    <row r="71" spans="2:19" s="100" customFormat="1" hidden="1" x14ac:dyDescent="0.2">
      <c r="B71" s="343" t="s">
        <v>834</v>
      </c>
      <c r="C71" s="343"/>
      <c r="D71" s="343"/>
      <c r="E71" s="180"/>
      <c r="F71" s="527"/>
      <c r="G71" s="180"/>
      <c r="L71" s="180"/>
      <c r="M71" s="180"/>
      <c r="N71" s="528"/>
      <c r="O71" s="528"/>
      <c r="P71" s="180"/>
      <c r="Q71" s="376"/>
      <c r="R71" s="180"/>
      <c r="S71" s="184"/>
    </row>
    <row r="72" spans="2:19" s="100" customFormat="1" hidden="1" x14ac:dyDescent="0.2">
      <c r="B72" s="343" t="s">
        <v>835</v>
      </c>
      <c r="C72" s="343"/>
      <c r="D72" s="343"/>
      <c r="E72" s="180"/>
      <c r="F72" s="527"/>
      <c r="G72" s="180"/>
      <c r="L72" s="180"/>
      <c r="M72" s="180"/>
      <c r="N72" s="528"/>
      <c r="O72" s="528"/>
      <c r="P72" s="180"/>
      <c r="Q72" s="376"/>
      <c r="R72" s="180"/>
      <c r="S72" s="184"/>
    </row>
    <row r="73" spans="2:19" s="100" customFormat="1" hidden="1" x14ac:dyDescent="0.2">
      <c r="B73" s="343" t="s">
        <v>836</v>
      </c>
      <c r="C73" s="343"/>
      <c r="D73" s="343"/>
      <c r="E73" s="180"/>
      <c r="F73" s="527"/>
      <c r="G73" s="180"/>
      <c r="L73" s="180"/>
      <c r="M73" s="180"/>
      <c r="N73" s="528"/>
      <c r="O73" s="528"/>
      <c r="P73" s="180"/>
      <c r="Q73" s="376"/>
      <c r="R73" s="180"/>
      <c r="S73" s="184"/>
    </row>
    <row r="74" spans="2:19" s="100" customFormat="1" hidden="1" x14ac:dyDescent="0.2">
      <c r="B74" s="343" t="s">
        <v>837</v>
      </c>
      <c r="C74" s="343"/>
      <c r="D74" s="343"/>
      <c r="E74" s="180"/>
      <c r="F74" s="527"/>
      <c r="G74" s="180"/>
      <c r="L74" s="180"/>
      <c r="M74" s="180"/>
      <c r="N74" s="528"/>
      <c r="O74" s="528"/>
      <c r="P74" s="180"/>
      <c r="Q74" s="376"/>
      <c r="R74" s="180"/>
      <c r="S74" s="184"/>
    </row>
    <row r="75" spans="2:19" s="100" customFormat="1" hidden="1" x14ac:dyDescent="0.2">
      <c r="B75" s="343" t="s">
        <v>838</v>
      </c>
      <c r="C75" s="343"/>
      <c r="D75" s="343"/>
      <c r="E75" s="180"/>
      <c r="F75" s="527"/>
      <c r="G75" s="180"/>
      <c r="L75" s="180"/>
      <c r="M75" s="180"/>
      <c r="N75" s="528"/>
      <c r="O75" s="528"/>
      <c r="P75" s="180"/>
      <c r="Q75" s="376"/>
      <c r="R75" s="180"/>
      <c r="S75" s="184"/>
    </row>
    <row r="76" spans="2:19" s="100" customFormat="1" hidden="1" x14ac:dyDescent="0.2">
      <c r="B76" s="344" t="s">
        <v>162</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1084</v>
      </c>
      <c r="E80" s="533"/>
      <c r="F80" s="534"/>
      <c r="G80" s="533"/>
      <c r="H80" s="532"/>
      <c r="I80" s="532"/>
      <c r="J80" s="532"/>
      <c r="K80" s="532" t="s">
        <v>1081</v>
      </c>
      <c r="L80" s="180"/>
      <c r="M80" s="180"/>
      <c r="N80" s="528"/>
      <c r="O80" s="528"/>
      <c r="P80" s="180"/>
      <c r="Q80" s="376"/>
      <c r="R80" s="180"/>
      <c r="S80" s="184"/>
    </row>
    <row r="81" spans="2:19" s="100" customFormat="1" hidden="1" x14ac:dyDescent="0.2">
      <c r="B81" s="109"/>
      <c r="C81" s="109"/>
      <c r="D81" s="532" t="s">
        <v>128</v>
      </c>
      <c r="E81" s="533"/>
      <c r="F81" s="534"/>
      <c r="G81" s="533"/>
      <c r="H81" s="532"/>
      <c r="I81" s="532"/>
      <c r="J81" s="532"/>
      <c r="K81" s="532" t="s">
        <v>95</v>
      </c>
      <c r="L81" s="180"/>
      <c r="M81" s="180"/>
      <c r="N81" s="528"/>
      <c r="O81" s="528"/>
      <c r="P81" s="180"/>
      <c r="Q81" s="376"/>
      <c r="R81" s="180"/>
      <c r="S81" s="184"/>
    </row>
    <row r="82" spans="2:19" s="100" customFormat="1" hidden="1" x14ac:dyDescent="0.2">
      <c r="B82" s="109"/>
      <c r="C82" s="109"/>
      <c r="D82" s="532" t="s">
        <v>1085</v>
      </c>
      <c r="E82" s="533"/>
      <c r="F82" s="534"/>
      <c r="G82" s="533"/>
      <c r="H82" s="532"/>
      <c r="I82" s="532"/>
      <c r="J82" s="532"/>
      <c r="K82" s="532" t="s">
        <v>1086</v>
      </c>
      <c r="L82" s="180"/>
      <c r="M82" s="180"/>
      <c r="N82" s="528"/>
      <c r="O82" s="528"/>
      <c r="P82" s="180"/>
      <c r="Q82" s="376"/>
      <c r="R82" s="180"/>
      <c r="S82" s="184"/>
    </row>
    <row r="83" spans="2:19" s="100" customFormat="1" hidden="1" x14ac:dyDescent="0.2">
      <c r="B83" s="109"/>
      <c r="C83" s="109"/>
      <c r="D83" s="532" t="s">
        <v>1087</v>
      </c>
      <c r="E83" s="533"/>
      <c r="F83" s="534"/>
      <c r="G83" s="533"/>
      <c r="H83" s="532"/>
      <c r="I83" s="532"/>
      <c r="J83" s="532"/>
      <c r="K83" s="532" t="s">
        <v>1088</v>
      </c>
      <c r="L83" s="180"/>
      <c r="M83" s="180"/>
      <c r="N83" s="528"/>
      <c r="O83" s="528"/>
      <c r="P83" s="180"/>
      <c r="Q83" s="376"/>
      <c r="R83" s="180"/>
      <c r="S83" s="184"/>
    </row>
    <row r="84" spans="2:19" s="100" customFormat="1" hidden="1" x14ac:dyDescent="0.2">
      <c r="B84" s="109"/>
      <c r="C84" s="109"/>
      <c r="D84" s="532" t="s">
        <v>1089</v>
      </c>
      <c r="E84" s="533"/>
      <c r="F84" s="534"/>
      <c r="G84" s="533"/>
      <c r="H84" s="532"/>
      <c r="I84" s="532"/>
      <c r="J84" s="532"/>
      <c r="K84" s="532" t="s">
        <v>1090</v>
      </c>
      <c r="L84" s="180"/>
      <c r="M84" s="180"/>
      <c r="N84" s="528"/>
      <c r="O84" s="528"/>
      <c r="P84" s="180"/>
      <c r="Q84" s="376"/>
      <c r="R84" s="180"/>
      <c r="S84" s="184"/>
    </row>
    <row r="85" spans="2:19" s="100" customFormat="1" hidden="1" x14ac:dyDescent="0.2">
      <c r="B85" s="109"/>
      <c r="C85" s="109"/>
      <c r="D85" s="532" t="s">
        <v>1091</v>
      </c>
      <c r="E85" s="533"/>
      <c r="F85" s="534"/>
      <c r="G85" s="533"/>
      <c r="H85" s="532"/>
      <c r="I85" s="532"/>
      <c r="J85" s="532"/>
      <c r="K85" s="532" t="s">
        <v>834</v>
      </c>
      <c r="L85" s="180"/>
      <c r="M85" s="180"/>
      <c r="N85" s="528"/>
      <c r="O85" s="528"/>
      <c r="P85" s="180"/>
      <c r="Q85" s="376"/>
      <c r="R85" s="180"/>
      <c r="S85" s="184"/>
    </row>
    <row r="86" spans="2:19" s="100" customFormat="1" hidden="1" x14ac:dyDescent="0.2">
      <c r="B86" s="109"/>
      <c r="C86" s="109"/>
      <c r="D86" s="532" t="s">
        <v>1092</v>
      </c>
      <c r="E86" s="533"/>
      <c r="F86" s="534"/>
      <c r="G86" s="533"/>
      <c r="H86" s="532"/>
      <c r="I86" s="532"/>
      <c r="J86" s="532"/>
      <c r="K86" s="532" t="s">
        <v>1093</v>
      </c>
      <c r="L86" s="180"/>
      <c r="M86" s="180"/>
      <c r="N86" s="528"/>
      <c r="O86" s="528"/>
      <c r="P86" s="180"/>
      <c r="Q86" s="376"/>
      <c r="R86" s="180"/>
      <c r="S86" s="184"/>
    </row>
    <row r="87" spans="2:19" s="100" customFormat="1" hidden="1" x14ac:dyDescent="0.2">
      <c r="B87" s="109"/>
      <c r="C87" s="109"/>
      <c r="D87" s="532" t="s">
        <v>1094</v>
      </c>
      <c r="E87" s="533"/>
      <c r="F87" s="534"/>
      <c r="G87" s="533"/>
      <c r="H87" s="532"/>
      <c r="I87" s="532"/>
      <c r="J87" s="532"/>
      <c r="K87" s="532" t="s">
        <v>1082</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732</v>
      </c>
      <c r="L91" s="180"/>
      <c r="M91" s="180"/>
      <c r="N91" s="528"/>
      <c r="O91" s="528"/>
      <c r="P91" s="180"/>
      <c r="Q91" s="376"/>
      <c r="R91" s="180"/>
      <c r="S91" s="184"/>
    </row>
    <row r="92" spans="2:19" s="100" customFormat="1" hidden="1" x14ac:dyDescent="0.2">
      <c r="B92" s="109"/>
      <c r="C92" s="109"/>
      <c r="D92" s="109"/>
      <c r="E92" s="180"/>
      <c r="F92" s="527"/>
      <c r="G92" s="180"/>
      <c r="I92" s="100" t="s">
        <v>839</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840</v>
      </c>
      <c r="F95" s="536"/>
      <c r="G95" s="180"/>
      <c r="L95" s="180"/>
      <c r="M95" s="180"/>
      <c r="N95" s="528"/>
      <c r="O95" s="528"/>
      <c r="P95" s="180"/>
      <c r="Q95" s="376"/>
      <c r="R95" s="180"/>
      <c r="S95" s="184"/>
    </row>
    <row r="96" spans="2:19" s="100" customFormat="1" hidden="1" x14ac:dyDescent="0.2">
      <c r="B96" s="109"/>
      <c r="C96" s="109"/>
      <c r="D96" s="109"/>
      <c r="E96" s="116" t="s">
        <v>841</v>
      </c>
      <c r="F96" s="536"/>
      <c r="G96" s="180"/>
      <c r="L96" s="180"/>
      <c r="M96" s="180"/>
      <c r="N96" s="528"/>
      <c r="O96" s="528"/>
      <c r="P96" s="180"/>
      <c r="Q96" s="376"/>
      <c r="R96" s="180"/>
      <c r="S96" s="184"/>
    </row>
    <row r="97" spans="2:19" s="100" customFormat="1" ht="24" hidden="1" x14ac:dyDescent="0.2">
      <c r="B97" s="109"/>
      <c r="C97" s="109"/>
      <c r="D97" s="109"/>
      <c r="E97" s="118" t="s">
        <v>842</v>
      </c>
      <c r="F97" s="537"/>
      <c r="G97" s="180"/>
      <c r="L97" s="180"/>
      <c r="M97" s="180"/>
      <c r="N97" s="528"/>
      <c r="O97" s="528"/>
      <c r="P97" s="180"/>
      <c r="Q97" s="376"/>
      <c r="R97" s="180"/>
      <c r="S97" s="184"/>
    </row>
    <row r="98" spans="2:19" s="100" customFormat="1" ht="36" hidden="1" x14ac:dyDescent="0.2">
      <c r="B98" s="109"/>
      <c r="C98" s="109"/>
      <c r="D98" s="109"/>
      <c r="E98" s="118" t="s">
        <v>843</v>
      </c>
      <c r="F98" s="537"/>
      <c r="G98" s="180"/>
      <c r="L98" s="180"/>
      <c r="M98" s="180"/>
      <c r="N98" s="528"/>
      <c r="O98" s="528"/>
      <c r="P98" s="180"/>
      <c r="Q98" s="376"/>
      <c r="R98" s="180"/>
      <c r="S98" s="184"/>
    </row>
    <row r="99" spans="2:19" s="100" customFormat="1" ht="48" hidden="1" x14ac:dyDescent="0.2">
      <c r="B99" s="109"/>
      <c r="C99" s="109"/>
      <c r="D99" s="109"/>
      <c r="E99" s="118" t="s">
        <v>844</v>
      </c>
      <c r="F99" s="537"/>
      <c r="G99" s="180"/>
      <c r="L99" s="180"/>
      <c r="M99" s="180"/>
      <c r="N99" s="528"/>
      <c r="O99" s="528"/>
      <c r="P99" s="180"/>
      <c r="Q99" s="376"/>
      <c r="R99" s="180"/>
      <c r="S99" s="184"/>
    </row>
    <row r="100" spans="2:19" s="100" customFormat="1" hidden="1" x14ac:dyDescent="0.2">
      <c r="B100" s="109"/>
      <c r="C100" s="109"/>
      <c r="D100" s="109"/>
      <c r="E100" s="118" t="s">
        <v>826</v>
      </c>
      <c r="F100" s="537"/>
      <c r="G100" s="180"/>
      <c r="L100" s="180"/>
      <c r="M100" s="180"/>
      <c r="N100" s="528"/>
      <c r="O100" s="528"/>
      <c r="P100" s="180"/>
      <c r="Q100" s="376"/>
      <c r="R100" s="180"/>
      <c r="S100" s="184"/>
    </row>
    <row r="101" spans="2:19" s="100" customFormat="1" ht="24" hidden="1" x14ac:dyDescent="0.2">
      <c r="B101" s="109"/>
      <c r="C101" s="109"/>
      <c r="D101" s="109"/>
      <c r="E101" s="118" t="s">
        <v>845</v>
      </c>
      <c r="F101" s="537"/>
      <c r="G101" s="180"/>
      <c r="L101" s="180"/>
      <c r="M101" s="180"/>
      <c r="N101" s="528"/>
      <c r="O101" s="528"/>
      <c r="P101" s="180"/>
      <c r="Q101" s="376"/>
      <c r="R101" s="180"/>
      <c r="S101" s="184"/>
    </row>
    <row r="102" spans="2:19" s="100" customFormat="1" ht="24" hidden="1" x14ac:dyDescent="0.2">
      <c r="B102" s="109"/>
      <c r="C102" s="109"/>
      <c r="D102" s="109"/>
      <c r="E102" s="118" t="s">
        <v>846</v>
      </c>
      <c r="F102" s="537"/>
      <c r="G102" s="180"/>
      <c r="L102" s="180"/>
      <c r="M102" s="180"/>
      <c r="N102" s="528"/>
      <c r="O102" s="528"/>
      <c r="P102" s="180"/>
      <c r="Q102" s="376"/>
      <c r="R102" s="180"/>
      <c r="S102" s="184"/>
    </row>
    <row r="103" spans="2:19" s="100" customFormat="1" ht="24" hidden="1" x14ac:dyDescent="0.2">
      <c r="B103" s="109"/>
      <c r="C103" s="109"/>
      <c r="D103" s="109"/>
      <c r="E103" s="118" t="s">
        <v>847</v>
      </c>
      <c r="F103" s="537"/>
      <c r="G103" s="180"/>
      <c r="L103" s="180"/>
      <c r="M103" s="180"/>
      <c r="N103" s="528"/>
      <c r="O103" s="528"/>
      <c r="P103" s="180"/>
      <c r="Q103" s="376"/>
      <c r="R103" s="180"/>
      <c r="S103" s="184"/>
    </row>
    <row r="104" spans="2:19" s="100" customFormat="1" ht="36" hidden="1" x14ac:dyDescent="0.2">
      <c r="B104" s="109"/>
      <c r="C104" s="109"/>
      <c r="D104" s="109"/>
      <c r="E104" s="118" t="s">
        <v>848</v>
      </c>
      <c r="F104" s="537"/>
      <c r="G104" s="180"/>
      <c r="L104" s="180"/>
      <c r="M104" s="180"/>
      <c r="N104" s="528"/>
      <c r="O104" s="528"/>
      <c r="P104" s="180"/>
      <c r="Q104" s="376"/>
      <c r="R104" s="180"/>
      <c r="S104" s="184"/>
    </row>
    <row r="105" spans="2:19" s="100" customFormat="1" hidden="1" x14ac:dyDescent="0.2">
      <c r="B105" s="109"/>
      <c r="C105" s="109"/>
      <c r="D105" s="109"/>
      <c r="E105" s="118" t="s">
        <v>849</v>
      </c>
      <c r="F105" s="537"/>
      <c r="G105" s="180"/>
      <c r="L105" s="180"/>
      <c r="M105" s="180"/>
      <c r="N105" s="528"/>
      <c r="O105" s="528"/>
      <c r="P105" s="180"/>
      <c r="Q105" s="376"/>
      <c r="R105" s="180"/>
      <c r="S105" s="184"/>
    </row>
    <row r="106" spans="2:19" s="100" customFormat="1" ht="36" hidden="1" x14ac:dyDescent="0.2">
      <c r="B106" s="109"/>
      <c r="C106" s="109"/>
      <c r="D106" s="109"/>
      <c r="E106" s="118" t="s">
        <v>850</v>
      </c>
      <c r="F106" s="537"/>
      <c r="G106" s="180"/>
      <c r="L106" s="180"/>
      <c r="M106" s="180"/>
      <c r="N106" s="528"/>
      <c r="O106" s="528"/>
      <c r="P106" s="180"/>
      <c r="Q106" s="376"/>
      <c r="R106" s="180"/>
      <c r="S106" s="184"/>
    </row>
    <row r="107" spans="2:19" s="100" customFormat="1" ht="24" hidden="1" x14ac:dyDescent="0.2">
      <c r="B107" s="109"/>
      <c r="C107" s="109"/>
      <c r="D107" s="109"/>
      <c r="E107" s="118" t="s">
        <v>851</v>
      </c>
      <c r="F107" s="537"/>
      <c r="G107" s="180"/>
      <c r="L107" s="180"/>
      <c r="M107" s="180"/>
      <c r="N107" s="528"/>
      <c r="O107" s="528"/>
      <c r="P107" s="180"/>
      <c r="Q107" s="376"/>
      <c r="R107" s="180"/>
      <c r="S107" s="184"/>
    </row>
    <row r="108" spans="2:19" s="100" customFormat="1" ht="36" hidden="1" x14ac:dyDescent="0.2">
      <c r="B108" s="109"/>
      <c r="C108" s="109"/>
      <c r="D108" s="109"/>
      <c r="E108" s="118" t="s">
        <v>852</v>
      </c>
      <c r="F108" s="537"/>
      <c r="G108" s="180"/>
      <c r="L108" s="180"/>
      <c r="M108" s="180"/>
      <c r="N108" s="528"/>
      <c r="O108" s="528"/>
      <c r="P108" s="180"/>
      <c r="Q108" s="376"/>
      <c r="R108" s="180"/>
      <c r="S108" s="184"/>
    </row>
    <row r="109" spans="2:19" s="100" customFormat="1" ht="36" hidden="1" x14ac:dyDescent="0.2">
      <c r="B109" s="109"/>
      <c r="C109" s="109"/>
      <c r="D109" s="109"/>
      <c r="E109" s="118" t="s">
        <v>853</v>
      </c>
      <c r="F109" s="537"/>
      <c r="G109" s="180"/>
      <c r="L109" s="180"/>
      <c r="M109" s="180"/>
      <c r="N109" s="528"/>
      <c r="O109" s="528"/>
      <c r="P109" s="180"/>
      <c r="Q109" s="376"/>
      <c r="R109" s="180"/>
      <c r="S109" s="184"/>
    </row>
    <row r="110" spans="2:19" s="100" customFormat="1" ht="60" hidden="1" x14ac:dyDescent="0.2">
      <c r="B110" s="109"/>
      <c r="C110" s="109"/>
      <c r="D110" s="109"/>
      <c r="E110" s="118" t="s">
        <v>854</v>
      </c>
      <c r="F110" s="537"/>
      <c r="G110" s="180"/>
      <c r="L110" s="180"/>
      <c r="M110" s="180"/>
      <c r="N110" s="528"/>
      <c r="O110" s="528"/>
      <c r="P110" s="180"/>
      <c r="Q110" s="376"/>
      <c r="R110" s="180"/>
      <c r="S110" s="184"/>
    </row>
    <row r="111" spans="2:19" s="100" customFormat="1" hidden="1" x14ac:dyDescent="0.2">
      <c r="B111" s="109"/>
      <c r="C111" s="109"/>
      <c r="D111" s="109"/>
      <c r="E111" s="118" t="s">
        <v>855</v>
      </c>
      <c r="F111" s="537"/>
      <c r="G111" s="180"/>
      <c r="L111" s="180"/>
      <c r="M111" s="180"/>
      <c r="N111" s="528"/>
      <c r="O111" s="528"/>
      <c r="P111" s="180"/>
      <c r="Q111" s="376"/>
      <c r="R111" s="180"/>
      <c r="S111" s="184"/>
    </row>
    <row r="112" spans="2:19" s="100" customFormat="1" ht="24" hidden="1" x14ac:dyDescent="0.2">
      <c r="B112" s="109"/>
      <c r="C112" s="109"/>
      <c r="D112" s="109"/>
      <c r="E112" s="118" t="s">
        <v>856</v>
      </c>
      <c r="F112" s="537"/>
      <c r="G112" s="180"/>
      <c r="L112" s="180"/>
      <c r="M112" s="180"/>
      <c r="N112" s="528"/>
      <c r="O112" s="528"/>
      <c r="P112" s="180"/>
      <c r="Q112" s="376"/>
      <c r="R112" s="180"/>
      <c r="S112" s="184"/>
    </row>
    <row r="113" spans="2:19" s="100" customFormat="1" hidden="1" x14ac:dyDescent="0.2">
      <c r="B113" s="109"/>
      <c r="C113" s="109"/>
      <c r="D113" s="109"/>
      <c r="E113" s="118" t="s">
        <v>128</v>
      </c>
      <c r="F113" s="537"/>
      <c r="G113" s="180"/>
      <c r="L113" s="180"/>
      <c r="M113" s="180"/>
      <c r="N113" s="528"/>
      <c r="O113" s="528"/>
      <c r="P113" s="180"/>
      <c r="Q113" s="376"/>
      <c r="R113" s="180"/>
      <c r="S113" s="184"/>
    </row>
    <row r="114" spans="2:19" s="100" customFormat="1" ht="48" hidden="1" x14ac:dyDescent="0.2">
      <c r="B114" s="109"/>
      <c r="C114" s="109"/>
      <c r="D114" s="109"/>
      <c r="E114" s="118" t="s">
        <v>857</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vZKqXFDneUYZmZS43SRWtC9WdQM7QswOFTkR9Qh5vJtqb6P5LuXyEw2c/k0U023bwSn9c0pfUZu3ogs9V+hCOw==" saltValue="Tanw7bqaMXJFQiUGBSYung==" spinCount="100000" sheet="1" objects="1" scenarios="1"/>
  <mergeCells count="32">
    <mergeCell ref="B6:C6"/>
    <mergeCell ref="L6:L7"/>
    <mergeCell ref="M6:M7"/>
    <mergeCell ref="N6:N7"/>
    <mergeCell ref="R6:R7"/>
    <mergeCell ref="H62:M62"/>
    <mergeCell ref="A48:B48"/>
    <mergeCell ref="E54:G54"/>
    <mergeCell ref="G56:I56"/>
    <mergeCell ref="H58:N58"/>
    <mergeCell ref="H60:M60"/>
    <mergeCell ref="A51:S52"/>
    <mergeCell ref="Q49:R49"/>
    <mergeCell ref="A50:S50"/>
    <mergeCell ref="D6:D7"/>
    <mergeCell ref="E6:E7"/>
    <mergeCell ref="F6:F7"/>
    <mergeCell ref="S6:S7"/>
    <mergeCell ref="O6:O7"/>
    <mergeCell ref="A6:A7"/>
    <mergeCell ref="A2:S2"/>
    <mergeCell ref="A3:S3"/>
    <mergeCell ref="A4:S4"/>
    <mergeCell ref="A5:B5"/>
    <mergeCell ref="R5:S5"/>
    <mergeCell ref="Q6:Q7"/>
    <mergeCell ref="G6:G7"/>
    <mergeCell ref="H6:H7"/>
    <mergeCell ref="I6:I7"/>
    <mergeCell ref="J6:J7"/>
    <mergeCell ref="K6:K7"/>
    <mergeCell ref="P6:P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70" t="s">
        <v>858</v>
      </c>
      <c r="B2" s="770"/>
      <c r="C2" s="770"/>
      <c r="D2" s="770"/>
      <c r="E2" s="770"/>
      <c r="F2" s="770"/>
      <c r="G2" s="770"/>
      <c r="H2" s="770"/>
      <c r="I2" s="770"/>
      <c r="J2" s="770"/>
      <c r="K2" s="770"/>
      <c r="L2" s="770"/>
      <c r="M2" s="770"/>
      <c r="N2" s="770"/>
      <c r="O2" s="770"/>
      <c r="P2" s="770"/>
    </row>
    <row r="3" spans="1:16" x14ac:dyDescent="0.2">
      <c r="A3" s="769" t="str">
        <f>BALANCE!A3</f>
        <v>БАНК БУС САНХҮҮГИЙН БАЙГУУЛЛАГЫН НЭР</v>
      </c>
      <c r="B3" s="769"/>
      <c r="C3" s="769"/>
      <c r="D3" s="769"/>
      <c r="E3" s="769"/>
      <c r="F3" s="769"/>
      <c r="G3" s="769"/>
      <c r="H3" s="769"/>
      <c r="I3" s="769"/>
      <c r="J3" s="769"/>
      <c r="K3" s="769"/>
      <c r="L3" s="769"/>
      <c r="M3" s="769"/>
      <c r="N3" s="769"/>
      <c r="O3" s="769"/>
      <c r="P3" s="769"/>
    </row>
    <row r="4" spans="1:16" x14ac:dyDescent="0.2">
      <c r="A4" s="744" t="str">
        <f>BALANCE!A4</f>
        <v>БАНК БУС САНХҮҮГИЙН БАЙГУУЛЛАГА</v>
      </c>
      <c r="B4" s="744"/>
      <c r="C4" s="744"/>
      <c r="D4" s="744"/>
      <c r="E4" s="744"/>
      <c r="F4" s="744"/>
      <c r="G4" s="744"/>
      <c r="H4" s="744"/>
      <c r="I4" s="744"/>
      <c r="J4" s="744"/>
      <c r="K4" s="744"/>
      <c r="L4" s="744"/>
      <c r="M4" s="744"/>
      <c r="N4" s="744"/>
      <c r="O4" s="744"/>
      <c r="P4" s="744"/>
    </row>
    <row r="5" spans="1:16" x14ac:dyDescent="0.2">
      <c r="A5" s="829">
        <f>BALANCE!A6</f>
        <v>44742</v>
      </c>
      <c r="B5" s="829"/>
      <c r="C5" s="425"/>
      <c r="D5" s="112"/>
      <c r="E5" s="179"/>
      <c r="F5" s="179"/>
      <c r="G5" s="423"/>
      <c r="H5" s="423"/>
      <c r="I5" s="423"/>
      <c r="J5" s="423"/>
      <c r="K5" s="423"/>
      <c r="L5" s="179"/>
      <c r="M5" s="179"/>
      <c r="N5" s="179"/>
      <c r="O5" s="974" t="s">
        <v>439</v>
      </c>
      <c r="P5" s="974"/>
    </row>
    <row r="6" spans="1:16" ht="70.5" customHeight="1" x14ac:dyDescent="0.2">
      <c r="A6" s="988" t="s">
        <v>813</v>
      </c>
      <c r="B6" s="990" t="s">
        <v>1055</v>
      </c>
      <c r="C6" s="991"/>
      <c r="D6" s="972" t="s">
        <v>859</v>
      </c>
      <c r="E6" s="970" t="s">
        <v>1282</v>
      </c>
      <c r="F6" s="970" t="s">
        <v>1059</v>
      </c>
      <c r="G6" s="970" t="s">
        <v>814</v>
      </c>
      <c r="H6" s="988" t="s">
        <v>815</v>
      </c>
      <c r="I6" s="988" t="s">
        <v>816</v>
      </c>
      <c r="J6" s="972" t="s">
        <v>817</v>
      </c>
      <c r="K6" s="972" t="s">
        <v>818</v>
      </c>
      <c r="L6" s="970" t="s">
        <v>819</v>
      </c>
      <c r="M6" s="970" t="s">
        <v>820</v>
      </c>
      <c r="N6" s="970" t="s">
        <v>821</v>
      </c>
      <c r="O6" s="970" t="s">
        <v>822</v>
      </c>
      <c r="P6" s="985" t="s">
        <v>823</v>
      </c>
    </row>
    <row r="7" spans="1:16" x14ac:dyDescent="0.2">
      <c r="A7" s="989"/>
      <c r="B7" s="431" t="s">
        <v>1163</v>
      </c>
      <c r="C7" s="432" t="s">
        <v>1057</v>
      </c>
      <c r="D7" s="973"/>
      <c r="E7" s="982"/>
      <c r="F7" s="971"/>
      <c r="G7" s="971"/>
      <c r="H7" s="989"/>
      <c r="I7" s="989"/>
      <c r="J7" s="973"/>
      <c r="K7" s="973"/>
      <c r="L7" s="971"/>
      <c r="M7" s="971"/>
      <c r="N7" s="971"/>
      <c r="O7" s="971"/>
      <c r="P7" s="986"/>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77" t="s">
        <v>824</v>
      </c>
      <c r="B28" s="978"/>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5" t="s">
        <v>825</v>
      </c>
      <c r="N29" s="995"/>
      <c r="O29" s="995"/>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13" t="s">
        <v>36</v>
      </c>
      <c r="F31" s="813"/>
      <c r="G31" s="814"/>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16" t="s">
        <v>437</v>
      </c>
      <c r="H33" s="816"/>
      <c r="I33" s="816"/>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6" t="str">
        <f>BALANCE!D361</f>
        <v>ГҮЙЦЭТГЭХ ЗАХИРАЛ.................................................................//</v>
      </c>
      <c r="I35" s="936"/>
      <c r="J35" s="936"/>
      <c r="K35" s="936"/>
      <c r="L35" s="936"/>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6" t="str">
        <f>BALANCE!D363</f>
        <v>ЕРӨНХИЙ НЯГТЛАН БОДОГЧ....................................................//</v>
      </c>
      <c r="I37" s="936"/>
      <c r="J37" s="936"/>
      <c r="K37" s="936"/>
      <c r="L37" s="936"/>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6">
        <f>BALANCE!D365</f>
        <v>0</v>
      </c>
      <c r="I39" s="936"/>
      <c r="J39" s="936"/>
      <c r="K39" s="936"/>
      <c r="L39" s="936"/>
      <c r="M39" s="180"/>
      <c r="N39" s="180"/>
      <c r="O39" s="180"/>
      <c r="P39" s="184"/>
    </row>
    <row r="46" spans="1:16" hidden="1" x14ac:dyDescent="0.2"/>
    <row r="47" spans="1:16" hidden="1" x14ac:dyDescent="0.2">
      <c r="B47" s="387" t="s">
        <v>732</v>
      </c>
    </row>
    <row r="48" spans="1:16" hidden="1" x14ac:dyDescent="0.2">
      <c r="B48" s="387"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826</v>
      </c>
      <c r="C61" s="342"/>
      <c r="D61" s="113"/>
      <c r="E61" s="3" t="s">
        <v>470</v>
      </c>
    </row>
    <row r="62" spans="2:5" ht="12.75" hidden="1" customHeight="1" x14ac:dyDescent="0.2">
      <c r="B62" s="110" t="s">
        <v>827</v>
      </c>
      <c r="C62" s="342"/>
      <c r="D62" s="113"/>
      <c r="E62" s="3" t="s">
        <v>1164</v>
      </c>
    </row>
    <row r="63" spans="2:5" ht="12.75" hidden="1" customHeight="1" x14ac:dyDescent="0.2">
      <c r="B63" s="111" t="s">
        <v>829</v>
      </c>
      <c r="C63" s="343"/>
      <c r="D63" s="114"/>
      <c r="E63" s="3" t="s">
        <v>481</v>
      </c>
    </row>
    <row r="64" spans="2:5" ht="12.75" hidden="1" customHeight="1" x14ac:dyDescent="0.2">
      <c r="B64" s="111" t="s">
        <v>830</v>
      </c>
      <c r="C64" s="343"/>
      <c r="D64" s="114"/>
      <c r="E64" s="3" t="s">
        <v>474</v>
      </c>
    </row>
    <row r="65" spans="2:5" ht="12.75" hidden="1" customHeight="1" x14ac:dyDescent="0.2">
      <c r="B65" s="111" t="s">
        <v>831</v>
      </c>
      <c r="C65" s="343"/>
      <c r="D65" s="114"/>
      <c r="E65" s="3" t="s">
        <v>832</v>
      </c>
    </row>
    <row r="66" spans="2:5" ht="12.75" hidden="1" customHeight="1" x14ac:dyDescent="0.2">
      <c r="B66" s="111" t="s">
        <v>833</v>
      </c>
      <c r="C66" s="343"/>
      <c r="D66" s="114"/>
    </row>
    <row r="67" spans="2:5" ht="12.75" hidden="1" customHeight="1" x14ac:dyDescent="0.2">
      <c r="B67" s="111" t="s">
        <v>128</v>
      </c>
      <c r="C67" s="343"/>
      <c r="D67" s="114"/>
    </row>
    <row r="68" spans="2:5" ht="12.75" hidden="1" customHeight="1" x14ac:dyDescent="0.2">
      <c r="B68" s="111" t="s">
        <v>834</v>
      </c>
      <c r="C68" s="343"/>
      <c r="D68" s="114"/>
    </row>
    <row r="69" spans="2:5" ht="12.75" hidden="1" customHeight="1" x14ac:dyDescent="0.2">
      <c r="B69" s="111" t="s">
        <v>835</v>
      </c>
      <c r="C69" s="343"/>
      <c r="D69" s="114"/>
    </row>
    <row r="70" spans="2:5" ht="12.75" hidden="1" customHeight="1" x14ac:dyDescent="0.2">
      <c r="B70" s="111" t="s">
        <v>836</v>
      </c>
      <c r="C70" s="343"/>
      <c r="D70" s="114"/>
    </row>
    <row r="71" spans="2:5" hidden="1" x14ac:dyDescent="0.2">
      <c r="B71" s="111" t="s">
        <v>837</v>
      </c>
      <c r="C71" s="343"/>
      <c r="D71" s="114"/>
    </row>
    <row r="72" spans="2:5" ht="25.5" hidden="1" x14ac:dyDescent="0.2">
      <c r="B72" s="111" t="s">
        <v>838</v>
      </c>
      <c r="C72" s="343"/>
      <c r="D72" s="114"/>
    </row>
    <row r="73" spans="2:5" hidden="1" x14ac:dyDescent="0.2">
      <c r="B73" s="111" t="s">
        <v>162</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840</v>
      </c>
      <c r="C90" s="356"/>
      <c r="D90" s="116"/>
    </row>
    <row r="91" spans="2:4" ht="24.75" hidden="1" thickBot="1" x14ac:dyDescent="0.25">
      <c r="B91" s="115" t="s">
        <v>841</v>
      </c>
      <c r="C91" s="356"/>
      <c r="D91" s="116"/>
    </row>
    <row r="92" spans="2:4" ht="24.75" hidden="1" thickBot="1" x14ac:dyDescent="0.25">
      <c r="B92" s="117" t="s">
        <v>842</v>
      </c>
      <c r="C92" s="357"/>
      <c r="D92" s="118"/>
    </row>
    <row r="93" spans="2:4" ht="48.75" hidden="1" thickBot="1" x14ac:dyDescent="0.25">
      <c r="B93" s="117" t="s">
        <v>843</v>
      </c>
      <c r="C93" s="357"/>
      <c r="D93" s="118"/>
    </row>
    <row r="94" spans="2:4" ht="72.75" hidden="1" thickBot="1" x14ac:dyDescent="0.25">
      <c r="B94" s="117" t="s">
        <v>844</v>
      </c>
      <c r="C94" s="357"/>
      <c r="D94" s="118"/>
    </row>
    <row r="95" spans="2:4" ht="13.5" hidden="1" thickBot="1" x14ac:dyDescent="0.25">
      <c r="B95" s="117" t="s">
        <v>826</v>
      </c>
      <c r="C95" s="357"/>
      <c r="D95" s="118"/>
    </row>
    <row r="96" spans="2:4" ht="36.75" hidden="1" thickBot="1" x14ac:dyDescent="0.25">
      <c r="B96" s="117" t="s">
        <v>845</v>
      </c>
      <c r="C96" s="357"/>
      <c r="D96" s="118"/>
    </row>
    <row r="97" spans="2:4" ht="48.75" hidden="1" thickBot="1" x14ac:dyDescent="0.25">
      <c r="B97" s="117" t="s">
        <v>846</v>
      </c>
      <c r="C97" s="357"/>
      <c r="D97" s="118"/>
    </row>
    <row r="98" spans="2:4" ht="36.75" hidden="1" thickBot="1" x14ac:dyDescent="0.25">
      <c r="B98" s="117" t="s">
        <v>847</v>
      </c>
      <c r="C98" s="357"/>
      <c r="D98" s="118"/>
    </row>
    <row r="99" spans="2:4" ht="60.75" hidden="1" thickBot="1" x14ac:dyDescent="0.25">
      <c r="B99" s="117" t="s">
        <v>848</v>
      </c>
      <c r="C99" s="357"/>
      <c r="D99" s="118"/>
    </row>
    <row r="100" spans="2:4" ht="24.75" hidden="1" thickBot="1" x14ac:dyDescent="0.25">
      <c r="B100" s="117" t="s">
        <v>849</v>
      </c>
      <c r="C100" s="357"/>
      <c r="D100" s="118"/>
    </row>
    <row r="101" spans="2:4" ht="48.75" hidden="1" thickBot="1" x14ac:dyDescent="0.25">
      <c r="B101" s="117" t="s">
        <v>850</v>
      </c>
      <c r="C101" s="357"/>
      <c r="D101" s="118"/>
    </row>
    <row r="102" spans="2:4" ht="36.75" hidden="1" thickBot="1" x14ac:dyDescent="0.25">
      <c r="B102" s="117" t="s">
        <v>851</v>
      </c>
      <c r="C102" s="357"/>
      <c r="D102" s="118"/>
    </row>
    <row r="103" spans="2:4" ht="60.75" hidden="1" thickBot="1" x14ac:dyDescent="0.25">
      <c r="B103" s="117" t="s">
        <v>852</v>
      </c>
      <c r="C103" s="357"/>
      <c r="D103" s="118"/>
    </row>
    <row r="104" spans="2:4" ht="48.75" hidden="1" thickBot="1" x14ac:dyDescent="0.25">
      <c r="B104" s="117" t="s">
        <v>853</v>
      </c>
      <c r="C104" s="357"/>
      <c r="D104" s="118"/>
    </row>
    <row r="105" spans="2:4" ht="96.75" hidden="1" thickBot="1" x14ac:dyDescent="0.25">
      <c r="B105" s="117" t="s">
        <v>854</v>
      </c>
      <c r="C105" s="357"/>
      <c r="D105" s="118"/>
    </row>
    <row r="106" spans="2:4" ht="13.5" hidden="1" thickBot="1" x14ac:dyDescent="0.25">
      <c r="B106" s="117" t="s">
        <v>855</v>
      </c>
      <c r="C106" s="357"/>
      <c r="D106" s="118"/>
    </row>
    <row r="107" spans="2:4" ht="36.75" hidden="1" thickBot="1" x14ac:dyDescent="0.25">
      <c r="B107" s="117" t="s">
        <v>856</v>
      </c>
      <c r="C107" s="357"/>
      <c r="D107" s="118"/>
    </row>
    <row r="108" spans="2:4" ht="13.5" hidden="1" thickBot="1" x14ac:dyDescent="0.25">
      <c r="B108" s="117" t="s">
        <v>128</v>
      </c>
      <c r="C108" s="357"/>
      <c r="D108" s="118"/>
    </row>
    <row r="109" spans="2:4" ht="96.75" hidden="1" thickBot="1" x14ac:dyDescent="0.25">
      <c r="B109" s="117" t="s">
        <v>860</v>
      </c>
      <c r="C109" s="357"/>
      <c r="D109" s="118"/>
    </row>
    <row r="165" spans="2:2" hidden="1" x14ac:dyDescent="0.2">
      <c r="B165" s="387" t="s">
        <v>861</v>
      </c>
    </row>
    <row r="166" spans="2:2" hidden="1" x14ac:dyDescent="0.2">
      <c r="B166" s="387" t="s">
        <v>862</v>
      </c>
    </row>
    <row r="167" spans="2:2" hidden="1" x14ac:dyDescent="0.2">
      <c r="B167" s="387" t="s">
        <v>863</v>
      </c>
    </row>
    <row r="168" spans="2:2" hidden="1" x14ac:dyDescent="0.2">
      <c r="B168" s="387" t="s">
        <v>864</v>
      </c>
    </row>
    <row r="169" spans="2:2" hidden="1" x14ac:dyDescent="0.2">
      <c r="B169" s="387" t="s">
        <v>865</v>
      </c>
    </row>
  </sheetData>
  <sheetProtection algorithmName="SHA-512" hashValue="i+NQjHHgiCecYQAmiE7NG2c+nOYtKH14oY0ki89Ben96TIwlHHUQBz+ky2BBCw+BCvOQO25JluZGVtFxlJ1tJw==" saltValue="6WsAuzxE9Q04AQaF92XaF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E6:E7"/>
    <mergeCell ref="P6:P7"/>
    <mergeCell ref="A2:P2"/>
    <mergeCell ref="A3:P3"/>
    <mergeCell ref="A4:P4"/>
    <mergeCell ref="A5:B5"/>
    <mergeCell ref="O5:P5"/>
    <mergeCell ref="N6:N7"/>
    <mergeCell ref="A6:A7"/>
    <mergeCell ref="B6:C6"/>
    <mergeCell ref="D6:D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44" t="s">
        <v>866</v>
      </c>
      <c r="B2" s="744"/>
      <c r="C2" s="744"/>
      <c r="D2" s="744"/>
      <c r="E2" s="744"/>
      <c r="F2" s="744"/>
      <c r="G2" s="744"/>
      <c r="H2" s="744"/>
      <c r="I2" s="744"/>
      <c r="J2" s="744"/>
      <c r="K2" s="744"/>
      <c r="L2" s="744"/>
    </row>
    <row r="3" spans="1:13" x14ac:dyDescent="0.2">
      <c r="A3" s="762" t="str">
        <f>BALANCE!A3</f>
        <v>БАНК БУС САНХҮҮГИЙН БАЙГУУЛЛАГЫН НЭР</v>
      </c>
      <c r="B3" s="762"/>
      <c r="C3" s="762"/>
      <c r="D3" s="762"/>
      <c r="E3" s="762"/>
      <c r="F3" s="762"/>
      <c r="G3" s="762"/>
      <c r="H3" s="762"/>
      <c r="I3" s="762"/>
      <c r="J3" s="762"/>
      <c r="K3" s="762"/>
      <c r="L3" s="762"/>
    </row>
    <row r="4" spans="1:13" x14ac:dyDescent="0.2">
      <c r="A4" s="744" t="str">
        <f>+BALANCE!A4</f>
        <v>БАНК БУС САНХҮҮГИЙН БАЙГУУЛЛАГА</v>
      </c>
      <c r="B4" s="744"/>
      <c r="C4" s="744"/>
      <c r="D4" s="744"/>
      <c r="E4" s="744"/>
      <c r="F4" s="744"/>
      <c r="G4" s="744"/>
      <c r="H4" s="744"/>
      <c r="I4" s="744"/>
      <c r="J4" s="744"/>
      <c r="K4" s="744"/>
      <c r="L4" s="744"/>
    </row>
    <row r="5" spans="1:13" x14ac:dyDescent="0.2">
      <c r="A5" s="829">
        <f>BALANCE!A6</f>
        <v>44742</v>
      </c>
      <c r="B5" s="829"/>
      <c r="C5" s="346"/>
      <c r="L5" s="953" t="s">
        <v>439</v>
      </c>
      <c r="M5" s="953"/>
    </row>
    <row r="6" spans="1:13" x14ac:dyDescent="0.2">
      <c r="A6" s="972" t="s">
        <v>2</v>
      </c>
      <c r="B6" s="996" t="s">
        <v>1281</v>
      </c>
      <c r="C6" s="997"/>
      <c r="D6" s="970" t="s">
        <v>867</v>
      </c>
      <c r="E6" s="985" t="s">
        <v>1059</v>
      </c>
      <c r="F6" s="972" t="s">
        <v>868</v>
      </c>
      <c r="G6" s="972" t="s">
        <v>816</v>
      </c>
      <c r="H6" s="972" t="s">
        <v>869</v>
      </c>
      <c r="I6" s="972" t="s">
        <v>870</v>
      </c>
      <c r="J6" s="970" t="s">
        <v>871</v>
      </c>
      <c r="K6" s="970" t="s">
        <v>872</v>
      </c>
      <c r="L6" s="970" t="s">
        <v>873</v>
      </c>
      <c r="M6" s="998" t="s">
        <v>823</v>
      </c>
    </row>
    <row r="7" spans="1:13" x14ac:dyDescent="0.2">
      <c r="A7" s="973"/>
      <c r="B7" s="388" t="s">
        <v>1056</v>
      </c>
      <c r="C7" s="388" t="s">
        <v>1057</v>
      </c>
      <c r="D7" s="971"/>
      <c r="E7" s="986"/>
      <c r="F7" s="973"/>
      <c r="G7" s="973"/>
      <c r="H7" s="973"/>
      <c r="I7" s="973"/>
      <c r="J7" s="971"/>
      <c r="K7" s="971"/>
      <c r="L7" s="971"/>
      <c r="M7" s="999"/>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7" t="s">
        <v>824</v>
      </c>
      <c r="B28" s="937"/>
      <c r="C28" s="386"/>
      <c r="D28" s="421">
        <f>+SUM(D8:D27)</f>
        <v>0</v>
      </c>
      <c r="E28" s="306"/>
      <c r="F28" s="422"/>
      <c r="G28" s="422"/>
      <c r="H28" s="422"/>
      <c r="I28" s="422"/>
      <c r="J28" s="421"/>
      <c r="K28" s="421">
        <f>SUM(K8:K27)</f>
        <v>0</v>
      </c>
      <c r="L28" s="421">
        <f>+SUM(L8:L27)</f>
        <v>0</v>
      </c>
      <c r="M28" s="418"/>
    </row>
    <row r="29" spans="1:13" ht="15.75" customHeight="1" x14ac:dyDescent="0.2">
      <c r="F29" s="1000" t="s">
        <v>874</v>
      </c>
      <c r="G29" s="1000"/>
      <c r="H29" s="1000"/>
      <c r="I29" s="1000"/>
      <c r="J29" s="1000"/>
      <c r="K29" s="1000"/>
      <c r="L29" s="1000"/>
      <c r="M29" s="309" t="e">
        <f>+MAX(M8:M27)</f>
        <v>#DIV/0!</v>
      </c>
    </row>
    <row r="30" spans="1:13" ht="12.75" customHeight="1" x14ac:dyDescent="0.2">
      <c r="F30" s="1001" t="str">
        <f>IF(ROUND(SUM(BALANCESHEET!G14,BALANCESHEET!G42),2)=K28,"","Балансын дүнгээс зөрүүтэй тул зууны нарийвчлалтай шивнэ үү. зөв 200,265.23 | буруу 200,236.256")</f>
        <v/>
      </c>
      <c r="G30" s="1001"/>
      <c r="H30" s="1001"/>
      <c r="I30" s="1001"/>
      <c r="J30" s="1001"/>
      <c r="K30" s="1001"/>
      <c r="L30" s="1001"/>
      <c r="M30" s="1001"/>
    </row>
    <row r="31" spans="1:13" x14ac:dyDescent="0.2">
      <c r="B31" s="70" t="s">
        <v>36</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437</v>
      </c>
      <c r="E33" s="137"/>
      <c r="F33" s="17"/>
    </row>
    <row r="34" spans="2:10" x14ac:dyDescent="0.2">
      <c r="B34" s="16"/>
      <c r="C34" s="16"/>
      <c r="D34" s="136"/>
      <c r="E34" s="135"/>
      <c r="F34" s="13"/>
      <c r="G34" s="14"/>
    </row>
    <row r="35" spans="2:10" ht="15" customHeight="1" x14ac:dyDescent="0.2">
      <c r="B35" s="177"/>
      <c r="C35" s="177"/>
      <c r="D35" s="177"/>
      <c r="E35" s="936" t="str">
        <f>BALANCE!D361</f>
        <v>ГҮЙЦЭТГЭХ ЗАХИРАЛ.................................................................//</v>
      </c>
      <c r="F35" s="936"/>
      <c r="G35" s="936"/>
      <c r="H35" s="936"/>
      <c r="I35" s="936"/>
      <c r="J35" s="936"/>
    </row>
    <row r="36" spans="2:10" x14ac:dyDescent="0.2">
      <c r="B36" s="138"/>
      <c r="C36" s="347"/>
      <c r="D36" s="138"/>
      <c r="E36" s="545"/>
      <c r="F36" s="449"/>
      <c r="G36" s="449"/>
      <c r="H36" s="387"/>
      <c r="I36" s="387"/>
      <c r="J36" s="546"/>
    </row>
    <row r="37" spans="2:10" ht="15" customHeight="1" x14ac:dyDescent="0.2">
      <c r="B37" s="177"/>
      <c r="C37" s="177"/>
      <c r="D37" s="177"/>
      <c r="E37" s="936" t="str">
        <f>BALANCE!D363</f>
        <v>ЕРӨНХИЙ НЯГТЛАН БОДОГЧ....................................................//</v>
      </c>
      <c r="F37" s="936"/>
      <c r="G37" s="936"/>
      <c r="H37" s="936"/>
      <c r="I37" s="936"/>
      <c r="J37" s="936"/>
    </row>
    <row r="38" spans="2:10" x14ac:dyDescent="0.2">
      <c r="B38" s="138"/>
      <c r="C38" s="347"/>
      <c r="D38" s="138"/>
      <c r="E38" s="545"/>
      <c r="F38" s="449"/>
      <c r="G38" s="449"/>
      <c r="H38" s="387"/>
      <c r="I38" s="387"/>
      <c r="J38" s="546"/>
    </row>
    <row r="39" spans="2:10" ht="15" customHeight="1" x14ac:dyDescent="0.2">
      <c r="B39" s="177"/>
      <c r="C39" s="177"/>
      <c r="D39" s="177"/>
      <c r="E39" s="936">
        <f>BALANCE!D365</f>
        <v>0</v>
      </c>
      <c r="F39" s="936"/>
      <c r="G39" s="936"/>
      <c r="H39" s="936"/>
      <c r="I39" s="936"/>
      <c r="J39" s="936"/>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0MKwaJNe1kdZeVrgH3sZ22xbzA0Qed0YradBv3Y6LQMEAFHww4SUTvNLms2w58TSgt83PlhnXzCHO5vaPaxd6A==" saltValue="5Mb3Sed20KnYOEBUI3LbOA==" spinCount="100000" sheet="1"/>
  <mergeCells count="23">
    <mergeCell ref="A28:B28"/>
    <mergeCell ref="E39:J39"/>
    <mergeCell ref="F29:L29"/>
    <mergeCell ref="E35:J35"/>
    <mergeCell ref="E37:J37"/>
    <mergeCell ref="F30:M30"/>
    <mergeCell ref="A2:L2"/>
    <mergeCell ref="A3:L3"/>
    <mergeCell ref="A4:L4"/>
    <mergeCell ref="A5:B5"/>
    <mergeCell ref="L5:M5"/>
    <mergeCell ref="B6:C6"/>
    <mergeCell ref="E6:E7"/>
    <mergeCell ref="M6:M7"/>
    <mergeCell ref="L6:L7"/>
    <mergeCell ref="A6:A7"/>
    <mergeCell ref="J6:J7"/>
    <mergeCell ref="I6:I7"/>
    <mergeCell ref="H6:H7"/>
    <mergeCell ref="D6:D7"/>
    <mergeCell ref="K6:K7"/>
    <mergeCell ref="G6:G7"/>
    <mergeCell ref="F6:F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44" t="s">
        <v>0</v>
      </c>
      <c r="B2" s="744"/>
      <c r="C2" s="744"/>
      <c r="D2" s="652"/>
      <c r="E2" s="652"/>
      <c r="F2" s="2"/>
      <c r="G2" s="2"/>
      <c r="H2" s="2"/>
      <c r="I2" s="2"/>
      <c r="J2" s="2"/>
    </row>
    <row r="3" spans="1:14" x14ac:dyDescent="0.2">
      <c r="A3" s="745" t="s">
        <v>1083</v>
      </c>
      <c r="B3" s="745"/>
      <c r="C3" s="745"/>
      <c r="D3" s="653"/>
      <c r="E3" s="653"/>
      <c r="F3" s="4"/>
      <c r="G3" s="4"/>
      <c r="H3" s="4"/>
      <c r="I3" s="4"/>
      <c r="J3" s="4"/>
    </row>
    <row r="4" spans="1:14" x14ac:dyDescent="0.2">
      <c r="A4" s="746" t="str">
        <f>+BALANCE!A4</f>
        <v>БАНК БУС САНХҮҮГИЙН БАЙГУУЛЛАГА</v>
      </c>
      <c r="B4" s="746"/>
      <c r="C4" s="746"/>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47">
        <v>44742</v>
      </c>
      <c r="B7" s="747"/>
      <c r="C7" s="7"/>
      <c r="D7" s="8"/>
      <c r="E7" s="8"/>
      <c r="F7" s="8"/>
      <c r="G7" s="8"/>
      <c r="H7" s="625"/>
      <c r="I7" s="8"/>
      <c r="J7" s="8"/>
    </row>
    <row r="8" spans="1:14" x14ac:dyDescent="0.2">
      <c r="A8" s="440" t="s">
        <v>2</v>
      </c>
      <c r="B8" s="440" t="s">
        <v>0</v>
      </c>
      <c r="C8" s="21" t="s">
        <v>3</v>
      </c>
      <c r="H8" s="626" t="s">
        <v>4</v>
      </c>
    </row>
    <row r="9" spans="1:14" x14ac:dyDescent="0.2">
      <c r="A9" s="440" t="s">
        <v>5</v>
      </c>
      <c r="B9" s="748" t="s">
        <v>6</v>
      </c>
      <c r="C9" s="748"/>
      <c r="H9" s="627" t="s">
        <v>7</v>
      </c>
    </row>
    <row r="10" spans="1:14" x14ac:dyDescent="0.2">
      <c r="A10" s="743">
        <v>1</v>
      </c>
      <c r="B10" s="23" t="s">
        <v>1288</v>
      </c>
      <c r="C10" s="433">
        <f>SUM(C11:C13)</f>
        <v>0</v>
      </c>
      <c r="D10" s="10" t="str">
        <f>+IF(C10&gt;0,"","Утга нөхөх")</f>
        <v>Утга нөхөх</v>
      </c>
      <c r="E10" s="10"/>
      <c r="F10" s="10"/>
      <c r="H10" s="628"/>
    </row>
    <row r="11" spans="1:14" x14ac:dyDescent="0.2">
      <c r="A11" s="743"/>
      <c r="B11" s="24" t="s">
        <v>8</v>
      </c>
      <c r="C11" s="25"/>
      <c r="D11" s="10" t="str">
        <f>+IF(C11&gt;0,"","Утга нөхөх")</f>
        <v>Утга нөхөх</v>
      </c>
      <c r="E11" s="10"/>
      <c r="F11" s="10"/>
      <c r="H11" s="629" t="s">
        <v>9</v>
      </c>
    </row>
    <row r="12" spans="1:14" x14ac:dyDescent="0.2">
      <c r="A12" s="743"/>
      <c r="B12" s="24" t="s">
        <v>1080</v>
      </c>
      <c r="C12" s="25"/>
      <c r="D12" s="10"/>
      <c r="E12" s="10"/>
      <c r="F12" s="10"/>
      <c r="H12" s="628" t="s">
        <v>11</v>
      </c>
    </row>
    <row r="13" spans="1:14" x14ac:dyDescent="0.2">
      <c r="A13" s="743"/>
      <c r="B13" s="24" t="s">
        <v>10</v>
      </c>
      <c r="C13" s="25"/>
      <c r="F13" s="10"/>
      <c r="H13" s="628"/>
    </row>
    <row r="14" spans="1:14" x14ac:dyDescent="0.2">
      <c r="A14" s="743"/>
      <c r="B14" s="24" t="s">
        <v>42</v>
      </c>
      <c r="C14" s="25"/>
      <c r="D14" s="10" t="str">
        <f>IF(BALANCE!H11&gt;0,IF(Statistic!C14&gt;0,"","Утга нөхөх"),"")</f>
        <v/>
      </c>
      <c r="E14" s="10"/>
      <c r="F14" s="10"/>
      <c r="H14" s="628"/>
    </row>
    <row r="15" spans="1:14" x14ac:dyDescent="0.2">
      <c r="A15" s="743"/>
      <c r="B15" s="24" t="s">
        <v>43</v>
      </c>
      <c r="C15" s="25"/>
      <c r="D15" s="10" t="str">
        <f>IF(BALANCE!H75&gt;0,IF(Statistic!C15&gt;0,"","Утга нөхөх"),"")</f>
        <v/>
      </c>
      <c r="E15" s="10"/>
      <c r="F15" s="10"/>
      <c r="H15" s="625"/>
    </row>
    <row r="16" spans="1:14" x14ac:dyDescent="0.2">
      <c r="A16" s="749">
        <v>2</v>
      </c>
      <c r="B16" s="26" t="s">
        <v>1287</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49"/>
      <c r="B17" s="27" t="s">
        <v>12</v>
      </c>
      <c r="C17" s="28"/>
      <c r="F17" s="10"/>
    </row>
    <row r="18" spans="1:6" x14ac:dyDescent="0.2">
      <c r="A18" s="749"/>
      <c r="B18" s="27" t="s">
        <v>1164</v>
      </c>
      <c r="C18" s="28"/>
      <c r="F18" s="10"/>
    </row>
    <row r="19" spans="1:6" x14ac:dyDescent="0.2">
      <c r="A19" s="749"/>
      <c r="B19" s="29" t="s">
        <v>471</v>
      </c>
      <c r="C19" s="434">
        <f>SUM(C20:C22)</f>
        <v>0</v>
      </c>
      <c r="F19" s="10"/>
    </row>
    <row r="20" spans="1:6" x14ac:dyDescent="0.2">
      <c r="A20" s="749"/>
      <c r="B20" s="27" t="s">
        <v>13</v>
      </c>
      <c r="C20" s="28"/>
      <c r="F20" s="10"/>
    </row>
    <row r="21" spans="1:6" x14ac:dyDescent="0.2">
      <c r="A21" s="749"/>
      <c r="B21" s="27" t="s">
        <v>14</v>
      </c>
      <c r="C21" s="28"/>
      <c r="F21" s="10"/>
    </row>
    <row r="22" spans="1:6" x14ac:dyDescent="0.2">
      <c r="A22" s="749"/>
      <c r="B22" s="27" t="s">
        <v>15</v>
      </c>
      <c r="C22" s="28"/>
      <c r="F22" s="10"/>
    </row>
    <row r="23" spans="1:6" ht="13.5" x14ac:dyDescent="0.25">
      <c r="A23" s="749">
        <v>3</v>
      </c>
      <c r="B23" s="30" t="s">
        <v>16</v>
      </c>
      <c r="C23" s="433">
        <f>SUM(C24:C27)</f>
        <v>0</v>
      </c>
      <c r="D23" s="10" t="str">
        <f>+IF(C23=C28,"","Зээлдэгчийн боловсролын судалгааг нөхнө үү")</f>
        <v/>
      </c>
      <c r="E23" s="10"/>
      <c r="F23" s="10"/>
    </row>
    <row r="24" spans="1:6" x14ac:dyDescent="0.2">
      <c r="A24" s="749"/>
      <c r="B24" s="31" t="s">
        <v>17</v>
      </c>
      <c r="C24" s="28"/>
      <c r="F24" s="10"/>
    </row>
    <row r="25" spans="1:6" x14ac:dyDescent="0.2">
      <c r="A25" s="749"/>
      <c r="B25" s="31" t="s">
        <v>18</v>
      </c>
      <c r="C25" s="28"/>
      <c r="F25" s="10"/>
    </row>
    <row r="26" spans="1:6" x14ac:dyDescent="0.2">
      <c r="A26" s="749"/>
      <c r="B26" s="27" t="s">
        <v>19</v>
      </c>
      <c r="C26" s="28"/>
      <c r="F26" s="10"/>
    </row>
    <row r="27" spans="1:6" x14ac:dyDescent="0.2">
      <c r="A27" s="749"/>
      <c r="B27" s="27" t="s">
        <v>20</v>
      </c>
      <c r="C27" s="28"/>
      <c r="F27" s="10"/>
    </row>
    <row r="28" spans="1:6" ht="13.5" x14ac:dyDescent="0.25">
      <c r="A28" s="749">
        <v>4</v>
      </c>
      <c r="B28" s="30" t="s">
        <v>21</v>
      </c>
      <c r="C28" s="433">
        <f>SUM(C29:C33)</f>
        <v>0</v>
      </c>
      <c r="D28" s="10" t="str">
        <f>IF(SUM(C24:C27)=SUM(C29:C33),"","Зээлдэгчдийн насжилт болон боловсролын утга тэнцүү байх шаардлагатай")</f>
        <v/>
      </c>
      <c r="F28" s="10"/>
    </row>
    <row r="29" spans="1:6" x14ac:dyDescent="0.2">
      <c r="A29" s="749"/>
      <c r="B29" s="32" t="s">
        <v>22</v>
      </c>
      <c r="C29" s="28"/>
      <c r="F29" s="10"/>
    </row>
    <row r="30" spans="1:6" x14ac:dyDescent="0.2">
      <c r="A30" s="749"/>
      <c r="B30" s="32" t="s">
        <v>23</v>
      </c>
      <c r="C30" s="28"/>
      <c r="F30" s="10"/>
    </row>
    <row r="31" spans="1:6" x14ac:dyDescent="0.2">
      <c r="A31" s="749"/>
      <c r="B31" s="32" t="s">
        <v>24</v>
      </c>
      <c r="C31" s="28"/>
      <c r="F31" s="10"/>
    </row>
    <row r="32" spans="1:6" x14ac:dyDescent="0.2">
      <c r="A32" s="749"/>
      <c r="B32" s="32" t="s">
        <v>25</v>
      </c>
      <c r="C32" s="28"/>
      <c r="F32" s="10"/>
    </row>
    <row r="33" spans="1:6" x14ac:dyDescent="0.2">
      <c r="A33" s="749"/>
      <c r="B33" s="32" t="s">
        <v>26</v>
      </c>
      <c r="C33" s="28"/>
    </row>
    <row r="34" spans="1:6" x14ac:dyDescent="0.2">
      <c r="A34" s="440" t="s">
        <v>27</v>
      </c>
      <c r="B34" s="751" t="s">
        <v>28</v>
      </c>
      <c r="C34" s="751"/>
    </row>
    <row r="35" spans="1:6" x14ac:dyDescent="0.2">
      <c r="A35" s="752">
        <v>7</v>
      </c>
      <c r="B35" s="33" t="s">
        <v>29</v>
      </c>
      <c r="C35" s="35"/>
      <c r="D35" s="10" t="str">
        <f>+IF(C35&gt;0,"","Утга нөхөх")</f>
        <v>Утга нөхөх</v>
      </c>
      <c r="E35" s="10"/>
    </row>
    <row r="36" spans="1:6" x14ac:dyDescent="0.2">
      <c r="A36" s="752"/>
      <c r="B36" s="36" t="s">
        <v>30</v>
      </c>
      <c r="C36" s="34"/>
      <c r="D36" s="10" t="str">
        <f>+IF(C36&gt;0,IF(C36&lt;=C35,"","Зөвхөн эмэгтэй ажилтнуудын тоог оруулна уу!"),"Утга нөхөх")</f>
        <v>Утга нөхөх</v>
      </c>
      <c r="E36" s="10"/>
    </row>
    <row r="37" spans="1:6" x14ac:dyDescent="0.2">
      <c r="A37" s="755">
        <v>9</v>
      </c>
      <c r="B37" s="26" t="s">
        <v>32</v>
      </c>
      <c r="C37" s="40"/>
      <c r="D37" s="10" t="str">
        <f>+IF(C37&gt;0,"","Сонгох")</f>
        <v>Сонгох</v>
      </c>
      <c r="E37" s="10"/>
    </row>
    <row r="38" spans="1:6" x14ac:dyDescent="0.2">
      <c r="A38" s="755"/>
      <c r="B38" s="41" t="s">
        <v>38</v>
      </c>
      <c r="C38" s="38"/>
      <c r="D38" s="10" t="str">
        <f>+IF(C38&gt;0,"","Утга нөхөх")</f>
        <v>Утга нөхөх</v>
      </c>
      <c r="E38" s="10"/>
    </row>
    <row r="39" spans="1:6" x14ac:dyDescent="0.2">
      <c r="A39" s="755"/>
      <c r="B39" s="41" t="s">
        <v>40</v>
      </c>
      <c r="C39" s="38"/>
      <c r="D39" s="10" t="str">
        <f>+IF(C39&gt;0,"","Утга нөхөх")</f>
        <v>Утга нөхөх</v>
      </c>
      <c r="E39" s="10"/>
    </row>
    <row r="40" spans="1:6" x14ac:dyDescent="0.2">
      <c r="A40" s="755">
        <v>10</v>
      </c>
      <c r="B40" s="753" t="s">
        <v>1146</v>
      </c>
      <c r="C40" s="754"/>
      <c r="D40" s="10"/>
      <c r="E40" s="10"/>
    </row>
    <row r="41" spans="1:6" x14ac:dyDescent="0.2">
      <c r="A41" s="755"/>
      <c r="B41" s="48" t="s">
        <v>41</v>
      </c>
      <c r="C41" s="119"/>
      <c r="D41" s="10" t="str">
        <f>IF(C41&gt;200000,"","Заавал нөхнө үү!")</f>
        <v>Заавал нөхнө үү!</v>
      </c>
      <c r="E41" s="10"/>
    </row>
    <row r="42" spans="1:6" ht="15" x14ac:dyDescent="0.25">
      <c r="A42" s="755"/>
      <c r="B42" s="48" t="s">
        <v>1238</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55"/>
      <c r="B43" s="48" t="s">
        <v>1114</v>
      </c>
      <c r="C43" s="119"/>
      <c r="D43" s="10" t="str">
        <f>IF(C43&gt;80000000,"","Заавал нөхнө үү!")</f>
        <v>Заавал нөхнө үү!</v>
      </c>
      <c r="E43" s="10"/>
    </row>
    <row r="44" spans="1:6" x14ac:dyDescent="0.2">
      <c r="A44" s="43">
        <v>15</v>
      </c>
      <c r="B44" s="42" t="s">
        <v>33</v>
      </c>
      <c r="C44" s="385"/>
      <c r="D44" s="10" t="str">
        <f>+IF(C44&gt;0,IF(C44&lt;F44,"","мянган төгрөгөөр шивнэ үү"),"Утга нөхөх")</f>
        <v>Утга нөхөх</v>
      </c>
      <c r="E44" s="10"/>
      <c r="F44" s="20">
        <v>100000000</v>
      </c>
    </row>
    <row r="45" spans="1:6" x14ac:dyDescent="0.2">
      <c r="A45" s="43">
        <v>16</v>
      </c>
      <c r="B45" s="42" t="s">
        <v>39</v>
      </c>
      <c r="C45" s="385"/>
      <c r="D45" s="10" t="str">
        <f>+IF(C45&gt;0,IF(C45&lt;F45,"","мянган төгрөгөөр шивнэ үү"),"Утга нөхөх")</f>
        <v>Утга нөхөх</v>
      </c>
      <c r="E45" s="10"/>
      <c r="F45" s="20">
        <v>50000000</v>
      </c>
    </row>
    <row r="46" spans="1:6" x14ac:dyDescent="0.2">
      <c r="A46" s="756">
        <v>17</v>
      </c>
      <c r="B46" s="757" t="s">
        <v>34</v>
      </c>
      <c r="C46" s="757"/>
    </row>
    <row r="47" spans="1:6" x14ac:dyDescent="0.2">
      <c r="A47" s="756"/>
      <c r="B47" s="45" t="s">
        <v>1115</v>
      </c>
      <c r="C47" s="46"/>
      <c r="D47" s="10" t="str">
        <f>IF(C47&gt;0,IF(C50&gt;0,"","C50 нүдэнд харгалзах дүнг оруулна уу"),"")</f>
        <v/>
      </c>
      <c r="E47" s="10"/>
    </row>
    <row r="48" spans="1:6" x14ac:dyDescent="0.2">
      <c r="A48" s="756"/>
      <c r="B48" s="45" t="s">
        <v>1116</v>
      </c>
      <c r="C48" s="46"/>
      <c r="D48" s="10" t="str">
        <f>IF(C48&gt;0,IF(C51&gt;0,"","C51 нүдэнд харгалзах дүнг оруулна уу"),"")</f>
        <v/>
      </c>
      <c r="E48" s="10"/>
    </row>
    <row r="49" spans="1:7" x14ac:dyDescent="0.2">
      <c r="A49" s="756"/>
      <c r="B49" s="757" t="s">
        <v>35</v>
      </c>
      <c r="C49" s="757"/>
      <c r="D49" s="10"/>
      <c r="E49" s="10"/>
    </row>
    <row r="50" spans="1:7" x14ac:dyDescent="0.2">
      <c r="A50" s="756"/>
      <c r="B50" s="45" t="s">
        <v>1117</v>
      </c>
      <c r="C50" s="47"/>
      <c r="D50" s="10"/>
      <c r="E50" s="10"/>
    </row>
    <row r="51" spans="1:7" x14ac:dyDescent="0.2">
      <c r="A51" s="756"/>
      <c r="B51" s="45" t="s">
        <v>1118</v>
      </c>
      <c r="C51" s="47"/>
      <c r="D51" s="10"/>
      <c r="E51" s="10"/>
    </row>
    <row r="52" spans="1:7" ht="25.5" x14ac:dyDescent="0.2">
      <c r="A52" s="639">
        <v>18</v>
      </c>
      <c r="B52" s="671" t="s">
        <v>1165</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58" t="s">
        <v>36</v>
      </c>
      <c r="B56" s="758"/>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750" t="s">
        <v>1096</v>
      </c>
      <c r="C60" s="750"/>
    </row>
    <row r="61" spans="1:7" x14ac:dyDescent="0.2">
      <c r="A61" s="50"/>
      <c r="B61" s="19"/>
      <c r="C61" s="19"/>
    </row>
    <row r="62" spans="1:7" x14ac:dyDescent="0.2">
      <c r="A62" s="50"/>
      <c r="B62" s="750" t="s">
        <v>1097</v>
      </c>
      <c r="C62" s="750"/>
    </row>
    <row r="63" spans="1:7" x14ac:dyDescent="0.2">
      <c r="A63" s="50"/>
      <c r="B63" s="19"/>
      <c r="C63" s="19"/>
    </row>
    <row r="64" spans="1:7" x14ac:dyDescent="0.2">
      <c r="A64" s="50"/>
      <c r="B64" s="750"/>
      <c r="C64" s="750"/>
    </row>
  </sheetData>
  <sheetProtection algorithmName="SHA-512" hashValue="Q/m7Ur0k9nA5IQITO1eGuCSaBVqmV6ks1bw5vCft0QOO9TA+a3Qq8cPn2F6sJd7XwiHZrIme+xN8C5al+Z/y3g==" saltValue="tef9uiH6GqDhpUOBu2eZ8A==" spinCount="100000" sheet="1" objects="1" scenarios="1"/>
  <mergeCells count="21">
    <mergeCell ref="B62:C62"/>
    <mergeCell ref="B64:C64"/>
    <mergeCell ref="A37:A39"/>
    <mergeCell ref="A40:A43"/>
    <mergeCell ref="A46:A51"/>
    <mergeCell ref="B46:C46"/>
    <mergeCell ref="B49:C49"/>
    <mergeCell ref="A56:B56"/>
    <mergeCell ref="A16:A22"/>
    <mergeCell ref="A23:A27"/>
    <mergeCell ref="A28:A33"/>
    <mergeCell ref="B60:C60"/>
    <mergeCell ref="B34:C34"/>
    <mergeCell ref="A35:A36"/>
    <mergeCell ref="B40:C40"/>
    <mergeCell ref="A10:A15"/>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IS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26" t="s">
        <v>875</v>
      </c>
      <c r="B2" s="1026"/>
      <c r="C2" s="1026"/>
      <c r="D2" s="1026"/>
      <c r="E2" s="1026"/>
      <c r="F2" s="1026"/>
      <c r="G2" s="1026"/>
      <c r="H2" s="1026"/>
      <c r="I2" s="1026"/>
      <c r="J2" s="1026"/>
      <c r="K2" s="1026"/>
      <c r="L2" s="1026"/>
      <c r="M2" s="1026"/>
      <c r="N2" s="1026"/>
      <c r="O2" s="1026"/>
      <c r="P2" s="1026"/>
    </row>
    <row r="3" spans="1:18" x14ac:dyDescent="0.2">
      <c r="A3" s="1027" t="str">
        <f>+BALANCE!A3</f>
        <v>БАНК БУС САНХҮҮГИЙН БАЙГУУЛЛАГЫН НЭР</v>
      </c>
      <c r="B3" s="1027"/>
      <c r="C3" s="1027"/>
      <c r="D3" s="1027"/>
      <c r="E3" s="1027"/>
      <c r="F3" s="1027"/>
      <c r="G3" s="1027"/>
      <c r="H3" s="1027"/>
      <c r="I3" s="1027"/>
      <c r="J3" s="1027"/>
      <c r="K3" s="1027"/>
      <c r="L3" s="1027"/>
      <c r="M3" s="1027"/>
      <c r="N3" s="1027"/>
      <c r="O3" s="1027"/>
      <c r="P3" s="1027"/>
    </row>
    <row r="4" spans="1:18" x14ac:dyDescent="0.2">
      <c r="A4" s="1028" t="str">
        <f>+BALANCE!A4</f>
        <v>БАНК БУС САНХҮҮГИЙН БАЙГУУЛЛАГА</v>
      </c>
      <c r="B4" s="1028"/>
      <c r="C4" s="1028"/>
      <c r="D4" s="1028"/>
      <c r="E4" s="1028"/>
      <c r="F4" s="1028"/>
      <c r="G4" s="1028"/>
      <c r="H4" s="1028"/>
      <c r="I4" s="1028"/>
      <c r="J4" s="1028"/>
      <c r="K4" s="1028"/>
      <c r="L4" s="1028"/>
      <c r="M4" s="1028"/>
      <c r="N4" s="1028"/>
      <c r="O4" s="1028"/>
      <c r="P4" s="1028"/>
    </row>
    <row r="5" spans="1:18" x14ac:dyDescent="0.2">
      <c r="A5" s="554"/>
      <c r="B5" s="554"/>
      <c r="C5" s="554"/>
      <c r="D5" s="554"/>
      <c r="E5" s="555"/>
      <c r="F5" s="556"/>
      <c r="G5" s="554"/>
      <c r="H5" s="555"/>
      <c r="I5" s="555"/>
      <c r="J5" s="554"/>
      <c r="K5" s="554"/>
      <c r="L5" s="554"/>
      <c r="M5" s="554"/>
      <c r="N5" s="555"/>
      <c r="O5" s="556"/>
      <c r="P5" s="556"/>
    </row>
    <row r="6" spans="1:18" x14ac:dyDescent="0.2">
      <c r="A6" s="611">
        <f>+BALANCE!A6</f>
        <v>44742</v>
      </c>
      <c r="B6" s="611"/>
      <c r="C6" s="611"/>
      <c r="D6" s="557"/>
      <c r="E6" s="558"/>
      <c r="F6" s="559"/>
      <c r="G6" s="560"/>
      <c r="H6" s="1029"/>
      <c r="I6" s="1029"/>
      <c r="J6" s="1029"/>
      <c r="K6" s="561"/>
      <c r="L6" s="561"/>
      <c r="M6" s="561"/>
      <c r="O6" s="1030" t="s">
        <v>439</v>
      </c>
      <c r="P6" s="1030"/>
    </row>
    <row r="7" spans="1:18" ht="12.75" customHeight="1" x14ac:dyDescent="0.2">
      <c r="A7" s="1005" t="s">
        <v>876</v>
      </c>
      <c r="B7" s="1007" t="s">
        <v>867</v>
      </c>
      <c r="C7" s="1007"/>
      <c r="D7" s="1007" t="s">
        <v>877</v>
      </c>
      <c r="E7" s="1007"/>
      <c r="F7" s="1006" t="s">
        <v>1067</v>
      </c>
      <c r="G7" s="1007" t="s">
        <v>878</v>
      </c>
      <c r="H7" s="1007"/>
      <c r="I7" s="1011" t="s">
        <v>1098</v>
      </c>
      <c r="J7" s="1007" t="s">
        <v>879</v>
      </c>
      <c r="K7" s="1007"/>
      <c r="L7" s="1007"/>
      <c r="M7" s="1007"/>
      <c r="N7" s="1007"/>
      <c r="O7" s="1003" t="s">
        <v>880</v>
      </c>
      <c r="P7" s="1003"/>
    </row>
    <row r="8" spans="1:18" ht="23.25" customHeight="1" x14ac:dyDescent="0.2">
      <c r="A8" s="1005"/>
      <c r="B8" s="563" t="s">
        <v>881</v>
      </c>
      <c r="C8" s="564" t="s">
        <v>882</v>
      </c>
      <c r="D8" s="563" t="s">
        <v>881</v>
      </c>
      <c r="E8" s="564" t="s">
        <v>882</v>
      </c>
      <c r="F8" s="1006"/>
      <c r="G8" s="563" t="s">
        <v>881</v>
      </c>
      <c r="H8" s="564" t="s">
        <v>882</v>
      </c>
      <c r="I8" s="1012"/>
      <c r="J8" s="563" t="s">
        <v>881</v>
      </c>
      <c r="K8" s="564" t="s">
        <v>882</v>
      </c>
      <c r="L8" s="563" t="s">
        <v>470</v>
      </c>
      <c r="M8" s="563" t="s">
        <v>1164</v>
      </c>
      <c r="N8" s="564" t="s">
        <v>1066</v>
      </c>
      <c r="O8" s="565" t="s">
        <v>883</v>
      </c>
      <c r="P8" s="565" t="s">
        <v>884</v>
      </c>
    </row>
    <row r="9" spans="1:18" s="566" customFormat="1" x14ac:dyDescent="0.2">
      <c r="A9" s="411" t="s">
        <v>885</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886</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887</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888</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889</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890</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891</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892</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893</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894</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895</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896</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897</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898</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899</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900</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901</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902</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903</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904</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905</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906</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907</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908</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909</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910</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911</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912</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913</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914</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915</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916</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917</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918</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919</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920</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921</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922</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923</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924</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925</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926</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1147</v>
      </c>
      <c r="B51" s="1014" t="s">
        <v>1076</v>
      </c>
      <c r="C51" s="1015"/>
      <c r="D51" s="614">
        <f>SUM(D52:D58)</f>
        <v>0</v>
      </c>
      <c r="E51" s="394">
        <f>SUM(E52:E58)</f>
        <v>0</v>
      </c>
      <c r="F51" s="593" t="e">
        <f>(D52*F52+D53*F53+D54*F54+D55*F55+D56*F56+D57*F57+D58*F58)/D51</f>
        <v>#DIV/0!</v>
      </c>
      <c r="G51" s="614">
        <f>SUM(G52:G58)</f>
        <v>0</v>
      </c>
      <c r="H51" s="394">
        <f>SUM(H52:H58)</f>
        <v>0</v>
      </c>
      <c r="I51" s="1014" t="s">
        <v>1076</v>
      </c>
      <c r="J51" s="1015"/>
      <c r="K51" s="1015"/>
      <c r="L51" s="1015"/>
      <c r="M51" s="1015"/>
      <c r="N51" s="1015"/>
      <c r="O51" s="1015"/>
      <c r="P51" s="1023"/>
      <c r="Q51" s="551"/>
      <c r="R51" s="674"/>
    </row>
    <row r="52" spans="1:18" s="572" customFormat="1" x14ac:dyDescent="0.2">
      <c r="A52" s="571" t="s">
        <v>1102</v>
      </c>
      <c r="B52" s="1016"/>
      <c r="C52" s="1017"/>
      <c r="D52" s="618"/>
      <c r="E52" s="403"/>
      <c r="F52" s="412"/>
      <c r="G52" s="618"/>
      <c r="H52" s="403"/>
      <c r="I52" s="1016"/>
      <c r="J52" s="1017"/>
      <c r="K52" s="1017"/>
      <c r="L52" s="1017"/>
      <c r="M52" s="1017"/>
      <c r="N52" s="1017"/>
      <c r="O52" s="1017"/>
      <c r="P52" s="1024"/>
      <c r="Q52" s="551" t="str">
        <f t="shared" ref="Q52:Q58" si="7">+IF(D52&gt;0,IF(AND(F52&gt;0,F52&lt;0.15),"","ЗЖДХ-г сараар шивнэ үү."),"")</f>
        <v/>
      </c>
      <c r="R52" s="674"/>
    </row>
    <row r="53" spans="1:18" s="572" customFormat="1" x14ac:dyDescent="0.2">
      <c r="A53" s="571" t="s">
        <v>1103</v>
      </c>
      <c r="B53" s="1016"/>
      <c r="C53" s="1017"/>
      <c r="D53" s="618"/>
      <c r="E53" s="403"/>
      <c r="F53" s="412"/>
      <c r="G53" s="618"/>
      <c r="H53" s="403"/>
      <c r="I53" s="1016"/>
      <c r="J53" s="1017"/>
      <c r="K53" s="1017"/>
      <c r="L53" s="1017"/>
      <c r="M53" s="1017"/>
      <c r="N53" s="1017"/>
      <c r="O53" s="1017"/>
      <c r="P53" s="1024"/>
      <c r="Q53" s="551" t="str">
        <f t="shared" si="7"/>
        <v/>
      </c>
      <c r="R53" s="674"/>
    </row>
    <row r="54" spans="1:18" s="572" customFormat="1" x14ac:dyDescent="0.2">
      <c r="A54" s="571" t="s">
        <v>1104</v>
      </c>
      <c r="B54" s="1016"/>
      <c r="C54" s="1017"/>
      <c r="D54" s="618"/>
      <c r="E54" s="403"/>
      <c r="F54" s="412"/>
      <c r="G54" s="618"/>
      <c r="H54" s="403"/>
      <c r="I54" s="1016"/>
      <c r="J54" s="1017"/>
      <c r="K54" s="1017"/>
      <c r="L54" s="1017"/>
      <c r="M54" s="1017"/>
      <c r="N54" s="1017"/>
      <c r="O54" s="1017"/>
      <c r="P54" s="1024"/>
      <c r="Q54" s="551" t="str">
        <f t="shared" si="7"/>
        <v/>
      </c>
      <c r="R54" s="674"/>
    </row>
    <row r="55" spans="1:18" s="572" customFormat="1" x14ac:dyDescent="0.2">
      <c r="A55" s="571" t="s">
        <v>1105</v>
      </c>
      <c r="B55" s="1016"/>
      <c r="C55" s="1017"/>
      <c r="D55" s="618"/>
      <c r="E55" s="403"/>
      <c r="F55" s="412"/>
      <c r="G55" s="618"/>
      <c r="H55" s="403"/>
      <c r="I55" s="1016"/>
      <c r="J55" s="1017"/>
      <c r="K55" s="1017"/>
      <c r="L55" s="1017"/>
      <c r="M55" s="1017"/>
      <c r="N55" s="1017"/>
      <c r="O55" s="1017"/>
      <c r="P55" s="1024"/>
      <c r="Q55" s="551" t="str">
        <f t="shared" si="7"/>
        <v/>
      </c>
      <c r="R55" s="674"/>
    </row>
    <row r="56" spans="1:18" s="572" customFormat="1" x14ac:dyDescent="0.2">
      <c r="A56" s="571" t="s">
        <v>1106</v>
      </c>
      <c r="B56" s="1016"/>
      <c r="C56" s="1017"/>
      <c r="D56" s="618"/>
      <c r="E56" s="403"/>
      <c r="F56" s="412"/>
      <c r="G56" s="618"/>
      <c r="H56" s="403"/>
      <c r="I56" s="1016"/>
      <c r="J56" s="1017"/>
      <c r="K56" s="1017"/>
      <c r="L56" s="1017"/>
      <c r="M56" s="1017"/>
      <c r="N56" s="1017"/>
      <c r="O56" s="1017"/>
      <c r="P56" s="1024"/>
      <c r="Q56" s="551" t="str">
        <f t="shared" si="7"/>
        <v/>
      </c>
      <c r="R56" s="674"/>
    </row>
    <row r="57" spans="1:18" s="572" customFormat="1" x14ac:dyDescent="0.2">
      <c r="A57" s="571" t="s">
        <v>1107</v>
      </c>
      <c r="B57" s="1016"/>
      <c r="C57" s="1017"/>
      <c r="D57" s="618"/>
      <c r="E57" s="403"/>
      <c r="F57" s="412"/>
      <c r="G57" s="618"/>
      <c r="H57" s="403"/>
      <c r="I57" s="1016"/>
      <c r="J57" s="1017"/>
      <c r="K57" s="1017"/>
      <c r="L57" s="1017"/>
      <c r="M57" s="1017"/>
      <c r="N57" s="1017"/>
      <c r="O57" s="1017"/>
      <c r="P57" s="1024"/>
      <c r="Q57" s="551" t="str">
        <f t="shared" si="7"/>
        <v/>
      </c>
      <c r="R57" s="674"/>
    </row>
    <row r="58" spans="1:18" s="572" customFormat="1" x14ac:dyDescent="0.2">
      <c r="A58" s="571" t="s">
        <v>1108</v>
      </c>
      <c r="B58" s="1018"/>
      <c r="C58" s="1019"/>
      <c r="D58" s="618"/>
      <c r="E58" s="403"/>
      <c r="F58" s="412"/>
      <c r="G58" s="618"/>
      <c r="H58" s="403"/>
      <c r="I58" s="1018"/>
      <c r="J58" s="1019"/>
      <c r="K58" s="1019"/>
      <c r="L58" s="1019"/>
      <c r="M58" s="1019"/>
      <c r="N58" s="1019"/>
      <c r="O58" s="1019"/>
      <c r="P58" s="1025"/>
      <c r="Q58" s="551" t="str">
        <f t="shared" si="7"/>
        <v/>
      </c>
      <c r="R58" s="674"/>
    </row>
    <row r="59" spans="1:18" s="566" customFormat="1" x14ac:dyDescent="0.2">
      <c r="A59" s="1020" t="s">
        <v>1148</v>
      </c>
      <c r="B59" s="1021"/>
      <c r="C59" s="1021"/>
      <c r="D59" s="1021"/>
      <c r="E59" s="1021"/>
      <c r="F59" s="1021"/>
      <c r="G59" s="1021"/>
      <c r="H59" s="1021"/>
      <c r="I59" s="1021"/>
      <c r="J59" s="1021"/>
      <c r="K59" s="1021"/>
      <c r="L59" s="1021"/>
      <c r="M59" s="1021"/>
      <c r="N59" s="1021"/>
      <c r="O59" s="1021"/>
      <c r="P59" s="1022"/>
      <c r="Q59" s="551"/>
      <c r="R59" s="674"/>
    </row>
    <row r="60" spans="1:18" x14ac:dyDescent="0.2">
      <c r="A60" s="393" t="s">
        <v>1077</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1109</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1155</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1156</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1157</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1075</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1078</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1072</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1073</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1074</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1075</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1159</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1158</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08" t="s">
        <v>1122</v>
      </c>
      <c r="B76" s="1008"/>
      <c r="C76" s="1008"/>
      <c r="D76" s="1008"/>
      <c r="E76" s="1008"/>
      <c r="F76" s="1008"/>
      <c r="G76" s="1008"/>
      <c r="H76" s="1008"/>
      <c r="I76" s="1008"/>
      <c r="J76" s="1008"/>
      <c r="K76" s="1008"/>
      <c r="L76" s="1008"/>
      <c r="M76" s="1008"/>
      <c r="N76" s="1008"/>
      <c r="O76" s="1008"/>
      <c r="P76" s="1008"/>
    </row>
    <row r="77" spans="1:253" x14ac:dyDescent="0.2">
      <c r="A77" s="1009" t="s">
        <v>1123</v>
      </c>
      <c r="B77" s="1009"/>
      <c r="C77" s="1009"/>
      <c r="D77" s="1009"/>
      <c r="E77" s="1009"/>
      <c r="F77" s="1009"/>
      <c r="G77" s="1009"/>
      <c r="H77" s="1009"/>
      <c r="I77" s="1009"/>
      <c r="J77" s="1009"/>
      <c r="K77" s="1009"/>
      <c r="L77" s="1009"/>
      <c r="M77" s="1009"/>
      <c r="N77" s="1009"/>
      <c r="O77" s="1009"/>
      <c r="P77" s="1009"/>
    </row>
    <row r="78" spans="1:253" x14ac:dyDescent="0.2">
      <c r="A78" s="1010" t="s">
        <v>928</v>
      </c>
      <c r="B78" s="1010"/>
      <c r="C78" s="1010"/>
      <c r="D78" s="573"/>
      <c r="E78" s="573"/>
      <c r="F78" s="594"/>
      <c r="G78" s="573"/>
      <c r="H78" s="573"/>
      <c r="I78" s="573"/>
      <c r="J78" s="573"/>
      <c r="K78" s="573"/>
      <c r="L78" s="573"/>
      <c r="M78" s="573"/>
      <c r="N78" s="573"/>
      <c r="O78" s="573"/>
      <c r="P78" s="573"/>
    </row>
    <row r="79" spans="1:253" x14ac:dyDescent="0.2">
      <c r="A79" s="553" t="s">
        <v>1099</v>
      </c>
    </row>
    <row r="80" spans="1:253" x14ac:dyDescent="0.2">
      <c r="B80" s="1004" t="s">
        <v>36</v>
      </c>
      <c r="C80" s="1004"/>
      <c r="D80" s="576"/>
      <c r="E80" s="577"/>
      <c r="F80" s="578"/>
      <c r="H80" s="410"/>
      <c r="I80" s="410"/>
    </row>
    <row r="81" spans="2:13" x14ac:dyDescent="0.2">
      <c r="B81" s="579"/>
      <c r="C81" s="579"/>
      <c r="D81" s="576"/>
      <c r="E81" s="577"/>
      <c r="F81" s="578"/>
    </row>
    <row r="82" spans="2:13" x14ac:dyDescent="0.2">
      <c r="B82" s="1013" t="s">
        <v>437</v>
      </c>
      <c r="C82" s="1013"/>
      <c r="D82" s="1013"/>
      <c r="E82" s="577"/>
      <c r="F82" s="578"/>
    </row>
    <row r="83" spans="2:13" x14ac:dyDescent="0.2">
      <c r="B83" s="579"/>
      <c r="C83" s="579"/>
      <c r="D83" s="576"/>
      <c r="E83" s="577"/>
      <c r="F83" s="578"/>
    </row>
    <row r="84" spans="2:13" x14ac:dyDescent="0.2">
      <c r="B84" s="579"/>
      <c r="C84" s="579"/>
      <c r="D84" s="1002" t="str">
        <f>+BALANCE!D361</f>
        <v>ГҮЙЦЭТГЭХ ЗАХИРАЛ.................................................................//</v>
      </c>
      <c r="E84" s="1002"/>
      <c r="F84" s="1002"/>
      <c r="G84" s="1002"/>
      <c r="H84" s="1002"/>
      <c r="I84" s="1002"/>
      <c r="J84" s="1002"/>
      <c r="K84" s="580"/>
      <c r="L84" s="580"/>
      <c r="M84" s="580"/>
    </row>
    <row r="85" spans="2:13" x14ac:dyDescent="0.2">
      <c r="B85" s="579"/>
      <c r="C85" s="579"/>
      <c r="D85" s="576"/>
      <c r="E85" s="577"/>
      <c r="F85" s="578"/>
    </row>
    <row r="86" spans="2:13" x14ac:dyDescent="0.2">
      <c r="B86" s="579"/>
      <c r="C86" s="579"/>
      <c r="D86" s="1002" t="str">
        <f>+BALANCE!D363</f>
        <v>ЕРӨНХИЙ НЯГТЛАН БОДОГЧ....................................................//</v>
      </c>
      <c r="E86" s="1002"/>
      <c r="F86" s="1002"/>
      <c r="G86" s="1002"/>
      <c r="H86" s="1002"/>
      <c r="I86" s="1002"/>
      <c r="J86" s="1002"/>
      <c r="K86" s="580"/>
      <c r="L86" s="580"/>
      <c r="M86" s="580"/>
    </row>
    <row r="87" spans="2:13" x14ac:dyDescent="0.2">
      <c r="B87" s="579"/>
      <c r="C87" s="579"/>
      <c r="D87" s="576"/>
      <c r="E87" s="577"/>
      <c r="F87" s="578"/>
    </row>
    <row r="88" spans="2:13" x14ac:dyDescent="0.2">
      <c r="B88" s="579"/>
      <c r="C88" s="579"/>
      <c r="D88" s="1002">
        <f>+BALANCE!D365</f>
        <v>0</v>
      </c>
      <c r="E88" s="1002"/>
      <c r="F88" s="1002"/>
      <c r="G88" s="1002"/>
      <c r="H88" s="1002"/>
      <c r="I88" s="1002"/>
      <c r="J88" s="1002"/>
      <c r="K88" s="580"/>
      <c r="L88" s="580"/>
      <c r="M88" s="580"/>
    </row>
  </sheetData>
  <sheetProtection password="CA9F" sheet="1"/>
  <mergeCells count="24">
    <mergeCell ref="D7:E7"/>
    <mergeCell ref="A59:P59"/>
    <mergeCell ref="I51:P58"/>
    <mergeCell ref="A2:P2"/>
    <mergeCell ref="A3:P3"/>
    <mergeCell ref="A4:P4"/>
    <mergeCell ref="H6:J6"/>
    <mergeCell ref="O6:P6"/>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70" t="s">
        <v>929</v>
      </c>
      <c r="B2" s="770"/>
      <c r="C2" s="770"/>
      <c r="D2" s="770"/>
      <c r="E2" s="770"/>
      <c r="F2" s="770"/>
      <c r="G2" s="770"/>
      <c r="H2" s="770"/>
      <c r="I2" s="770"/>
      <c r="J2" s="770"/>
      <c r="K2" s="770"/>
      <c r="L2" s="770"/>
    </row>
    <row r="3" spans="1:12" x14ac:dyDescent="0.2">
      <c r="A3" s="762" t="str">
        <f>+BALANCE!A3</f>
        <v>БАНК БУС САНХҮҮГИЙН БАЙГУУЛЛАГЫН НЭР</v>
      </c>
      <c r="B3" s="762"/>
      <c r="C3" s="762"/>
      <c r="D3" s="762"/>
      <c r="E3" s="762"/>
      <c r="F3" s="762"/>
      <c r="G3" s="762"/>
      <c r="H3" s="762"/>
      <c r="I3" s="762"/>
      <c r="J3" s="762"/>
      <c r="K3" s="762"/>
      <c r="L3" s="762"/>
    </row>
    <row r="4" spans="1:12" x14ac:dyDescent="0.2">
      <c r="A4" s="744" t="str">
        <f>+BALANCE!A4</f>
        <v>БАНК БУС САНХҮҮГИЙН БАЙГУУЛЛАГА</v>
      </c>
      <c r="B4" s="744"/>
      <c r="C4" s="744"/>
      <c r="D4" s="744"/>
      <c r="E4" s="744"/>
      <c r="F4" s="744"/>
      <c r="G4" s="744"/>
      <c r="H4" s="744"/>
      <c r="I4" s="744"/>
      <c r="J4" s="744"/>
      <c r="K4" s="744"/>
      <c r="L4" s="744"/>
    </row>
    <row r="5" spans="1:12" x14ac:dyDescent="0.2">
      <c r="A5" s="829">
        <f>+BALANCE!A6</f>
        <v>44742</v>
      </c>
      <c r="B5" s="829"/>
      <c r="K5" s="1034" t="s">
        <v>439</v>
      </c>
      <c r="L5" s="1034"/>
    </row>
    <row r="6" spans="1:12" ht="15" customHeight="1" x14ac:dyDescent="0.2">
      <c r="A6" s="1035" t="s">
        <v>930</v>
      </c>
      <c r="B6" s="1035"/>
      <c r="C6" s="1035"/>
      <c r="D6" s="1035" t="s">
        <v>931</v>
      </c>
      <c r="E6" s="1036" t="s">
        <v>932</v>
      </c>
      <c r="F6" s="1036"/>
      <c r="G6" s="1036"/>
      <c r="H6" s="1036"/>
      <c r="I6" s="1036"/>
      <c r="J6" s="1036" t="s">
        <v>933</v>
      </c>
      <c r="K6" s="1036"/>
      <c r="L6" s="1035" t="s">
        <v>799</v>
      </c>
    </row>
    <row r="7" spans="1:12" ht="38.25" x14ac:dyDescent="0.2">
      <c r="A7" s="1035"/>
      <c r="B7" s="1035"/>
      <c r="C7" s="1035"/>
      <c r="D7" s="1035"/>
      <c r="E7" s="542" t="s">
        <v>934</v>
      </c>
      <c r="F7" s="542" t="s">
        <v>935</v>
      </c>
      <c r="G7" s="542" t="s">
        <v>936</v>
      </c>
      <c r="H7" s="542" t="s">
        <v>937</v>
      </c>
      <c r="I7" s="542" t="s">
        <v>938</v>
      </c>
      <c r="J7" s="542" t="s">
        <v>934</v>
      </c>
      <c r="K7" s="542" t="s">
        <v>939</v>
      </c>
      <c r="L7" s="1035"/>
    </row>
    <row r="8" spans="1:12" x14ac:dyDescent="0.2">
      <c r="A8" s="1032" t="s">
        <v>940</v>
      </c>
      <c r="B8" s="1032"/>
      <c r="C8" s="1032"/>
      <c r="D8" s="420" t="s">
        <v>941</v>
      </c>
      <c r="E8" s="543"/>
      <c r="F8" s="121"/>
      <c r="G8" s="121"/>
      <c r="H8" s="121"/>
      <c r="I8" s="121"/>
      <c r="J8" s="121"/>
      <c r="K8" s="121"/>
      <c r="L8" s="121" t="s">
        <v>942</v>
      </c>
    </row>
    <row r="9" spans="1:12" ht="15" customHeight="1" x14ac:dyDescent="0.2">
      <c r="A9" s="1031" t="s">
        <v>943</v>
      </c>
      <c r="B9" s="1031"/>
      <c r="C9" s="419" t="s">
        <v>944</v>
      </c>
      <c r="D9" s="420">
        <v>1</v>
      </c>
      <c r="E9" s="121">
        <v>0</v>
      </c>
      <c r="F9" s="121">
        <v>0</v>
      </c>
      <c r="G9" s="121">
        <v>0</v>
      </c>
      <c r="H9" s="121">
        <v>0</v>
      </c>
      <c r="I9" s="121">
        <v>0</v>
      </c>
      <c r="J9" s="121">
        <v>0</v>
      </c>
      <c r="K9" s="121">
        <v>0</v>
      </c>
      <c r="L9" s="122">
        <f>SUM(E9:K9)</f>
        <v>0</v>
      </c>
    </row>
    <row r="10" spans="1:12" x14ac:dyDescent="0.2">
      <c r="A10" s="1031"/>
      <c r="B10" s="1031"/>
      <c r="C10" s="419" t="s">
        <v>945</v>
      </c>
      <c r="D10" s="420">
        <v>2</v>
      </c>
      <c r="E10" s="121">
        <v>0</v>
      </c>
      <c r="F10" s="121">
        <v>0</v>
      </c>
      <c r="G10" s="121">
        <v>0</v>
      </c>
      <c r="H10" s="121">
        <v>0</v>
      </c>
      <c r="I10" s="121">
        <v>0</v>
      </c>
      <c r="J10" s="121">
        <v>0</v>
      </c>
      <c r="K10" s="121">
        <v>0</v>
      </c>
      <c r="L10" s="122">
        <f>SUM(E10:K10)</f>
        <v>0</v>
      </c>
    </row>
    <row r="11" spans="1:12" ht="15" customHeight="1" x14ac:dyDescent="0.2">
      <c r="A11" s="1031" t="s">
        <v>946</v>
      </c>
      <c r="B11" s="1033" t="s">
        <v>947</v>
      </c>
      <c r="C11" s="1033"/>
      <c r="D11" s="420">
        <v>3</v>
      </c>
      <c r="E11" s="121">
        <v>0</v>
      </c>
      <c r="F11" s="121">
        <v>0</v>
      </c>
      <c r="G11" s="121">
        <v>0</v>
      </c>
      <c r="H11" s="121">
        <v>0</v>
      </c>
      <c r="I11" s="121">
        <v>0</v>
      </c>
      <c r="J11" s="121">
        <v>0</v>
      </c>
      <c r="K11" s="121">
        <v>0</v>
      </c>
      <c r="L11" s="122">
        <f t="shared" ref="L11:L35" si="0">SUM(E11:K11)</f>
        <v>0</v>
      </c>
    </row>
    <row r="12" spans="1:12" ht="15" customHeight="1" x14ac:dyDescent="0.2">
      <c r="A12" s="1031"/>
      <c r="B12" s="1031" t="s">
        <v>948</v>
      </c>
      <c r="C12" s="419" t="s">
        <v>949</v>
      </c>
      <c r="D12" s="420">
        <v>4</v>
      </c>
      <c r="E12" s="121">
        <v>0</v>
      </c>
      <c r="F12" s="121">
        <v>0</v>
      </c>
      <c r="G12" s="121">
        <v>0</v>
      </c>
      <c r="H12" s="121">
        <v>0</v>
      </c>
      <c r="I12" s="121">
        <v>0</v>
      </c>
      <c r="J12" s="121">
        <v>0</v>
      </c>
      <c r="K12" s="121">
        <v>0</v>
      </c>
      <c r="L12" s="122">
        <f t="shared" si="0"/>
        <v>0</v>
      </c>
    </row>
    <row r="13" spans="1:12" x14ac:dyDescent="0.2">
      <c r="A13" s="1031"/>
      <c r="B13" s="1031"/>
      <c r="C13" s="419" t="s">
        <v>878</v>
      </c>
      <c r="D13" s="420">
        <v>5</v>
      </c>
      <c r="E13" s="121">
        <v>0</v>
      </c>
      <c r="F13" s="121">
        <v>0</v>
      </c>
      <c r="G13" s="121">
        <v>0</v>
      </c>
      <c r="H13" s="121">
        <v>0</v>
      </c>
      <c r="I13" s="121">
        <v>0</v>
      </c>
      <c r="J13" s="121">
        <v>0</v>
      </c>
      <c r="K13" s="121">
        <v>0</v>
      </c>
      <c r="L13" s="122">
        <f t="shared" si="0"/>
        <v>0</v>
      </c>
    </row>
    <row r="14" spans="1:12" x14ac:dyDescent="0.2">
      <c r="A14" s="1031"/>
      <c r="B14" s="1031"/>
      <c r="C14" s="419" t="s">
        <v>950</v>
      </c>
      <c r="D14" s="420">
        <v>6</v>
      </c>
      <c r="E14" s="121">
        <v>0</v>
      </c>
      <c r="F14" s="121">
        <v>0</v>
      </c>
      <c r="G14" s="121">
        <v>0</v>
      </c>
      <c r="H14" s="121">
        <v>0</v>
      </c>
      <c r="I14" s="121">
        <v>0</v>
      </c>
      <c r="J14" s="121">
        <v>0</v>
      </c>
      <c r="K14" s="121">
        <v>0</v>
      </c>
      <c r="L14" s="122">
        <f t="shared" si="0"/>
        <v>0</v>
      </c>
    </row>
    <row r="15" spans="1:12" ht="15" customHeight="1" x14ac:dyDescent="0.2">
      <c r="A15" s="1031"/>
      <c r="B15" s="1031" t="s">
        <v>951</v>
      </c>
      <c r="C15" s="419" t="s">
        <v>952</v>
      </c>
      <c r="D15" s="420">
        <v>7</v>
      </c>
      <c r="E15" s="121">
        <v>0</v>
      </c>
      <c r="F15" s="121">
        <v>0</v>
      </c>
      <c r="G15" s="121">
        <v>0</v>
      </c>
      <c r="H15" s="121">
        <v>0</v>
      </c>
      <c r="I15" s="121">
        <v>0</v>
      </c>
      <c r="J15" s="121">
        <v>0</v>
      </c>
      <c r="K15" s="121">
        <v>0</v>
      </c>
      <c r="L15" s="122">
        <f t="shared" si="0"/>
        <v>0</v>
      </c>
    </row>
    <row r="16" spans="1:12" x14ac:dyDescent="0.2">
      <c r="A16" s="1031"/>
      <c r="B16" s="1031"/>
      <c r="C16" s="419" t="s">
        <v>953</v>
      </c>
      <c r="D16" s="420">
        <v>8</v>
      </c>
      <c r="E16" s="121">
        <v>0</v>
      </c>
      <c r="F16" s="121">
        <v>0</v>
      </c>
      <c r="G16" s="121">
        <v>0</v>
      </c>
      <c r="H16" s="121">
        <v>0</v>
      </c>
      <c r="I16" s="121">
        <v>0</v>
      </c>
      <c r="J16" s="121">
        <v>0</v>
      </c>
      <c r="K16" s="121">
        <v>0</v>
      </c>
      <c r="L16" s="122">
        <f t="shared" si="0"/>
        <v>0</v>
      </c>
    </row>
    <row r="17" spans="1:12" x14ac:dyDescent="0.2">
      <c r="A17" s="1031"/>
      <c r="B17" s="1033" t="s">
        <v>954</v>
      </c>
      <c r="C17" s="1033"/>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2" t="s">
        <v>955</v>
      </c>
      <c r="B18" s="1032"/>
      <c r="C18" s="419" t="s">
        <v>956</v>
      </c>
      <c r="D18" s="420">
        <v>10</v>
      </c>
      <c r="E18" s="121">
        <v>0</v>
      </c>
      <c r="F18" s="121">
        <v>0</v>
      </c>
      <c r="G18" s="121">
        <v>0</v>
      </c>
      <c r="H18" s="121">
        <v>0</v>
      </c>
      <c r="I18" s="121">
        <v>0</v>
      </c>
      <c r="J18" s="121">
        <v>0</v>
      </c>
      <c r="K18" s="121">
        <v>0</v>
      </c>
      <c r="L18" s="122">
        <f t="shared" si="0"/>
        <v>0</v>
      </c>
    </row>
    <row r="19" spans="1:12" x14ac:dyDescent="0.2">
      <c r="A19" s="1032"/>
      <c r="B19" s="1032"/>
      <c r="C19" s="419" t="s">
        <v>957</v>
      </c>
      <c r="D19" s="420">
        <v>11</v>
      </c>
      <c r="E19" s="121">
        <v>0</v>
      </c>
      <c r="F19" s="121">
        <v>0</v>
      </c>
      <c r="G19" s="121">
        <v>0</v>
      </c>
      <c r="H19" s="121">
        <v>0</v>
      </c>
      <c r="I19" s="121">
        <v>0</v>
      </c>
      <c r="J19" s="121">
        <v>0</v>
      </c>
      <c r="K19" s="121">
        <v>0</v>
      </c>
      <c r="L19" s="122">
        <f t="shared" si="0"/>
        <v>0</v>
      </c>
    </row>
    <row r="20" spans="1:12" ht="15" customHeight="1" x14ac:dyDescent="0.2">
      <c r="A20" s="1031" t="s">
        <v>958</v>
      </c>
      <c r="B20" s="1032" t="s">
        <v>959</v>
      </c>
      <c r="C20" s="1032"/>
      <c r="D20" s="420">
        <v>12</v>
      </c>
      <c r="E20" s="121">
        <v>0</v>
      </c>
      <c r="F20" s="121">
        <v>0</v>
      </c>
      <c r="G20" s="121">
        <v>0</v>
      </c>
      <c r="H20" s="121">
        <v>0</v>
      </c>
      <c r="I20" s="121">
        <v>0</v>
      </c>
      <c r="J20" s="121">
        <v>0</v>
      </c>
      <c r="K20" s="121">
        <v>0</v>
      </c>
      <c r="L20" s="122">
        <f t="shared" si="0"/>
        <v>0</v>
      </c>
    </row>
    <row r="21" spans="1:12" x14ac:dyDescent="0.2">
      <c r="A21" s="1031"/>
      <c r="B21" s="1032" t="s">
        <v>960</v>
      </c>
      <c r="C21" s="1032"/>
      <c r="D21" s="420">
        <v>13</v>
      </c>
      <c r="E21" s="121">
        <v>0</v>
      </c>
      <c r="F21" s="121">
        <v>0</v>
      </c>
      <c r="G21" s="121">
        <v>0</v>
      </c>
      <c r="H21" s="121">
        <v>0</v>
      </c>
      <c r="I21" s="121">
        <v>0</v>
      </c>
      <c r="J21" s="121">
        <v>0</v>
      </c>
      <c r="K21" s="121">
        <v>0</v>
      </c>
      <c r="L21" s="122">
        <f t="shared" si="0"/>
        <v>0</v>
      </c>
    </row>
    <row r="22" spans="1:12" ht="15" customHeight="1" x14ac:dyDescent="0.2">
      <c r="A22" s="1031"/>
      <c r="B22" s="1031" t="s">
        <v>961</v>
      </c>
      <c r="C22" s="419" t="s">
        <v>962</v>
      </c>
      <c r="D22" s="420">
        <v>14</v>
      </c>
      <c r="E22" s="121">
        <v>0</v>
      </c>
      <c r="F22" s="121">
        <v>0</v>
      </c>
      <c r="G22" s="121">
        <v>0</v>
      </c>
      <c r="H22" s="121">
        <v>0</v>
      </c>
      <c r="I22" s="121">
        <v>0</v>
      </c>
      <c r="J22" s="121">
        <v>0</v>
      </c>
      <c r="K22" s="121">
        <v>0</v>
      </c>
      <c r="L22" s="122">
        <f t="shared" si="0"/>
        <v>0</v>
      </c>
    </row>
    <row r="23" spans="1:12" x14ac:dyDescent="0.2">
      <c r="A23" s="1031"/>
      <c r="B23" s="1031"/>
      <c r="C23" s="419" t="s">
        <v>963</v>
      </c>
      <c r="D23" s="420">
        <v>15</v>
      </c>
      <c r="E23" s="121">
        <v>0</v>
      </c>
      <c r="F23" s="121">
        <v>0</v>
      </c>
      <c r="G23" s="121">
        <v>0</v>
      </c>
      <c r="H23" s="121">
        <v>0</v>
      </c>
      <c r="I23" s="121">
        <v>0</v>
      </c>
      <c r="J23" s="121">
        <v>0</v>
      </c>
      <c r="K23" s="121">
        <v>0</v>
      </c>
      <c r="L23" s="122">
        <f t="shared" si="0"/>
        <v>0</v>
      </c>
    </row>
    <row r="24" spans="1:12" ht="15" customHeight="1" x14ac:dyDescent="0.2">
      <c r="A24" s="1031" t="s">
        <v>964</v>
      </c>
      <c r="B24" s="1031"/>
      <c r="C24" s="420" t="s">
        <v>959</v>
      </c>
      <c r="D24" s="420">
        <v>16</v>
      </c>
      <c r="E24" s="123">
        <v>0</v>
      </c>
      <c r="F24" s="123">
        <v>0</v>
      </c>
      <c r="G24" s="123">
        <v>0</v>
      </c>
      <c r="H24" s="123">
        <v>0</v>
      </c>
      <c r="I24" s="123">
        <v>0</v>
      </c>
      <c r="J24" s="123">
        <v>0</v>
      </c>
      <c r="K24" s="123">
        <v>0</v>
      </c>
      <c r="L24" s="544">
        <f t="shared" si="0"/>
        <v>0</v>
      </c>
    </row>
    <row r="25" spans="1:12" x14ac:dyDescent="0.2">
      <c r="A25" s="1031"/>
      <c r="B25" s="1031"/>
      <c r="C25" s="420" t="s">
        <v>960</v>
      </c>
      <c r="D25" s="420">
        <v>17</v>
      </c>
      <c r="E25" s="123">
        <v>0</v>
      </c>
      <c r="F25" s="123">
        <v>0</v>
      </c>
      <c r="G25" s="123">
        <v>0</v>
      </c>
      <c r="H25" s="123">
        <v>0</v>
      </c>
      <c r="I25" s="123">
        <v>0</v>
      </c>
      <c r="J25" s="123">
        <v>0</v>
      </c>
      <c r="K25" s="123">
        <v>0</v>
      </c>
      <c r="L25" s="544">
        <f t="shared" si="0"/>
        <v>0</v>
      </c>
    </row>
    <row r="26" spans="1:12" x14ac:dyDescent="0.2">
      <c r="A26" s="1031"/>
      <c r="B26" s="1031"/>
      <c r="C26" s="420" t="s">
        <v>961</v>
      </c>
      <c r="D26" s="420">
        <v>18</v>
      </c>
      <c r="E26" s="123">
        <v>0</v>
      </c>
      <c r="F26" s="123">
        <v>0</v>
      </c>
      <c r="G26" s="123">
        <v>0</v>
      </c>
      <c r="H26" s="123">
        <v>0</v>
      </c>
      <c r="I26" s="123">
        <v>0</v>
      </c>
      <c r="J26" s="123">
        <v>0</v>
      </c>
      <c r="K26" s="123">
        <v>0</v>
      </c>
      <c r="L26" s="544">
        <f t="shared" si="0"/>
        <v>0</v>
      </c>
    </row>
    <row r="27" spans="1:12" ht="15" customHeight="1" x14ac:dyDescent="0.2">
      <c r="A27" s="1031" t="s">
        <v>965</v>
      </c>
      <c r="B27" s="1031"/>
      <c r="C27" s="419" t="s">
        <v>966</v>
      </c>
      <c r="D27" s="420">
        <v>19</v>
      </c>
      <c r="E27" s="121">
        <v>0</v>
      </c>
      <c r="F27" s="121">
        <v>0</v>
      </c>
      <c r="G27" s="121">
        <v>0</v>
      </c>
      <c r="H27" s="121">
        <v>0</v>
      </c>
      <c r="I27" s="121">
        <v>0</v>
      </c>
      <c r="J27" s="121">
        <v>0</v>
      </c>
      <c r="K27" s="121">
        <v>0</v>
      </c>
      <c r="L27" s="122">
        <f t="shared" si="0"/>
        <v>0</v>
      </c>
    </row>
    <row r="28" spans="1:12" x14ac:dyDescent="0.2">
      <c r="A28" s="1031"/>
      <c r="B28" s="1031"/>
      <c r="C28" s="419" t="s">
        <v>967</v>
      </c>
      <c r="D28" s="420">
        <v>20</v>
      </c>
      <c r="E28" s="121">
        <v>0</v>
      </c>
      <c r="F28" s="121">
        <v>0</v>
      </c>
      <c r="G28" s="121">
        <v>0</v>
      </c>
      <c r="H28" s="121">
        <v>0</v>
      </c>
      <c r="I28" s="121">
        <v>0</v>
      </c>
      <c r="J28" s="121">
        <v>0</v>
      </c>
      <c r="K28" s="121">
        <v>0</v>
      </c>
      <c r="L28" s="122">
        <f t="shared" si="0"/>
        <v>0</v>
      </c>
    </row>
    <row r="29" spans="1:12" ht="15" customHeight="1" x14ac:dyDescent="0.2">
      <c r="A29" s="1031" t="s">
        <v>1178</v>
      </c>
      <c r="B29" s="1032" t="s">
        <v>968</v>
      </c>
      <c r="C29" s="1032"/>
      <c r="D29" s="420">
        <v>21</v>
      </c>
      <c r="E29" s="121">
        <v>0</v>
      </c>
      <c r="F29" s="121">
        <v>0</v>
      </c>
      <c r="G29" s="121">
        <v>0</v>
      </c>
      <c r="H29" s="121">
        <v>0</v>
      </c>
      <c r="I29" s="121">
        <v>0</v>
      </c>
      <c r="J29" s="121">
        <v>0</v>
      </c>
      <c r="K29" s="121">
        <v>0</v>
      </c>
      <c r="L29" s="122">
        <f t="shared" si="0"/>
        <v>0</v>
      </c>
    </row>
    <row r="30" spans="1:12" x14ac:dyDescent="0.2">
      <c r="A30" s="1031"/>
      <c r="B30" s="1032" t="s">
        <v>969</v>
      </c>
      <c r="C30" s="1032"/>
      <c r="D30" s="420">
        <v>22</v>
      </c>
      <c r="E30" s="121">
        <v>0</v>
      </c>
      <c r="F30" s="121">
        <v>0</v>
      </c>
      <c r="G30" s="121">
        <v>0</v>
      </c>
      <c r="H30" s="121">
        <v>0</v>
      </c>
      <c r="I30" s="121">
        <v>0</v>
      </c>
      <c r="J30" s="121">
        <v>0</v>
      </c>
      <c r="K30" s="121">
        <v>0</v>
      </c>
      <c r="L30" s="122">
        <f t="shared" si="0"/>
        <v>0</v>
      </c>
    </row>
    <row r="31" spans="1:12" x14ac:dyDescent="0.2">
      <c r="A31" s="1031"/>
      <c r="B31" s="1032" t="s">
        <v>970</v>
      </c>
      <c r="C31" s="419" t="s">
        <v>1164</v>
      </c>
      <c r="D31" s="420">
        <v>23</v>
      </c>
      <c r="E31" s="121">
        <v>0</v>
      </c>
      <c r="F31" s="121">
        <v>0</v>
      </c>
      <c r="G31" s="121">
        <v>0</v>
      </c>
      <c r="H31" s="121">
        <v>0</v>
      </c>
      <c r="I31" s="121">
        <v>0</v>
      </c>
      <c r="J31" s="121">
        <v>0</v>
      </c>
      <c r="K31" s="121">
        <v>0</v>
      </c>
      <c r="L31" s="122">
        <f t="shared" si="0"/>
        <v>0</v>
      </c>
    </row>
    <row r="32" spans="1:12" x14ac:dyDescent="0.2">
      <c r="A32" s="1031"/>
      <c r="B32" s="1032"/>
      <c r="C32" s="419" t="s">
        <v>481</v>
      </c>
      <c r="D32" s="420">
        <v>24</v>
      </c>
      <c r="E32" s="121">
        <v>0</v>
      </c>
      <c r="F32" s="121">
        <v>0</v>
      </c>
      <c r="G32" s="121">
        <v>0</v>
      </c>
      <c r="H32" s="121">
        <v>0</v>
      </c>
      <c r="I32" s="121">
        <v>0</v>
      </c>
      <c r="J32" s="121">
        <v>0</v>
      </c>
      <c r="K32" s="121">
        <v>0</v>
      </c>
      <c r="L32" s="122">
        <f t="shared" si="0"/>
        <v>0</v>
      </c>
    </row>
    <row r="33" spans="1:12" x14ac:dyDescent="0.2">
      <c r="A33" s="1031"/>
      <c r="B33" s="1032"/>
      <c r="C33" s="419" t="s">
        <v>474</v>
      </c>
      <c r="D33" s="420">
        <v>25</v>
      </c>
      <c r="E33" s="121">
        <v>0</v>
      </c>
      <c r="F33" s="121">
        <v>0</v>
      </c>
      <c r="G33" s="121">
        <v>0</v>
      </c>
      <c r="H33" s="121">
        <v>0</v>
      </c>
      <c r="I33" s="121">
        <v>0</v>
      </c>
      <c r="J33" s="121">
        <v>0</v>
      </c>
      <c r="K33" s="121">
        <v>0</v>
      </c>
      <c r="L33" s="122">
        <f t="shared" si="0"/>
        <v>0</v>
      </c>
    </row>
    <row r="34" spans="1:12" x14ac:dyDescent="0.2">
      <c r="A34" s="1031"/>
      <c r="B34" s="1032"/>
      <c r="C34" s="419" t="s">
        <v>971</v>
      </c>
      <c r="D34" s="420">
        <v>26</v>
      </c>
      <c r="E34" s="121">
        <v>0</v>
      </c>
      <c r="F34" s="121">
        <v>0</v>
      </c>
      <c r="G34" s="121">
        <v>0</v>
      </c>
      <c r="H34" s="121">
        <v>0</v>
      </c>
      <c r="I34" s="121">
        <v>0</v>
      </c>
      <c r="J34" s="121">
        <v>0</v>
      </c>
      <c r="K34" s="121">
        <v>0</v>
      </c>
      <c r="L34" s="122">
        <f t="shared" si="0"/>
        <v>0</v>
      </c>
    </row>
    <row r="35" spans="1:12" ht="15" customHeight="1" x14ac:dyDescent="0.2">
      <c r="A35" s="1031" t="s">
        <v>972</v>
      </c>
      <c r="B35" s="1031"/>
      <c r="C35" s="419" t="s">
        <v>973</v>
      </c>
      <c r="D35" s="420">
        <v>27</v>
      </c>
      <c r="E35" s="121">
        <v>0</v>
      </c>
      <c r="F35" s="121">
        <v>0</v>
      </c>
      <c r="G35" s="121">
        <v>0</v>
      </c>
      <c r="H35" s="121">
        <v>0</v>
      </c>
      <c r="I35" s="121">
        <v>0</v>
      </c>
      <c r="J35" s="121">
        <v>0</v>
      </c>
      <c r="K35" s="121">
        <v>0</v>
      </c>
      <c r="L35" s="122">
        <f t="shared" si="0"/>
        <v>0</v>
      </c>
    </row>
    <row r="36" spans="1:12" x14ac:dyDescent="0.2">
      <c r="A36" s="1031"/>
      <c r="B36" s="1031"/>
      <c r="C36" s="419" t="s">
        <v>974</v>
      </c>
      <c r="D36" s="420">
        <v>28</v>
      </c>
      <c r="E36" s="121">
        <v>0</v>
      </c>
      <c r="F36" s="121">
        <v>0</v>
      </c>
      <c r="G36" s="121">
        <v>0</v>
      </c>
      <c r="H36" s="121">
        <v>0</v>
      </c>
      <c r="I36" s="121">
        <v>0</v>
      </c>
      <c r="J36" s="121">
        <v>0</v>
      </c>
      <c r="K36" s="121">
        <v>0</v>
      </c>
      <c r="L36" s="122">
        <f>SUM(E36:K36)</f>
        <v>0</v>
      </c>
    </row>
    <row r="38" spans="1:12" x14ac:dyDescent="0.2">
      <c r="B38" s="70" t="s">
        <v>36</v>
      </c>
      <c r="C38" s="71"/>
      <c r="D38" s="136"/>
      <c r="E38" s="136"/>
      <c r="F38" s="13"/>
      <c r="G38" s="14"/>
    </row>
    <row r="39" spans="1:12" x14ac:dyDescent="0.2">
      <c r="B39" s="15"/>
      <c r="C39" s="16"/>
      <c r="D39" s="136"/>
      <c r="E39" s="136"/>
      <c r="F39" s="13"/>
      <c r="G39" s="14"/>
    </row>
    <row r="40" spans="1:12" x14ac:dyDescent="0.2">
      <c r="B40" s="15"/>
      <c r="C40" s="124" t="s">
        <v>437</v>
      </c>
      <c r="D40" s="124"/>
      <c r="E40" s="124"/>
      <c r="F40" s="13"/>
      <c r="G40" s="14"/>
    </row>
    <row r="41" spans="1:12" x14ac:dyDescent="0.2">
      <c r="B41" s="15"/>
      <c r="C41" s="16"/>
      <c r="D41" s="136"/>
      <c r="E41" s="136"/>
      <c r="F41" s="13"/>
      <c r="G41" s="14"/>
    </row>
    <row r="42" spans="1:12" ht="15" customHeight="1" x14ac:dyDescent="0.2">
      <c r="B42" s="15"/>
      <c r="C42" s="848" t="str">
        <f>+BALANCE!D361</f>
        <v>ГҮЙЦЭТГЭХ ЗАХИРАЛ.................................................................//</v>
      </c>
      <c r="D42" s="848"/>
      <c r="E42" s="848"/>
      <c r="F42" s="848"/>
      <c r="G42" s="848"/>
      <c r="H42" s="848"/>
      <c r="I42" s="848"/>
      <c r="J42" s="848"/>
    </row>
    <row r="43" spans="1:12" x14ac:dyDescent="0.2">
      <c r="B43" s="15"/>
      <c r="C43" s="16"/>
      <c r="D43" s="136"/>
      <c r="E43" s="139"/>
      <c r="F43" s="139"/>
      <c r="G43" s="139"/>
    </row>
    <row r="44" spans="1:12" ht="15" customHeight="1" x14ac:dyDescent="0.2">
      <c r="B44" s="15"/>
      <c r="C44" s="848" t="str">
        <f>+BALANCE!D363</f>
        <v>ЕРӨНХИЙ НЯГТЛАН БОДОГЧ....................................................//</v>
      </c>
      <c r="D44" s="848"/>
      <c r="E44" s="848"/>
      <c r="F44" s="848"/>
      <c r="G44" s="848"/>
      <c r="H44" s="848"/>
      <c r="I44" s="848"/>
      <c r="J44" s="848"/>
    </row>
    <row r="45" spans="1:12" x14ac:dyDescent="0.2">
      <c r="B45" s="15"/>
      <c r="C45" s="16"/>
      <c r="D45" s="136"/>
      <c r="E45" s="139"/>
      <c r="F45" s="139"/>
      <c r="G45" s="139"/>
    </row>
    <row r="46" spans="1:12" ht="15" customHeight="1" x14ac:dyDescent="0.2">
      <c r="B46" s="15"/>
      <c r="C46" s="848">
        <f>+BALANCE!D365</f>
        <v>0</v>
      </c>
      <c r="D46" s="848"/>
      <c r="E46" s="848"/>
      <c r="F46" s="848"/>
      <c r="G46" s="848"/>
      <c r="H46" s="848"/>
      <c r="I46" s="848"/>
      <c r="J46" s="848"/>
    </row>
  </sheetData>
  <sheetProtection password="CA9F"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44" t="s">
        <v>975</v>
      </c>
      <c r="B2" s="744"/>
      <c r="C2" s="744"/>
      <c r="D2" s="744"/>
      <c r="E2" s="744"/>
      <c r="F2" s="744"/>
      <c r="G2" s="744"/>
      <c r="H2" s="744"/>
      <c r="I2" s="744"/>
    </row>
    <row r="3" spans="1:9" x14ac:dyDescent="0.2">
      <c r="A3" s="762" t="str">
        <f>+BALANCE!A3</f>
        <v>БАНК БУС САНХҮҮГИЙН БАЙГУУЛЛАГЫН НЭР</v>
      </c>
      <c r="B3" s="762"/>
      <c r="C3" s="762"/>
      <c r="D3" s="762"/>
      <c r="E3" s="762"/>
      <c r="F3" s="762"/>
      <c r="G3" s="762"/>
      <c r="H3" s="762"/>
      <c r="I3" s="762"/>
    </row>
    <row r="4" spans="1:9" x14ac:dyDescent="0.2">
      <c r="A4" s="744" t="str">
        <f>+BALANCE!A4</f>
        <v>БАНК БУС САНХҮҮГИЙН БАЙГУУЛЛАГА</v>
      </c>
      <c r="B4" s="744"/>
      <c r="C4" s="744"/>
      <c r="D4" s="744"/>
      <c r="E4" s="744"/>
      <c r="F4" s="744"/>
      <c r="G4" s="744"/>
      <c r="H4" s="744"/>
      <c r="I4" s="744"/>
    </row>
    <row r="5" spans="1:9" ht="15.75" customHeight="1" x14ac:dyDescent="0.2">
      <c r="A5" s="829">
        <f>+BALANCE!A6</f>
        <v>44742</v>
      </c>
      <c r="B5" s="829"/>
      <c r="H5" s="953" t="s">
        <v>439</v>
      </c>
      <c r="I5" s="953"/>
    </row>
    <row r="6" spans="1:9" ht="38.25" x14ac:dyDescent="0.2">
      <c r="A6" s="125" t="s">
        <v>2</v>
      </c>
      <c r="B6" s="125" t="s">
        <v>976</v>
      </c>
      <c r="C6" s="313" t="s">
        <v>977</v>
      </c>
      <c r="D6" s="125" t="s">
        <v>978</v>
      </c>
      <c r="E6" s="125" t="s">
        <v>979</v>
      </c>
      <c r="F6" s="313" t="s">
        <v>980</v>
      </c>
      <c r="G6" s="186" t="s">
        <v>981</v>
      </c>
      <c r="H6" s="187" t="s">
        <v>982</v>
      </c>
      <c r="I6" s="187" t="s">
        <v>823</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7" t="s">
        <v>824</v>
      </c>
      <c r="B27" s="967"/>
      <c r="C27" s="202">
        <f>+SUM(C7:C26)</f>
        <v>0</v>
      </c>
      <c r="D27" s="128"/>
      <c r="E27" s="128"/>
      <c r="F27" s="315">
        <f>+SUM(F7:F26)</f>
        <v>0</v>
      </c>
      <c r="G27" s="315">
        <f>+SUM(G7:G26)</f>
        <v>0</v>
      </c>
      <c r="H27" s="316">
        <f>SUM(H7:H26)</f>
        <v>0</v>
      </c>
      <c r="I27" s="317" t="e">
        <f>SUM(I7:I26)</f>
        <v>#DIV/0!</v>
      </c>
    </row>
    <row r="28" spans="1:9" ht="15.75" customHeight="1" x14ac:dyDescent="0.2">
      <c r="A28" s="1037" t="s">
        <v>983</v>
      </c>
      <c r="B28" s="1037"/>
      <c r="C28" s="1037"/>
      <c r="D28" s="1037"/>
      <c r="E28" s="1037"/>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36</v>
      </c>
      <c r="C30" s="3"/>
      <c r="D30" s="136"/>
      <c r="E30" s="135"/>
      <c r="F30" s="13"/>
      <c r="G30" s="14"/>
    </row>
    <row r="31" spans="1:9" x14ac:dyDescent="0.2">
      <c r="C31" s="70"/>
      <c r="D31" s="136"/>
      <c r="E31" s="135"/>
      <c r="F31" s="13"/>
      <c r="G31" s="14"/>
    </row>
    <row r="32" spans="1:9" x14ac:dyDescent="0.2">
      <c r="C32" s="816" t="s">
        <v>437</v>
      </c>
      <c r="D32" s="816"/>
      <c r="E32" s="137"/>
      <c r="F32" s="17"/>
      <c r="G32" s="3"/>
    </row>
    <row r="33" spans="3:8" x14ac:dyDescent="0.2">
      <c r="C33" s="16"/>
      <c r="D33" s="136"/>
      <c r="E33" s="135"/>
      <c r="F33" s="13"/>
      <c r="G33" s="14"/>
    </row>
    <row r="34" spans="3:8" x14ac:dyDescent="0.2">
      <c r="C34" s="177"/>
      <c r="D34" s="177"/>
      <c r="E34" s="848" t="str">
        <f>+BALANCE!D361</f>
        <v>ГҮЙЦЭТГЭХ ЗАХИРАЛ.................................................................//</v>
      </c>
      <c r="F34" s="848"/>
      <c r="G34" s="848"/>
      <c r="H34" s="848"/>
    </row>
    <row r="35" spans="3:8" x14ac:dyDescent="0.2">
      <c r="C35" s="138"/>
      <c r="D35" s="138"/>
      <c r="E35" s="138"/>
      <c r="F35" s="138"/>
      <c r="G35" s="138"/>
    </row>
    <row r="36" spans="3:8" x14ac:dyDescent="0.2">
      <c r="C36" s="177"/>
      <c r="D36" s="177"/>
      <c r="E36" s="848" t="str">
        <f>+BALANCE!D363</f>
        <v>ЕРӨНХИЙ НЯГТЛАН БОДОГЧ....................................................//</v>
      </c>
      <c r="F36" s="848"/>
      <c r="G36" s="848"/>
      <c r="H36" s="848"/>
    </row>
    <row r="37" spans="3:8" x14ac:dyDescent="0.2">
      <c r="C37" s="138"/>
      <c r="D37" s="138"/>
      <c r="E37" s="138"/>
      <c r="F37" s="138"/>
      <c r="G37" s="138"/>
    </row>
    <row r="38" spans="3:8" x14ac:dyDescent="0.2">
      <c r="C38" s="177"/>
      <c r="D38" s="177"/>
      <c r="E38" s="848">
        <f>+BALANCE!D365</f>
        <v>0</v>
      </c>
      <c r="F38" s="848"/>
      <c r="G38" s="848"/>
      <c r="H38" s="848"/>
    </row>
  </sheetData>
  <sheetProtection password="CA9F"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44" t="s">
        <v>984</v>
      </c>
      <c r="B2" s="744"/>
      <c r="C2" s="744"/>
      <c r="D2" s="744"/>
      <c r="E2" s="744"/>
      <c r="F2" s="744"/>
      <c r="G2" s="744"/>
      <c r="H2" s="744"/>
      <c r="I2" s="744"/>
      <c r="J2" s="744"/>
    </row>
    <row r="3" spans="1:12" x14ac:dyDescent="0.2">
      <c r="A3" s="762" t="str">
        <f>BALANCE!A3</f>
        <v>БАНК БУС САНХҮҮГИЙН БАЙГУУЛЛАГЫН НЭР</v>
      </c>
      <c r="B3" s="762"/>
      <c r="C3" s="762"/>
      <c r="D3" s="762"/>
      <c r="E3" s="762"/>
      <c r="F3" s="762"/>
      <c r="G3" s="762"/>
      <c r="H3" s="762"/>
      <c r="I3" s="762"/>
      <c r="J3" s="762"/>
    </row>
    <row r="4" spans="1:12" x14ac:dyDescent="0.2">
      <c r="A4" s="744" t="str">
        <f>BALANCE!A4</f>
        <v>БАНК БУС САНХҮҮГИЙН БАЙГУУЛЛАГА</v>
      </c>
      <c r="B4" s="744"/>
      <c r="C4" s="744"/>
      <c r="D4" s="744"/>
      <c r="E4" s="744"/>
      <c r="F4" s="744"/>
      <c r="G4" s="744"/>
      <c r="H4" s="744"/>
      <c r="I4" s="744"/>
      <c r="J4" s="744"/>
    </row>
    <row r="5" spans="1:12" x14ac:dyDescent="0.2">
      <c r="A5" s="829">
        <f>BALANCE!A6</f>
        <v>44742</v>
      </c>
      <c r="B5" s="829"/>
      <c r="C5" s="443"/>
      <c r="I5" s="1040" t="s">
        <v>439</v>
      </c>
      <c r="J5" s="1040"/>
    </row>
    <row r="6" spans="1:12" ht="25.5" customHeight="1" x14ac:dyDescent="0.2">
      <c r="A6" s="988" t="s">
        <v>2</v>
      </c>
      <c r="B6" s="990" t="s">
        <v>1062</v>
      </c>
      <c r="C6" s="991"/>
      <c r="D6" s="970" t="s">
        <v>985</v>
      </c>
      <c r="E6" s="985" t="s">
        <v>1068</v>
      </c>
      <c r="F6" s="972" t="s">
        <v>1069</v>
      </c>
      <c r="G6" s="988" t="s">
        <v>986</v>
      </c>
      <c r="H6" s="988" t="s">
        <v>816</v>
      </c>
      <c r="I6" s="1038" t="s">
        <v>759</v>
      </c>
      <c r="J6" s="985" t="s">
        <v>987</v>
      </c>
    </row>
    <row r="7" spans="1:12" x14ac:dyDescent="0.2">
      <c r="A7" s="989"/>
      <c r="B7" s="448" t="s">
        <v>1056</v>
      </c>
      <c r="C7" s="448" t="s">
        <v>1057</v>
      </c>
      <c r="D7" s="971"/>
      <c r="E7" s="986"/>
      <c r="F7" s="973"/>
      <c r="G7" s="989"/>
      <c r="H7" s="989"/>
      <c r="I7" s="1039"/>
      <c r="J7" s="986"/>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7" t="s">
        <v>824</v>
      </c>
      <c r="B28" s="967"/>
      <c r="C28" s="446"/>
      <c r="D28" s="202">
        <f>+SUM(D8:D27)</f>
        <v>0</v>
      </c>
      <c r="E28" s="325"/>
      <c r="F28" s="446"/>
      <c r="G28" s="128"/>
      <c r="H28" s="128"/>
      <c r="I28" s="202">
        <f>SUM(I8:I27)</f>
        <v>0</v>
      </c>
      <c r="J28" s="325"/>
      <c r="K28" s="612"/>
    </row>
    <row r="29" spans="1:11" x14ac:dyDescent="0.2">
      <c r="H29" s="1000" t="s">
        <v>988</v>
      </c>
      <c r="I29" s="1000"/>
      <c r="J29" s="309" t="e">
        <f>+MAX(J8:J27)</f>
        <v>#DIV/0!</v>
      </c>
    </row>
    <row r="30" spans="1:11" x14ac:dyDescent="0.2">
      <c r="I30" s="597"/>
    </row>
    <row r="31" spans="1:11" x14ac:dyDescent="0.2">
      <c r="B31" s="442" t="s">
        <v>36</v>
      </c>
      <c r="C31" s="442"/>
      <c r="D31" s="136"/>
      <c r="E31" s="135"/>
      <c r="F31" s="16"/>
      <c r="G31" s="14"/>
    </row>
    <row r="32" spans="1:11" x14ac:dyDescent="0.2">
      <c r="B32" s="442"/>
      <c r="C32" s="442"/>
      <c r="D32" s="136"/>
      <c r="E32" s="135"/>
      <c r="F32" s="16"/>
      <c r="G32" s="14"/>
    </row>
    <row r="33" spans="2:9" ht="15" customHeight="1" x14ac:dyDescent="0.2">
      <c r="B33" s="816" t="s">
        <v>437</v>
      </c>
      <c r="C33" s="816"/>
      <c r="D33" s="816"/>
      <c r="E33" s="816"/>
      <c r="F33" s="816"/>
    </row>
    <row r="34" spans="2:9" x14ac:dyDescent="0.2">
      <c r="B34" s="16"/>
      <c r="C34" s="16"/>
      <c r="D34" s="136"/>
      <c r="E34" s="135"/>
      <c r="F34" s="16"/>
      <c r="G34" s="14"/>
    </row>
    <row r="35" spans="2:9" ht="15" customHeight="1" x14ac:dyDescent="0.2">
      <c r="B35" s="177"/>
      <c r="C35" s="177"/>
      <c r="D35" s="848" t="str">
        <f>BALANCE!D361</f>
        <v>ГҮЙЦЭТГЭХ ЗАХИРАЛ.................................................................//</v>
      </c>
      <c r="E35" s="848"/>
      <c r="F35" s="848"/>
      <c r="G35" s="848"/>
      <c r="H35" s="848"/>
      <c r="I35" s="848"/>
    </row>
    <row r="36" spans="2:9" x14ac:dyDescent="0.2">
      <c r="B36" s="445"/>
      <c r="C36" s="445"/>
      <c r="D36" s="445"/>
      <c r="E36" s="310"/>
      <c r="F36" s="445"/>
      <c r="G36" s="445"/>
    </row>
    <row r="37" spans="2:9" ht="15" customHeight="1" x14ac:dyDescent="0.2">
      <c r="B37" s="177"/>
      <c r="C37" s="177"/>
      <c r="D37" s="848" t="str">
        <f>BALANCE!D363</f>
        <v>ЕРӨНХИЙ НЯГТЛАН БОДОГЧ....................................................//</v>
      </c>
      <c r="E37" s="848"/>
      <c r="F37" s="848"/>
      <c r="G37" s="848"/>
      <c r="H37" s="848"/>
      <c r="I37" s="848"/>
    </row>
    <row r="38" spans="2:9" x14ac:dyDescent="0.2">
      <c r="B38" s="445"/>
      <c r="C38" s="445"/>
      <c r="D38" s="445"/>
      <c r="E38" s="310"/>
      <c r="F38" s="445"/>
      <c r="G38" s="445"/>
    </row>
    <row r="39" spans="2:9" ht="15" customHeight="1" x14ac:dyDescent="0.2">
      <c r="B39" s="177"/>
      <c r="C39" s="177"/>
      <c r="D39" s="848">
        <f>BALANCE!D365</f>
        <v>0</v>
      </c>
      <c r="E39" s="848"/>
      <c r="F39" s="848"/>
      <c r="G39" s="848"/>
      <c r="H39" s="848"/>
      <c r="I39" s="848"/>
    </row>
  </sheetData>
  <sheetProtection password="CA9F" sheet="1"/>
  <mergeCells count="20">
    <mergeCell ref="B33:F33"/>
    <mergeCell ref="D35:I35"/>
    <mergeCell ref="D37:I37"/>
    <mergeCell ref="D39:I39"/>
    <mergeCell ref="A6:A7"/>
    <mergeCell ref="D6:D7"/>
    <mergeCell ref="A28:B28"/>
    <mergeCell ref="H29:I29"/>
    <mergeCell ref="H6:H7"/>
    <mergeCell ref="G6:G7"/>
    <mergeCell ref="J6:J7"/>
    <mergeCell ref="I6:I7"/>
    <mergeCell ref="A2:J2"/>
    <mergeCell ref="A3:J3"/>
    <mergeCell ref="A4:J4"/>
    <mergeCell ref="A5:B5"/>
    <mergeCell ref="I5:J5"/>
    <mergeCell ref="F6:F7"/>
    <mergeCell ref="E6:E7"/>
    <mergeCell ref="B6:C6"/>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44" t="s">
        <v>989</v>
      </c>
      <c r="B2" s="744"/>
      <c r="C2" s="744"/>
      <c r="D2" s="744"/>
      <c r="E2" s="744"/>
      <c r="F2" s="744"/>
      <c r="G2" s="744"/>
      <c r="H2" s="744"/>
      <c r="I2" s="744"/>
      <c r="J2" s="744"/>
      <c r="K2" s="744"/>
      <c r="L2" s="2"/>
    </row>
    <row r="3" spans="1:12" x14ac:dyDescent="0.2">
      <c r="A3" s="762" t="str">
        <f>+BALANCE!A3</f>
        <v>БАНК БУС САНХҮҮГИЙН БАЙГУУЛЛАГЫН НЭР</v>
      </c>
      <c r="B3" s="762"/>
      <c r="C3" s="762"/>
      <c r="D3" s="762"/>
      <c r="E3" s="762"/>
      <c r="F3" s="762"/>
      <c r="G3" s="762"/>
      <c r="H3" s="762"/>
      <c r="I3" s="762"/>
      <c r="J3" s="762"/>
      <c r="K3" s="762"/>
      <c r="L3" s="104"/>
    </row>
    <row r="4" spans="1:12" x14ac:dyDescent="0.2">
      <c r="A4" s="744" t="str">
        <f>+BALANCE!A4</f>
        <v>БАНК БУС САНХҮҮГИЙН БАЙГУУЛЛАГА</v>
      </c>
      <c r="B4" s="744"/>
      <c r="C4" s="744"/>
      <c r="D4" s="744"/>
      <c r="E4" s="744"/>
      <c r="F4" s="744"/>
      <c r="G4" s="744"/>
      <c r="H4" s="744"/>
      <c r="I4" s="744"/>
      <c r="J4" s="744"/>
      <c r="K4" s="744"/>
      <c r="L4" s="2"/>
    </row>
    <row r="5" spans="1:12" ht="15" customHeight="1" x14ac:dyDescent="0.2">
      <c r="A5" s="829">
        <f>+BALANCE!A6</f>
        <v>44742</v>
      </c>
      <c r="B5" s="829"/>
      <c r="C5" s="350"/>
      <c r="J5" s="1034" t="s">
        <v>439</v>
      </c>
      <c r="K5" s="1034"/>
      <c r="L5" s="2"/>
    </row>
    <row r="6" spans="1:12" ht="38.25" customHeight="1" x14ac:dyDescent="0.2">
      <c r="A6" s="972" t="s">
        <v>2</v>
      </c>
      <c r="B6" s="996" t="s">
        <v>1064</v>
      </c>
      <c r="C6" s="997"/>
      <c r="D6" s="970" t="s">
        <v>990</v>
      </c>
      <c r="E6" s="972" t="s">
        <v>991</v>
      </c>
      <c r="F6" s="972" t="s">
        <v>1065</v>
      </c>
      <c r="G6" s="972" t="s">
        <v>992</v>
      </c>
      <c r="H6" s="972" t="s">
        <v>816</v>
      </c>
      <c r="I6" s="972" t="s">
        <v>869</v>
      </c>
      <c r="J6" s="970" t="s">
        <v>1100</v>
      </c>
      <c r="K6" s="985" t="s">
        <v>823</v>
      </c>
      <c r="L6" s="50"/>
    </row>
    <row r="7" spans="1:12" x14ac:dyDescent="0.2">
      <c r="A7" s="973"/>
      <c r="B7" s="354" t="s">
        <v>1056</v>
      </c>
      <c r="C7" s="354" t="s">
        <v>1057</v>
      </c>
      <c r="D7" s="971"/>
      <c r="E7" s="973"/>
      <c r="F7" s="973"/>
      <c r="G7" s="973"/>
      <c r="H7" s="973"/>
      <c r="I7" s="973"/>
      <c r="J7" s="971"/>
      <c r="K7" s="986"/>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7" t="s">
        <v>824</v>
      </c>
      <c r="B28" s="937"/>
      <c r="C28" s="352"/>
      <c r="D28" s="202">
        <f>+SUM(D8:D27)</f>
        <v>0</v>
      </c>
      <c r="E28" s="128"/>
      <c r="F28" s="128"/>
      <c r="G28" s="128"/>
      <c r="H28" s="128"/>
      <c r="I28" s="128"/>
      <c r="J28" s="202">
        <f>SUM(J8:J27)</f>
        <v>0</v>
      </c>
      <c r="K28" s="325"/>
    </row>
    <row r="29" spans="1:12" x14ac:dyDescent="0.2">
      <c r="I29" s="1000" t="s">
        <v>988</v>
      </c>
      <c r="J29" s="1000"/>
      <c r="K29" s="324" t="e">
        <f>+MAX(K8:K27)</f>
        <v>#DIV/0!</v>
      </c>
    </row>
    <row r="30" spans="1:12" x14ac:dyDescent="0.2">
      <c r="J30" s="597"/>
    </row>
    <row r="32" spans="1:12" x14ac:dyDescent="0.2">
      <c r="A32" s="963" t="s">
        <v>36</v>
      </c>
      <c r="B32" s="963"/>
      <c r="C32" s="353"/>
      <c r="D32" s="136"/>
      <c r="E32" s="135"/>
      <c r="F32" s="135"/>
      <c r="G32" s="13"/>
      <c r="H32" s="14"/>
    </row>
    <row r="33" spans="2:10" x14ac:dyDescent="0.2">
      <c r="B33" s="70"/>
      <c r="C33" s="349"/>
      <c r="D33" s="136"/>
      <c r="E33" s="135"/>
      <c r="F33" s="135"/>
      <c r="G33" s="13"/>
      <c r="H33" s="14"/>
    </row>
    <row r="34" spans="2:10" x14ac:dyDescent="0.2">
      <c r="B34" s="133"/>
      <c r="C34" s="133"/>
      <c r="D34" s="17" t="s">
        <v>437</v>
      </c>
      <c r="E34" s="137"/>
      <c r="F34" s="137"/>
      <c r="G34" s="17"/>
    </row>
    <row r="35" spans="2:10" x14ac:dyDescent="0.2">
      <c r="B35" s="16"/>
      <c r="C35" s="16"/>
      <c r="D35" s="136"/>
      <c r="E35" s="135"/>
      <c r="F35" s="135"/>
      <c r="G35" s="13"/>
      <c r="H35" s="14"/>
    </row>
    <row r="36" spans="2:10" x14ac:dyDescent="0.2">
      <c r="B36" s="177"/>
      <c r="C36" s="177"/>
      <c r="D36" s="177"/>
      <c r="E36" s="848" t="str">
        <f>+BALANCE!D361</f>
        <v>ГҮЙЦЭТГЭХ ЗАХИРАЛ.................................................................//</v>
      </c>
      <c r="F36" s="848"/>
      <c r="G36" s="848"/>
      <c r="H36" s="848"/>
      <c r="I36" s="848"/>
      <c r="J36" s="848"/>
    </row>
    <row r="37" spans="2:10" x14ac:dyDescent="0.2">
      <c r="B37" s="138"/>
      <c r="C37" s="351"/>
      <c r="D37" s="138"/>
      <c r="E37" s="138"/>
      <c r="F37" s="351"/>
      <c r="G37" s="138"/>
      <c r="H37" s="138"/>
    </row>
    <row r="38" spans="2:10" x14ac:dyDescent="0.2">
      <c r="B38" s="177"/>
      <c r="C38" s="177"/>
      <c r="D38" s="177"/>
      <c r="E38" s="848" t="str">
        <f>+BALANCE!D363</f>
        <v>ЕРӨНХИЙ НЯГТЛАН БОДОГЧ....................................................//</v>
      </c>
      <c r="F38" s="848"/>
      <c r="G38" s="848"/>
      <c r="H38" s="848"/>
      <c r="I38" s="848"/>
      <c r="J38" s="848"/>
    </row>
    <row r="39" spans="2:10" x14ac:dyDescent="0.2">
      <c r="B39" s="138"/>
      <c r="C39" s="351"/>
      <c r="D39" s="138"/>
      <c r="E39" s="138"/>
      <c r="F39" s="351"/>
      <c r="G39" s="138"/>
      <c r="H39" s="138"/>
    </row>
    <row r="40" spans="2:10" x14ac:dyDescent="0.2">
      <c r="B40" s="177"/>
      <c r="C40" s="177"/>
      <c r="D40" s="177"/>
      <c r="E40" s="848">
        <f>+BALANCE!D365</f>
        <v>0</v>
      </c>
      <c r="F40" s="848"/>
      <c r="G40" s="848"/>
      <c r="H40" s="848"/>
      <c r="I40" s="848"/>
      <c r="J40" s="848"/>
    </row>
  </sheetData>
  <sheetProtection password="CA9F" sheet="1"/>
  <mergeCells count="21">
    <mergeCell ref="E40:J40"/>
    <mergeCell ref="B6:C6"/>
    <mergeCell ref="I6:I7"/>
    <mergeCell ref="H6:H7"/>
    <mergeCell ref="G6:G7"/>
    <mergeCell ref="A32:B32"/>
    <mergeCell ref="A28:B28"/>
    <mergeCell ref="E38:J38"/>
    <mergeCell ref="J6:J7"/>
    <mergeCell ref="A6:A7"/>
    <mergeCell ref="K6:K7"/>
    <mergeCell ref="E36:J36"/>
    <mergeCell ref="I29:J29"/>
    <mergeCell ref="A2:K2"/>
    <mergeCell ref="A3:K3"/>
    <mergeCell ref="A4:K4"/>
    <mergeCell ref="A5:B5"/>
    <mergeCell ref="J5:K5"/>
    <mergeCell ref="F6:F7"/>
    <mergeCell ref="D6:D7"/>
    <mergeCell ref="E6:E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44" t="s">
        <v>993</v>
      </c>
      <c r="B2" s="744"/>
      <c r="C2" s="744"/>
      <c r="D2" s="744"/>
      <c r="E2" s="744"/>
      <c r="F2" s="744"/>
      <c r="G2" s="744"/>
      <c r="H2" s="744"/>
      <c r="I2" s="744"/>
      <c r="J2" s="744"/>
      <c r="K2" s="744"/>
      <c r="L2" s="744"/>
      <c r="M2" s="744"/>
      <c r="N2" s="744"/>
      <c r="O2" s="744"/>
    </row>
    <row r="3" spans="1:15" x14ac:dyDescent="0.2">
      <c r="A3" s="762" t="str">
        <f>+BALANCE!A3</f>
        <v>БАНК БУС САНХҮҮГИЙН БАЙГУУЛЛАГЫН НЭР</v>
      </c>
      <c r="B3" s="762"/>
      <c r="C3" s="762"/>
      <c r="D3" s="762"/>
      <c r="E3" s="762"/>
      <c r="F3" s="762"/>
      <c r="G3" s="762"/>
      <c r="H3" s="762"/>
      <c r="I3" s="762"/>
      <c r="J3" s="762"/>
      <c r="K3" s="762"/>
      <c r="L3" s="762"/>
      <c r="M3" s="762"/>
      <c r="N3" s="762"/>
      <c r="O3" s="762"/>
    </row>
    <row r="4" spans="1:15" x14ac:dyDescent="0.2">
      <c r="A4" s="744" t="str">
        <f>+BALANCE!A4</f>
        <v>БАНК БУС САНХҮҮГИЙН БАЙГУУЛЛАГА</v>
      </c>
      <c r="B4" s="744"/>
      <c r="C4" s="744"/>
      <c r="D4" s="744"/>
      <c r="E4" s="744"/>
      <c r="F4" s="744"/>
      <c r="G4" s="744"/>
      <c r="H4" s="744"/>
      <c r="I4" s="744"/>
      <c r="J4" s="744"/>
      <c r="K4" s="744"/>
      <c r="L4" s="744"/>
      <c r="M4" s="744"/>
      <c r="N4" s="744"/>
      <c r="O4" s="744"/>
    </row>
    <row r="5" spans="1:15" x14ac:dyDescent="0.2">
      <c r="A5" s="1"/>
      <c r="B5" s="1"/>
      <c r="C5" s="1"/>
      <c r="D5" s="1"/>
      <c r="E5" s="1"/>
      <c r="F5" s="1"/>
      <c r="G5" s="1"/>
      <c r="H5" s="1"/>
      <c r="I5" s="1"/>
      <c r="J5" s="1"/>
      <c r="K5" s="1"/>
      <c r="L5" s="1"/>
      <c r="M5" s="1"/>
      <c r="N5" s="1"/>
      <c r="O5" s="1"/>
    </row>
    <row r="6" spans="1:15" x14ac:dyDescent="0.2">
      <c r="A6" s="1046">
        <f>+BALANCE!A6</f>
        <v>44742</v>
      </c>
      <c r="B6" s="1046"/>
      <c r="N6" s="1034" t="s">
        <v>439</v>
      </c>
      <c r="O6" s="1034"/>
    </row>
    <row r="7" spans="1:15" ht="21" customHeight="1" x14ac:dyDescent="0.2">
      <c r="A7" s="1043" t="s">
        <v>2</v>
      </c>
      <c r="B7" s="1042" t="s">
        <v>47</v>
      </c>
      <c r="C7" s="1043" t="s">
        <v>994</v>
      </c>
      <c r="D7" s="1043" t="s">
        <v>995</v>
      </c>
      <c r="E7" s="1043" t="s">
        <v>996</v>
      </c>
      <c r="F7" s="1042" t="s">
        <v>997</v>
      </c>
      <c r="G7" s="1043" t="s">
        <v>998</v>
      </c>
      <c r="H7" s="1043" t="s">
        <v>995</v>
      </c>
      <c r="I7" s="1042" t="s">
        <v>999</v>
      </c>
      <c r="J7" s="1043" t="s">
        <v>1000</v>
      </c>
      <c r="K7" s="1043"/>
      <c r="L7" s="1043"/>
      <c r="M7" s="1044" t="s">
        <v>1001</v>
      </c>
      <c r="N7" s="1044"/>
      <c r="O7" s="1047" t="s">
        <v>823</v>
      </c>
    </row>
    <row r="8" spans="1:15" ht="21" customHeight="1" x14ac:dyDescent="0.2">
      <c r="A8" s="1043"/>
      <c r="B8" s="1042"/>
      <c r="C8" s="1043"/>
      <c r="D8" s="1043"/>
      <c r="E8" s="1043"/>
      <c r="F8" s="1042"/>
      <c r="G8" s="1043"/>
      <c r="H8" s="1043"/>
      <c r="I8" s="1042"/>
      <c r="J8" s="125" t="s">
        <v>1002</v>
      </c>
      <c r="K8" s="125" t="s">
        <v>1003</v>
      </c>
      <c r="L8" s="125" t="s">
        <v>1004</v>
      </c>
      <c r="M8" s="313" t="s">
        <v>732</v>
      </c>
      <c r="N8" s="313" t="s">
        <v>839</v>
      </c>
      <c r="O8" s="1047"/>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5" t="s">
        <v>3</v>
      </c>
      <c r="B14" s="1045"/>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5" t="s">
        <v>3</v>
      </c>
      <c r="B20" s="1045"/>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5" t="s">
        <v>3</v>
      </c>
      <c r="B26" s="1045"/>
      <c r="C26" s="131"/>
      <c r="D26" s="131"/>
      <c r="E26" s="131"/>
      <c r="F26" s="131"/>
      <c r="G26" s="131"/>
      <c r="H26" s="131"/>
      <c r="I26" s="131"/>
      <c r="J26" s="131"/>
      <c r="K26" s="131"/>
      <c r="L26" s="131"/>
      <c r="M26" s="326">
        <f>+SUM(M21:M25)</f>
        <v>0</v>
      </c>
      <c r="N26" s="326">
        <f>+SUM(N21:N25)</f>
        <v>0</v>
      </c>
      <c r="O26" s="312"/>
    </row>
    <row r="27" spans="1:15" x14ac:dyDescent="0.2">
      <c r="A27" s="937" t="s">
        <v>824</v>
      </c>
      <c r="B27" s="937"/>
      <c r="C27" s="128"/>
      <c r="D27" s="128"/>
      <c r="E27" s="128"/>
      <c r="F27" s="128"/>
      <c r="G27" s="128"/>
      <c r="H27" s="128"/>
      <c r="I27" s="128"/>
      <c r="J27" s="128"/>
      <c r="K27" s="128"/>
      <c r="L27" s="128"/>
      <c r="M27" s="327">
        <f>+SUM(M14,M20,M26)</f>
        <v>0</v>
      </c>
      <c r="N27" s="327">
        <f>+SUM(N14,N20,N26)</f>
        <v>0</v>
      </c>
      <c r="O27" s="325"/>
    </row>
    <row r="28" spans="1:15" x14ac:dyDescent="0.2">
      <c r="M28" s="1041" t="s">
        <v>988</v>
      </c>
      <c r="N28" s="1041"/>
      <c r="O28" s="309" t="e">
        <f>+MAX(O9:O25)</f>
        <v>#DIV/0!</v>
      </c>
    </row>
    <row r="30" spans="1:15" x14ac:dyDescent="0.2">
      <c r="C30" s="70" t="s">
        <v>36</v>
      </c>
      <c r="D30" s="136"/>
      <c r="E30" s="135"/>
      <c r="F30" s="13"/>
      <c r="G30" s="14"/>
    </row>
    <row r="31" spans="1:15" x14ac:dyDescent="0.2">
      <c r="C31" s="70"/>
      <c r="D31" s="136"/>
      <c r="E31" s="135"/>
      <c r="F31" s="13"/>
      <c r="G31" s="14"/>
    </row>
    <row r="32" spans="1:15" x14ac:dyDescent="0.2">
      <c r="C32" s="133"/>
      <c r="D32" s="816" t="s">
        <v>437</v>
      </c>
      <c r="E32" s="816"/>
      <c r="F32" s="17"/>
    </row>
    <row r="33" spans="3:9" x14ac:dyDescent="0.2">
      <c r="C33" s="16"/>
      <c r="D33" s="136"/>
      <c r="E33" s="135"/>
      <c r="F33" s="13"/>
      <c r="G33" s="14"/>
    </row>
    <row r="34" spans="3:9" ht="15" customHeight="1" x14ac:dyDescent="0.2">
      <c r="C34" s="177"/>
      <c r="D34" s="177"/>
      <c r="E34" s="848" t="str">
        <f>+BALANCE!D361</f>
        <v>ГҮЙЦЭТГЭХ ЗАХИРАЛ.................................................................//</v>
      </c>
      <c r="F34" s="848"/>
      <c r="G34" s="848"/>
      <c r="H34" s="848"/>
      <c r="I34" s="848"/>
    </row>
    <row r="35" spans="3:9" x14ac:dyDescent="0.2">
      <c r="C35" s="138"/>
      <c r="D35" s="138"/>
      <c r="E35" s="138"/>
      <c r="F35" s="138"/>
      <c r="G35" s="138"/>
    </row>
    <row r="36" spans="3:9" ht="15" customHeight="1" x14ac:dyDescent="0.2">
      <c r="C36" s="177"/>
      <c r="D36" s="177"/>
      <c r="E36" s="848" t="str">
        <f>+BALANCE!D363</f>
        <v>ЕРӨНХИЙ НЯГТЛАН БОДОГЧ....................................................//</v>
      </c>
      <c r="F36" s="848"/>
      <c r="G36" s="848"/>
      <c r="H36" s="848"/>
      <c r="I36" s="848"/>
    </row>
    <row r="37" spans="3:9" x14ac:dyDescent="0.2">
      <c r="C37" s="138"/>
      <c r="D37" s="138"/>
      <c r="E37" s="138"/>
      <c r="F37" s="138"/>
      <c r="G37" s="138"/>
    </row>
    <row r="38" spans="3:9" ht="15" customHeight="1" x14ac:dyDescent="0.2">
      <c r="C38" s="177"/>
      <c r="D38" s="177"/>
      <c r="E38" s="848">
        <f>+BALANCE!D365</f>
        <v>0</v>
      </c>
      <c r="F38" s="848"/>
      <c r="G38" s="848"/>
      <c r="H38" s="848"/>
      <c r="I38" s="848"/>
    </row>
  </sheetData>
  <sheetProtection password="CA9F" sheet="1"/>
  <mergeCells count="26">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 ref="A27:B27"/>
    <mergeCell ref="M28:N28"/>
    <mergeCell ref="I7:I8"/>
    <mergeCell ref="J7:L7"/>
    <mergeCell ref="M7:N7"/>
    <mergeCell ref="A14:B14"/>
    <mergeCell ref="D7:D8"/>
    <mergeCell ref="E7:E8"/>
    <mergeCell ref="F7:F8"/>
    <mergeCell ref="G7:G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44" t="s">
        <v>1005</v>
      </c>
      <c r="B2" s="744"/>
      <c r="C2" s="744"/>
      <c r="D2" s="744"/>
      <c r="E2" s="744"/>
      <c r="F2" s="744"/>
      <c r="G2" s="744"/>
      <c r="H2" s="744"/>
      <c r="I2" s="329"/>
      <c r="J2" s="2"/>
      <c r="K2" s="2"/>
      <c r="L2" s="2"/>
      <c r="M2" s="2"/>
      <c r="N2" s="2"/>
      <c r="O2" s="2"/>
      <c r="P2" s="2"/>
      <c r="Q2" s="2"/>
      <c r="R2" s="2"/>
      <c r="S2" s="2"/>
      <c r="T2" s="2"/>
      <c r="U2" s="2"/>
      <c r="V2" s="2"/>
      <c r="W2" s="2"/>
      <c r="X2" s="2"/>
      <c r="Y2" s="2"/>
      <c r="Z2" s="2"/>
    </row>
    <row r="3" spans="1:26" x14ac:dyDescent="0.2">
      <c r="A3" s="762" t="str">
        <f>+BALANCE!A3</f>
        <v>БАНК БУС САНХҮҮГИЙН БАЙГУУЛЛАГЫН НЭР</v>
      </c>
      <c r="B3" s="762"/>
      <c r="C3" s="762"/>
      <c r="D3" s="762"/>
      <c r="E3" s="762"/>
      <c r="F3" s="762"/>
      <c r="G3" s="762"/>
      <c r="H3" s="762"/>
      <c r="I3" s="330"/>
      <c r="J3" s="104"/>
      <c r="K3" s="104"/>
      <c r="L3" s="104"/>
      <c r="M3" s="104"/>
      <c r="N3" s="104"/>
      <c r="O3" s="104"/>
      <c r="P3" s="104"/>
      <c r="Q3" s="104"/>
      <c r="R3" s="104"/>
      <c r="S3" s="104"/>
      <c r="T3" s="104"/>
      <c r="U3" s="104"/>
      <c r="V3" s="104"/>
      <c r="W3" s="104"/>
      <c r="X3" s="104"/>
      <c r="Y3" s="104"/>
      <c r="Z3" s="104"/>
    </row>
    <row r="4" spans="1:26" x14ac:dyDescent="0.2">
      <c r="A4" s="744" t="str">
        <f>+BALANCE!A4</f>
        <v>БАНК БУС САНХҮҮГИЙН БАЙГУУЛЛАГА</v>
      </c>
      <c r="B4" s="744"/>
      <c r="C4" s="744"/>
      <c r="D4" s="744"/>
      <c r="E4" s="744"/>
      <c r="F4" s="744"/>
      <c r="G4" s="744"/>
      <c r="H4" s="744"/>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29">
        <f>+BALANCE!A6</f>
        <v>44742</v>
      </c>
      <c r="B6" s="829"/>
      <c r="H6" s="953" t="s">
        <v>439</v>
      </c>
      <c r="I6" s="953"/>
    </row>
    <row r="7" spans="1:26" ht="14.25" customHeight="1" x14ac:dyDescent="0.2">
      <c r="A7" s="1042" t="s">
        <v>2</v>
      </c>
      <c r="B7" s="1042" t="s">
        <v>1006</v>
      </c>
      <c r="C7" s="1052" t="s">
        <v>1007</v>
      </c>
      <c r="D7" s="1052"/>
      <c r="E7" s="1052"/>
      <c r="F7" s="1052"/>
      <c r="G7" s="1052"/>
      <c r="H7" s="1052"/>
      <c r="I7" s="1052"/>
    </row>
    <row r="8" spans="1:26" x14ac:dyDescent="0.2">
      <c r="A8" s="1042"/>
      <c r="B8" s="1042"/>
      <c r="C8" s="1051" t="s">
        <v>1008</v>
      </c>
      <c r="D8" s="1051"/>
      <c r="E8" s="1051"/>
      <c r="F8" s="1052" t="s">
        <v>1009</v>
      </c>
      <c r="G8" s="1052"/>
      <c r="H8" s="1052"/>
      <c r="I8" s="1048" t="s">
        <v>530</v>
      </c>
    </row>
    <row r="9" spans="1:26" s="16" customFormat="1" x14ac:dyDescent="0.25">
      <c r="A9" s="1042"/>
      <c r="B9" s="1042"/>
      <c r="C9" s="1049" t="s">
        <v>1010</v>
      </c>
      <c r="D9" s="994" t="s">
        <v>1011</v>
      </c>
      <c r="E9" s="994" t="s">
        <v>1012</v>
      </c>
      <c r="F9" s="1049" t="s">
        <v>1010</v>
      </c>
      <c r="G9" s="994" t="s">
        <v>1011</v>
      </c>
      <c r="H9" s="994" t="s">
        <v>1012</v>
      </c>
      <c r="I9" s="1048"/>
    </row>
    <row r="10" spans="1:26" s="16" customFormat="1" ht="15.75" customHeight="1" x14ac:dyDescent="0.25">
      <c r="A10" s="1042"/>
      <c r="B10" s="1042"/>
      <c r="C10" s="1049"/>
      <c r="D10" s="994"/>
      <c r="E10" s="994"/>
      <c r="F10" s="1049"/>
      <c r="G10" s="994"/>
      <c r="H10" s="994"/>
      <c r="I10" s="1048"/>
    </row>
    <row r="11" spans="1:26" x14ac:dyDescent="0.2">
      <c r="A11" s="328">
        <v>1</v>
      </c>
      <c r="B11" s="132" t="s">
        <v>413</v>
      </c>
      <c r="C11" s="331"/>
      <c r="D11" s="331"/>
      <c r="E11" s="332"/>
      <c r="F11" s="332"/>
      <c r="G11" s="332"/>
      <c r="H11" s="332"/>
      <c r="I11" s="312" t="e">
        <f>+H11/H20*100%</f>
        <v>#DIV/0!</v>
      </c>
    </row>
    <row r="12" spans="1:26" x14ac:dyDescent="0.2">
      <c r="A12" s="328">
        <v>2</v>
      </c>
      <c r="B12" s="132" t="s">
        <v>1013</v>
      </c>
      <c r="C12" s="331"/>
      <c r="D12" s="331"/>
      <c r="E12" s="332"/>
      <c r="F12" s="332"/>
      <c r="G12" s="332"/>
      <c r="H12" s="332"/>
      <c r="I12" s="312" t="e">
        <f>+H12/H20*100%</f>
        <v>#DIV/0!</v>
      </c>
    </row>
    <row r="13" spans="1:26" x14ac:dyDescent="0.2">
      <c r="A13" s="328">
        <v>3</v>
      </c>
      <c r="B13" s="132" t="s">
        <v>1014</v>
      </c>
      <c r="C13" s="331"/>
      <c r="D13" s="331"/>
      <c r="E13" s="332"/>
      <c r="F13" s="332"/>
      <c r="G13" s="332"/>
      <c r="H13" s="332"/>
      <c r="I13" s="312" t="e">
        <f>+H13/H20*100%</f>
        <v>#DIV/0!</v>
      </c>
    </row>
    <row r="14" spans="1:26" x14ac:dyDescent="0.2">
      <c r="A14" s="328">
        <v>4</v>
      </c>
      <c r="B14" s="132" t="s">
        <v>419</v>
      </c>
      <c r="C14" s="331"/>
      <c r="D14" s="331"/>
      <c r="E14" s="332"/>
      <c r="F14" s="332"/>
      <c r="G14" s="332"/>
      <c r="H14" s="332"/>
      <c r="I14" s="312" t="e">
        <f>+H14/H20*100%</f>
        <v>#DIV/0!</v>
      </c>
    </row>
    <row r="15" spans="1:26" x14ac:dyDescent="0.2">
      <c r="A15" s="328">
        <v>5</v>
      </c>
      <c r="B15" s="132" t="s">
        <v>421</v>
      </c>
      <c r="C15" s="331"/>
      <c r="D15" s="331"/>
      <c r="E15" s="332"/>
      <c r="F15" s="332"/>
      <c r="G15" s="332"/>
      <c r="H15" s="332"/>
      <c r="I15" s="312" t="e">
        <f>+H15/H20*100%</f>
        <v>#DIV/0!</v>
      </c>
    </row>
    <row r="16" spans="1:26" x14ac:dyDescent="0.2">
      <c r="A16" s="328">
        <v>6</v>
      </c>
      <c r="B16" s="132" t="s">
        <v>423</v>
      </c>
      <c r="C16" s="331"/>
      <c r="D16" s="331"/>
      <c r="E16" s="332"/>
      <c r="F16" s="332"/>
      <c r="G16" s="332"/>
      <c r="H16" s="332"/>
      <c r="I16" s="312" t="e">
        <f>+H16/H20*100%</f>
        <v>#DIV/0!</v>
      </c>
    </row>
    <row r="17" spans="1:9" x14ac:dyDescent="0.2">
      <c r="A17" s="328">
        <v>7</v>
      </c>
      <c r="B17" s="132" t="s">
        <v>1015</v>
      </c>
      <c r="C17" s="331"/>
      <c r="D17" s="331"/>
      <c r="E17" s="332"/>
      <c r="F17" s="332"/>
      <c r="G17" s="332"/>
      <c r="H17" s="332"/>
      <c r="I17" s="312" t="e">
        <f>+H17/H20*100%</f>
        <v>#DIV/0!</v>
      </c>
    </row>
    <row r="18" spans="1:9" x14ac:dyDescent="0.2">
      <c r="A18" s="328">
        <v>8</v>
      </c>
      <c r="B18" s="132" t="s">
        <v>426</v>
      </c>
      <c r="C18" s="331"/>
      <c r="D18" s="331"/>
      <c r="E18" s="332"/>
      <c r="F18" s="332"/>
      <c r="G18" s="332"/>
      <c r="H18" s="332"/>
      <c r="I18" s="312" t="e">
        <f>+H18/H20*100%</f>
        <v>#DIV/0!</v>
      </c>
    </row>
    <row r="19" spans="1:9" x14ac:dyDescent="0.2">
      <c r="A19" s="328">
        <v>9</v>
      </c>
      <c r="B19" s="132" t="s">
        <v>1016</v>
      </c>
      <c r="C19" s="331"/>
      <c r="D19" s="331"/>
      <c r="E19" s="332"/>
      <c r="F19" s="332"/>
      <c r="G19" s="332"/>
      <c r="H19" s="332"/>
      <c r="I19" s="312" t="e">
        <f>+H19/H20*100%</f>
        <v>#DIV/0!</v>
      </c>
    </row>
    <row r="20" spans="1:9" ht="14.25" customHeight="1" x14ac:dyDescent="0.2">
      <c r="A20" s="1050" t="s">
        <v>824</v>
      </c>
      <c r="B20" s="1050"/>
      <c r="C20" s="416">
        <f t="shared" ref="C20:H20" si="0">+SUM(C11:C19)</f>
        <v>0</v>
      </c>
      <c r="D20" s="416">
        <f t="shared" si="0"/>
        <v>0</v>
      </c>
      <c r="E20" s="417">
        <f>+SUM(E11:E19)</f>
        <v>0</v>
      </c>
      <c r="F20" s="417">
        <f t="shared" si="0"/>
        <v>0</v>
      </c>
      <c r="G20" s="417">
        <f t="shared" si="0"/>
        <v>0</v>
      </c>
      <c r="H20" s="417">
        <f t="shared" si="0"/>
        <v>0</v>
      </c>
      <c r="I20" s="418"/>
    </row>
    <row r="21" spans="1:9" x14ac:dyDescent="0.2">
      <c r="G21" s="1041" t="s">
        <v>988</v>
      </c>
      <c r="H21" s="1041"/>
      <c r="I21" s="309" t="e">
        <f>+MAX(I11:I19)</f>
        <v>#DIV/0!</v>
      </c>
    </row>
    <row r="24" spans="1:9" x14ac:dyDescent="0.2">
      <c r="B24" s="70" t="s">
        <v>36</v>
      </c>
      <c r="C24" s="136"/>
      <c r="D24" s="135"/>
      <c r="E24" s="13"/>
      <c r="F24" s="14"/>
    </row>
    <row r="25" spans="1:9" x14ac:dyDescent="0.2">
      <c r="B25" s="70"/>
      <c r="C25" s="136"/>
      <c r="D25" s="135"/>
      <c r="E25" s="13"/>
      <c r="F25" s="14"/>
    </row>
    <row r="26" spans="1:9" x14ac:dyDescent="0.2">
      <c r="B26" s="133"/>
      <c r="C26" s="17" t="s">
        <v>437</v>
      </c>
      <c r="D26" s="137"/>
      <c r="E26" s="17"/>
      <c r="F26" s="3"/>
    </row>
    <row r="27" spans="1:9" x14ac:dyDescent="0.2">
      <c r="B27" s="16"/>
      <c r="C27" s="136"/>
      <c r="D27" s="135"/>
      <c r="E27" s="13"/>
      <c r="F27" s="14"/>
    </row>
    <row r="28" spans="1:9" x14ac:dyDescent="0.2">
      <c r="B28" s="177"/>
      <c r="C28" s="177"/>
      <c r="D28" s="848" t="str">
        <f>+BALANCE!D361</f>
        <v>ГҮЙЦЭТГЭХ ЗАХИРАЛ.................................................................//</v>
      </c>
      <c r="E28" s="848"/>
      <c r="F28" s="848"/>
      <c r="G28" s="848"/>
    </row>
    <row r="29" spans="1:9" x14ac:dyDescent="0.2">
      <c r="B29" s="138"/>
      <c r="C29" s="138"/>
      <c r="D29" s="138"/>
      <c r="E29" s="138"/>
      <c r="F29" s="138"/>
    </row>
    <row r="30" spans="1:9" x14ac:dyDescent="0.2">
      <c r="B30" s="177"/>
      <c r="C30" s="177"/>
      <c r="D30" s="848" t="str">
        <f>+BALANCE!D363</f>
        <v>ЕРӨНХИЙ НЯГТЛАН БОДОГЧ....................................................//</v>
      </c>
      <c r="E30" s="848"/>
      <c r="F30" s="848"/>
      <c r="G30" s="848"/>
    </row>
    <row r="31" spans="1:9" x14ac:dyDescent="0.2">
      <c r="B31" s="138"/>
      <c r="C31" s="138"/>
      <c r="D31" s="138"/>
      <c r="E31" s="138"/>
      <c r="F31" s="138"/>
    </row>
    <row r="32" spans="1:9" x14ac:dyDescent="0.2">
      <c r="B32" s="177"/>
      <c r="C32" s="177"/>
      <c r="D32" s="848">
        <f>+BALANCE!D365</f>
        <v>0</v>
      </c>
      <c r="E32" s="848"/>
      <c r="F32" s="848"/>
      <c r="G32" s="848"/>
    </row>
  </sheetData>
  <sheetProtection password="CA9F"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44" t="s">
        <v>1017</v>
      </c>
      <c r="B2" s="744"/>
      <c r="C2" s="744"/>
      <c r="D2" s="744"/>
      <c r="E2" s="744"/>
    </row>
    <row r="3" spans="1:5" x14ac:dyDescent="0.2">
      <c r="A3" s="762" t="str">
        <f>+BALANCE!A3</f>
        <v>БАНК БУС САНХҮҮГИЙН БАЙГУУЛЛАГЫН НЭР</v>
      </c>
      <c r="B3" s="762"/>
      <c r="C3" s="762"/>
      <c r="D3" s="762"/>
      <c r="E3" s="762"/>
    </row>
    <row r="4" spans="1:5" x14ac:dyDescent="0.2">
      <c r="A4" s="744" t="str">
        <f>+BALANCE!A4</f>
        <v>БАНК БУС САНХҮҮГИЙН БАЙГУУЛЛАГА</v>
      </c>
      <c r="B4" s="744"/>
      <c r="C4" s="744"/>
      <c r="D4" s="744"/>
      <c r="E4" s="744"/>
    </row>
    <row r="5" spans="1:5" x14ac:dyDescent="0.2">
      <c r="A5" s="1"/>
      <c r="B5" s="1"/>
      <c r="C5" s="1"/>
      <c r="D5" s="1"/>
      <c r="E5" s="18"/>
    </row>
    <row r="6" spans="1:5" x14ac:dyDescent="0.2">
      <c r="A6" s="1055">
        <f>+BALANCE!A6</f>
        <v>44742</v>
      </c>
      <c r="B6" s="1055"/>
    </row>
    <row r="7" spans="1:5" x14ac:dyDescent="0.2">
      <c r="A7" s="334" t="s">
        <v>2</v>
      </c>
      <c r="B7" s="22" t="s">
        <v>1018</v>
      </c>
      <c r="C7" s="334" t="s">
        <v>1019</v>
      </c>
      <c r="D7" s="335" t="s">
        <v>1020</v>
      </c>
      <c r="E7" s="334" t="s">
        <v>1021</v>
      </c>
    </row>
    <row r="8" spans="1:5" x14ac:dyDescent="0.2">
      <c r="A8" s="334" t="s">
        <v>763</v>
      </c>
      <c r="B8" s="748" t="s">
        <v>1022</v>
      </c>
      <c r="C8" s="748"/>
      <c r="D8" s="748"/>
      <c r="E8" s="748"/>
    </row>
    <row r="9" spans="1:5" ht="25.5" x14ac:dyDescent="0.2">
      <c r="A9" s="44">
        <v>1</v>
      </c>
      <c r="B9" s="336" t="s">
        <v>1023</v>
      </c>
      <c r="C9" s="337" t="s">
        <v>707</v>
      </c>
      <c r="D9" s="338" t="e">
        <f>+Capital!E49</f>
        <v>#DIV/0!</v>
      </c>
      <c r="E9" s="358" t="e">
        <f>+Capital!E50</f>
        <v>#DIV/0!</v>
      </c>
    </row>
    <row r="10" spans="1:5" ht="25.5" x14ac:dyDescent="0.2">
      <c r="A10" s="44">
        <v>2</v>
      </c>
      <c r="B10" s="336" t="s">
        <v>1024</v>
      </c>
      <c r="C10" s="264" t="s">
        <v>712</v>
      </c>
      <c r="D10" s="338" t="e">
        <f>+Capital!E52</f>
        <v>#DIV/0!</v>
      </c>
      <c r="E10" s="358" t="e">
        <f>+Capital!E53</f>
        <v>#DIV/0!</v>
      </c>
    </row>
    <row r="11" spans="1:5" ht="25.5" x14ac:dyDescent="0.2">
      <c r="A11" s="44">
        <v>3</v>
      </c>
      <c r="B11" s="339" t="s">
        <v>714</v>
      </c>
      <c r="C11" s="44" t="s">
        <v>707</v>
      </c>
      <c r="D11" s="340" t="e">
        <f>+Capital!E55</f>
        <v>#DIV/0!</v>
      </c>
      <c r="E11" s="358" t="e">
        <f>+Capital!E56</f>
        <v>#DIV/0!</v>
      </c>
    </row>
    <row r="12" spans="1:5" x14ac:dyDescent="0.2">
      <c r="A12" s="334" t="s">
        <v>770</v>
      </c>
      <c r="B12" s="748" t="s">
        <v>1025</v>
      </c>
      <c r="C12" s="748"/>
      <c r="D12" s="748"/>
      <c r="E12" s="748"/>
    </row>
    <row r="13" spans="1:5" x14ac:dyDescent="0.2">
      <c r="A13" s="44">
        <v>4</v>
      </c>
      <c r="B13" s="39" t="s">
        <v>1025</v>
      </c>
      <c r="C13" s="44" t="s">
        <v>1026</v>
      </c>
      <c r="D13" s="340" t="str">
        <f>+Liquidity!E27</f>
        <v>-</v>
      </c>
      <c r="E13" s="358" t="str">
        <f>+Liquidity!E28</f>
        <v>-</v>
      </c>
    </row>
    <row r="14" spans="1:5" x14ac:dyDescent="0.2">
      <c r="A14" s="334" t="s">
        <v>774</v>
      </c>
      <c r="B14" s="748" t="s">
        <v>1027</v>
      </c>
      <c r="C14" s="748"/>
      <c r="D14" s="748"/>
      <c r="E14" s="748"/>
    </row>
    <row r="15" spans="1:5" ht="25.5" x14ac:dyDescent="0.2">
      <c r="A15" s="44">
        <v>5</v>
      </c>
      <c r="B15" s="339" t="s">
        <v>1028</v>
      </c>
      <c r="C15" s="341">
        <f>+Provision!E45</f>
        <v>0</v>
      </c>
      <c r="D15" s="341">
        <f>+Provision!F45</f>
        <v>0</v>
      </c>
      <c r="E15" s="355">
        <f>+Provision!G45</f>
        <v>0</v>
      </c>
    </row>
    <row r="16" spans="1:5" ht="39.75" customHeight="1" x14ac:dyDescent="0.2">
      <c r="A16" s="44">
        <v>6</v>
      </c>
      <c r="B16" s="339" t="s">
        <v>1029</v>
      </c>
      <c r="C16" s="44" t="s">
        <v>1030</v>
      </c>
      <c r="D16" s="340" t="e">
        <f>'Top40'!S49</f>
        <v>#DIV/0!</v>
      </c>
      <c r="E16" s="358" t="e">
        <f>+IF(D16&gt;0.3,"Хангаагүй","Хангасан")</f>
        <v>#DIV/0!</v>
      </c>
    </row>
    <row r="17" spans="1:5" ht="25.5" x14ac:dyDescent="0.2">
      <c r="A17" s="44">
        <v>14</v>
      </c>
      <c r="B17" s="339" t="s">
        <v>1039</v>
      </c>
      <c r="C17" s="44" t="s">
        <v>1040</v>
      </c>
      <c r="D17" s="340" t="e">
        <f>BALANCE!D332/BALANCE!H132</f>
        <v>#DIV/0!</v>
      </c>
      <c r="E17" s="358" t="e">
        <f>IF(D17=0,"-",IF(D17&gt;0.7,"Хангаагүй","Хангасан"))</f>
        <v>#DIV/0!</v>
      </c>
    </row>
    <row r="18" spans="1:5" ht="63.75" x14ac:dyDescent="0.2">
      <c r="A18" s="44">
        <v>8</v>
      </c>
      <c r="B18" s="339" t="s">
        <v>1063</v>
      </c>
      <c r="C18" s="44" t="s">
        <v>1033</v>
      </c>
      <c r="D18" s="340" t="e">
        <f>Insider!M28/BALANCESHEET!G82</f>
        <v>#DIV/0!</v>
      </c>
      <c r="E18" s="358" t="e">
        <f>+IF(D18&gt;0.25,"Хангаагүй","Хангасан")</f>
        <v>#DIV/0!</v>
      </c>
    </row>
    <row r="19" spans="1:5" ht="51" x14ac:dyDescent="0.2">
      <c r="A19" s="44">
        <v>7</v>
      </c>
      <c r="B19" s="339" t="s">
        <v>1031</v>
      </c>
      <c r="C19" s="44" t="s">
        <v>1032</v>
      </c>
      <c r="D19" s="340" t="e">
        <f>Insider!P29</f>
        <v>#DIV/0!</v>
      </c>
      <c r="E19" s="358" t="e">
        <f>+IF(D19&gt;0.1,"Хангаагүй","Хангасан")</f>
        <v>#DIV/0!</v>
      </c>
    </row>
    <row r="20" spans="1:5" ht="25.5" x14ac:dyDescent="0.2">
      <c r="A20" s="44">
        <v>9</v>
      </c>
      <c r="B20" s="339" t="s">
        <v>1034</v>
      </c>
      <c r="C20" s="44" t="s">
        <v>1035</v>
      </c>
      <c r="D20" s="340" t="e">
        <f>+SUM(BALANCESHEET!C16,BALANCESHEET!C111)/BALANCESHEET!G82</f>
        <v>#DIV/0!</v>
      </c>
      <c r="E20" s="358" t="e">
        <f>IF(D20=0,"-",IF(D20&gt;0.5,"Хангаагүй","Хангасан"))</f>
        <v>#DIV/0!</v>
      </c>
    </row>
    <row r="21" spans="1:5" ht="25.5" x14ac:dyDescent="0.2">
      <c r="A21" s="44">
        <v>10</v>
      </c>
      <c r="B21" s="339" t="s">
        <v>1036</v>
      </c>
      <c r="C21" s="44" t="s">
        <v>1037</v>
      </c>
      <c r="D21" s="340" t="e">
        <f>+SUM(BALANCESHEET!C20,BALANCESHEET!C26)/BALANCESHEET!G82</f>
        <v>#DIV/0!</v>
      </c>
      <c r="E21" s="358" t="e">
        <f>IF(D21=0,"-",IF(D21&gt;0.2,"Хангаагүй","Хангасан"))</f>
        <v>#DIV/0!</v>
      </c>
    </row>
    <row r="22" spans="1:5" ht="38.25" x14ac:dyDescent="0.2">
      <c r="A22" s="44">
        <v>11</v>
      </c>
      <c r="B22" s="339" t="s">
        <v>1095</v>
      </c>
      <c r="C22" s="44" t="s">
        <v>1037</v>
      </c>
      <c r="D22" s="340">
        <f>Securities!H28</f>
        <v>0</v>
      </c>
      <c r="E22" s="359" t="str">
        <f>IF(D22=0,"-",IF(D22&gt;0.2,"Хангаагүй","Хангасан"))</f>
        <v>-</v>
      </c>
    </row>
    <row r="23" spans="1:5" ht="25.5" x14ac:dyDescent="0.2">
      <c r="A23" s="44">
        <v>12</v>
      </c>
      <c r="B23" s="339" t="s">
        <v>1038</v>
      </c>
      <c r="C23" s="44" t="s">
        <v>1037</v>
      </c>
      <c r="D23" s="340" t="e">
        <f>+SUM(BALANCESHEET!C21,BALANCESHEET!C27)/BALANCESHEET!G82</f>
        <v>#DIV/0!</v>
      </c>
      <c r="E23" s="358" t="e">
        <f>IF(D23=0,"-",IF(D23&gt;0.2,"Хангаагүй","Хангасан"))</f>
        <v>#DIV/0!</v>
      </c>
    </row>
    <row r="24" spans="1:5" ht="25.5" x14ac:dyDescent="0.2">
      <c r="A24" s="44">
        <v>13</v>
      </c>
      <c r="B24" s="339" t="s">
        <v>1070</v>
      </c>
      <c r="C24" s="44" t="s">
        <v>1032</v>
      </c>
      <c r="D24" s="340" t="e">
        <f>+SUM(BALANCESHEET!C28,BALANCESHEET!C22)/SUM(BALANCESHEET!C16,BALANCESHEET!C111)</f>
        <v>#DIV/0!</v>
      </c>
      <c r="E24" s="358" t="e">
        <f>IF(D24=0,"-",IF(D24&gt;0.1,"Хангаагүй","Хангасан"))</f>
        <v>#DIV/0!</v>
      </c>
    </row>
    <row r="25" spans="1:5" x14ac:dyDescent="0.2">
      <c r="A25" s="334" t="s">
        <v>778</v>
      </c>
      <c r="B25" s="748" t="s">
        <v>1041</v>
      </c>
      <c r="C25" s="748"/>
      <c r="D25" s="748"/>
      <c r="E25" s="748"/>
    </row>
    <row r="26" spans="1:5" ht="25.5" x14ac:dyDescent="0.2">
      <c r="A26" s="44">
        <v>15</v>
      </c>
      <c r="B26" s="339" t="s">
        <v>1042</v>
      </c>
      <c r="C26" s="44" t="s">
        <v>1043</v>
      </c>
      <c r="D26" s="340" t="e">
        <f>Forex!M30</f>
        <v>#DIV/0!</v>
      </c>
      <c r="E26" s="358" t="e">
        <f>IF(AND(D26&lt;0.4,D26&gt;-0.4),"Хангасан","Хангаагүй")</f>
        <v>#DIV/0!</v>
      </c>
    </row>
    <row r="27" spans="1:5" x14ac:dyDescent="0.2">
      <c r="A27" s="334" t="s">
        <v>713</v>
      </c>
      <c r="B27" s="748" t="s">
        <v>1071</v>
      </c>
      <c r="C27" s="748"/>
      <c r="D27" s="748"/>
      <c r="E27" s="748"/>
    </row>
    <row r="28" spans="1:5" ht="25.5" x14ac:dyDescent="0.2">
      <c r="A28" s="44">
        <v>16</v>
      </c>
      <c r="B28" s="339" t="s">
        <v>1044</v>
      </c>
      <c r="C28" s="44" t="s">
        <v>1045</v>
      </c>
      <c r="D28" s="340" t="e">
        <f>+BALANCESHEET!G11/BALANCESHEET!G82</f>
        <v>#DIV/0!</v>
      </c>
      <c r="E28" s="358" t="e">
        <f>IF(D28=0,"-",IF(D28&gt;0.8,"Хангаагүй","Хангасан"))</f>
        <v>#DIV/0!</v>
      </c>
    </row>
    <row r="29" spans="1:5" x14ac:dyDescent="0.2">
      <c r="A29" s="348">
        <v>18</v>
      </c>
      <c r="B29" s="39" t="s">
        <v>1049</v>
      </c>
      <c r="C29" s="348" t="s">
        <v>1035</v>
      </c>
      <c r="D29" s="340" t="e">
        <f>+BALANCESHEET!G39/BALANCESHEET!G82</f>
        <v>#DIV/0!</v>
      </c>
      <c r="E29" s="358" t="e">
        <f>IF(D29=0,"-",IF(D29&gt;0.5,"Хангаагүй","Хангасан"))</f>
        <v>#DIV/0!</v>
      </c>
    </row>
    <row r="30" spans="1:5" x14ac:dyDescent="0.2">
      <c r="A30" s="334" t="s">
        <v>782</v>
      </c>
      <c r="B30" s="748" t="s">
        <v>1046</v>
      </c>
      <c r="C30" s="748"/>
      <c r="D30" s="748"/>
      <c r="E30" s="748"/>
    </row>
    <row r="31" spans="1:5" x14ac:dyDescent="0.2">
      <c r="A31" s="44">
        <v>17</v>
      </c>
      <c r="B31" s="39" t="s">
        <v>1047</v>
      </c>
      <c r="C31" s="44" t="s">
        <v>1048</v>
      </c>
      <c r="D31" s="340" t="e">
        <f>((BALANCE!D242-BALANCE!D248)/1000)/BALANCESHEET!C116</f>
        <v>#DIV/0!</v>
      </c>
      <c r="E31" s="358" t="e">
        <f>+IF(D31&gt;0.15,"Хангаагүй","Хангасан")</f>
        <v>#DIV/0!</v>
      </c>
    </row>
    <row r="32" spans="1:5" x14ac:dyDescent="0.2">
      <c r="A32" s="334" t="s">
        <v>1050</v>
      </c>
      <c r="B32" s="748" t="s">
        <v>1051</v>
      </c>
      <c r="C32" s="748"/>
      <c r="D32" s="748"/>
      <c r="E32" s="748"/>
    </row>
    <row r="33" spans="1:5" ht="15.75" customHeight="1" x14ac:dyDescent="0.2">
      <c r="A33" s="44">
        <v>19</v>
      </c>
      <c r="B33" s="39" t="s">
        <v>1052</v>
      </c>
      <c r="C33" s="1054" t="e">
        <f>+INCOME!E140/((Statistic!C44+BALANCESHEET!C116)/2)</f>
        <v>#DIV/0!</v>
      </c>
      <c r="D33" s="1054"/>
      <c r="E33" s="1054"/>
    </row>
    <row r="34" spans="1:5" ht="15.75" customHeight="1" x14ac:dyDescent="0.2">
      <c r="A34" s="44">
        <v>20</v>
      </c>
      <c r="B34" s="39" t="s">
        <v>1053</v>
      </c>
      <c r="C34" s="1054" t="e">
        <f>+INCOME!E140/((Statistic!C45+BALANCESHEET!G82)/2)</f>
        <v>#DIV/0!</v>
      </c>
      <c r="D34" s="1054"/>
      <c r="E34" s="1054"/>
    </row>
    <row r="37" spans="1:5" x14ac:dyDescent="0.2">
      <c r="A37" s="758" t="s">
        <v>36</v>
      </c>
      <c r="B37" s="758"/>
      <c r="C37" s="135"/>
      <c r="D37" s="13"/>
      <c r="E37" s="50"/>
    </row>
    <row r="38" spans="1:5" x14ac:dyDescent="0.2">
      <c r="A38" s="70"/>
      <c r="B38" s="136"/>
      <c r="C38" s="135"/>
      <c r="D38" s="13"/>
      <c r="E38" s="50"/>
    </row>
    <row r="39" spans="1:5" x14ac:dyDescent="0.2">
      <c r="A39" s="133"/>
      <c r="B39" s="17" t="s">
        <v>437</v>
      </c>
      <c r="C39" s="137"/>
      <c r="D39" s="17"/>
    </row>
    <row r="41" spans="1:5" x14ac:dyDescent="0.2">
      <c r="B41" s="1053" t="str">
        <f>+BALANCE!D361</f>
        <v>ГҮЙЦЭТГЭХ ЗАХИРАЛ.................................................................//</v>
      </c>
      <c r="C41" s="1053"/>
      <c r="D41" s="1053"/>
    </row>
    <row r="43" spans="1:5" x14ac:dyDescent="0.2">
      <c r="B43" s="1053" t="str">
        <f>+BALANCE!D363</f>
        <v>ЕРӨНХИЙ НЯГТЛАН БОДОГЧ....................................................//</v>
      </c>
      <c r="C43" s="1053"/>
      <c r="D43" s="1053"/>
    </row>
    <row r="45" spans="1:5" x14ac:dyDescent="0.2">
      <c r="B45" s="1053">
        <f>+BALANCE!D365</f>
        <v>0</v>
      </c>
      <c r="C45" s="1053"/>
      <c r="D45" s="1053"/>
    </row>
  </sheetData>
  <sheetProtection password="CA9F" sheet="1"/>
  <mergeCells count="17">
    <mergeCell ref="A2:E2"/>
    <mergeCell ref="A3:E3"/>
    <mergeCell ref="A4:E4"/>
    <mergeCell ref="A6:B6"/>
    <mergeCell ref="B8:E8"/>
    <mergeCell ref="B45:D45"/>
    <mergeCell ref="C33:E33"/>
    <mergeCell ref="B12:E12"/>
    <mergeCell ref="C34:E34"/>
    <mergeCell ref="A37:B37"/>
    <mergeCell ref="B41:D41"/>
    <mergeCell ref="B43:D43"/>
    <mergeCell ref="B14:E14"/>
    <mergeCell ref="B25:E25"/>
    <mergeCell ref="B27:E27"/>
    <mergeCell ref="B30:E30"/>
    <mergeCell ref="B32:E32"/>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79"/>
    </row>
    <row r="2" spans="1:3" x14ac:dyDescent="0.2">
      <c r="A2" s="744" t="s">
        <v>1184</v>
      </c>
      <c r="B2" s="744"/>
      <c r="C2" s="744"/>
    </row>
    <row r="3" spans="1:3" x14ac:dyDescent="0.2">
      <c r="A3" s="762" t="str">
        <f>+[1]Statistic!A3</f>
        <v>БАНК БУС САНХҮҮГИЙН БАЙГУУЛЛАГЫН НЭР</v>
      </c>
      <c r="B3" s="762"/>
      <c r="C3" s="762"/>
    </row>
    <row r="4" spans="1:3" x14ac:dyDescent="0.2">
      <c r="A4" s="746" t="str">
        <f>+[1]BALANCE!A4</f>
        <v>БАНК БУС САНХҮҮГИЙН БАЙГУУЛЛАГА</v>
      </c>
      <c r="B4" s="746"/>
      <c r="C4" s="746"/>
    </row>
    <row r="5" spans="1:3" x14ac:dyDescent="0.2">
      <c r="A5" s="741"/>
      <c r="B5" s="736"/>
      <c r="C5" s="736"/>
    </row>
    <row r="6" spans="1:3" x14ac:dyDescent="0.2">
      <c r="A6" s="741"/>
      <c r="B6" s="736"/>
      <c r="C6" s="736"/>
    </row>
    <row r="7" spans="1:3" x14ac:dyDescent="0.2">
      <c r="A7" s="760">
        <f>+Statistic!A7</f>
        <v>44742</v>
      </c>
      <c r="B7" s="760"/>
      <c r="C7" s="680"/>
    </row>
    <row r="8" spans="1:3" x14ac:dyDescent="0.2">
      <c r="A8" s="742" t="s">
        <v>2</v>
      </c>
      <c r="B8" s="761" t="s">
        <v>1265</v>
      </c>
      <c r="C8" s="761"/>
    </row>
    <row r="9" spans="1:3" x14ac:dyDescent="0.2">
      <c r="A9" s="739">
        <v>1</v>
      </c>
      <c r="B9" s="339" t="s">
        <v>1266</v>
      </c>
      <c r="C9" s="119"/>
    </row>
    <row r="10" spans="1:3" x14ac:dyDescent="0.2">
      <c r="A10" s="739">
        <v>2</v>
      </c>
      <c r="B10" s="339" t="s">
        <v>1268</v>
      </c>
      <c r="C10" s="119"/>
    </row>
    <row r="11" spans="1:3" ht="25.5" x14ac:dyDescent="0.2">
      <c r="A11" s="739">
        <v>3</v>
      </c>
      <c r="B11" s="339" t="s">
        <v>1267</v>
      </c>
      <c r="C11" s="119"/>
    </row>
    <row r="12" spans="1:3" x14ac:dyDescent="0.2">
      <c r="A12" s="739">
        <v>4</v>
      </c>
      <c r="B12" s="339" t="s">
        <v>1264</v>
      </c>
      <c r="C12" s="119"/>
    </row>
    <row r="13" spans="1:3" x14ac:dyDescent="0.2">
      <c r="A13" s="739">
        <v>5</v>
      </c>
      <c r="B13" s="339" t="s">
        <v>1180</v>
      </c>
      <c r="C13" s="119"/>
    </row>
    <row r="14" spans="1:3" ht="171.75" customHeight="1" x14ac:dyDescent="0.2">
      <c r="A14" s="739">
        <v>6</v>
      </c>
      <c r="B14" s="463" t="s">
        <v>1181</v>
      </c>
      <c r="C14" s="687"/>
    </row>
    <row r="15" spans="1:3" ht="81" customHeight="1" x14ac:dyDescent="0.2">
      <c r="A15" s="739">
        <v>7</v>
      </c>
      <c r="B15" s="463" t="s">
        <v>1182</v>
      </c>
      <c r="C15" s="119"/>
    </row>
    <row r="16" spans="1:3" x14ac:dyDescent="0.2">
      <c r="A16" s="739">
        <v>8</v>
      </c>
      <c r="B16" s="339" t="s">
        <v>1183</v>
      </c>
      <c r="C16" s="119"/>
    </row>
    <row r="17" spans="1:3" x14ac:dyDescent="0.2">
      <c r="A17" s="3"/>
    </row>
    <row r="18" spans="1:3" x14ac:dyDescent="0.2">
      <c r="A18" s="3"/>
    </row>
    <row r="19" spans="1:3" x14ac:dyDescent="0.2">
      <c r="A19" s="758" t="s">
        <v>36</v>
      </c>
      <c r="B19" s="758"/>
      <c r="C19" s="513"/>
    </row>
    <row r="20" spans="1:3" x14ac:dyDescent="0.2">
      <c r="A20" s="15"/>
      <c r="B20" s="53"/>
      <c r="C20" s="513"/>
    </row>
    <row r="21" spans="1:3" x14ac:dyDescent="0.2">
      <c r="A21" s="740" t="s">
        <v>37</v>
      </c>
      <c r="B21" s="740"/>
      <c r="C21" s="738"/>
    </row>
    <row r="22" spans="1:3" x14ac:dyDescent="0.2">
      <c r="A22" s="50"/>
      <c r="B22" s="16"/>
      <c r="C22" s="513"/>
    </row>
    <row r="23" spans="1:3" x14ac:dyDescent="0.2">
      <c r="A23" s="50"/>
      <c r="B23" s="759" t="str">
        <f>+[1]Statistic!B60</f>
        <v>ГҮЙЦЭТГЭХ ЗАХИРАЛ.................................................................//</v>
      </c>
      <c r="C23" s="759"/>
    </row>
    <row r="24" spans="1:3" x14ac:dyDescent="0.2">
      <c r="A24" s="50"/>
      <c r="B24" s="737"/>
      <c r="C24" s="737"/>
    </row>
    <row r="25" spans="1:3" x14ac:dyDescent="0.2">
      <c r="A25" s="50"/>
      <c r="B25" s="759" t="str">
        <f>+[1]Statistic!B62</f>
        <v>ЕРӨНХИЙ НЯГТЛАН БОДОГЧ....................................................//</v>
      </c>
      <c r="C25" s="759"/>
    </row>
  </sheetData>
  <sheetProtection algorithmName="SHA-512" hashValue="mN7hsVUak1hlGDfhrfCxQ9mwGqmKW1NpLfqaYrK1DEHCN6EGVIPGx+wNdO6qgb4zXUu61M5+999GudhhvMPH2Q==" saltValue="jwG4Z5PftCvbt64tlfaFmw=="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5C363155-319F-4163-B05C-5D44522613FD}">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1" max="1" width="9.140625" style="688"/>
    <col min="2" max="2" width="2.7109375" style="688" bestFit="1" customWidth="1"/>
    <col min="3" max="3" width="20.28515625" style="688" customWidth="1"/>
    <col min="4" max="4" width="13.28515625" style="688" customWidth="1"/>
    <col min="5" max="8" width="13" style="688" customWidth="1"/>
    <col min="9" max="16384" width="9.140625" style="688"/>
  </cols>
  <sheetData>
    <row r="1" spans="2:14" x14ac:dyDescent="0.25">
      <c r="D1" s="520"/>
      <c r="E1" s="483"/>
      <c r="F1" s="679"/>
    </row>
    <row r="2" spans="2:14" x14ac:dyDescent="0.25">
      <c r="B2" s="768" t="s">
        <v>1261</v>
      </c>
      <c r="C2" s="768"/>
      <c r="D2" s="768"/>
      <c r="E2" s="768"/>
      <c r="F2" s="768"/>
      <c r="G2" s="768"/>
      <c r="H2" s="768"/>
      <c r="I2" s="768"/>
      <c r="J2" s="768"/>
      <c r="K2" s="768"/>
      <c r="L2" s="768"/>
      <c r="M2" s="768"/>
      <c r="N2" s="768"/>
    </row>
    <row r="3" spans="2:14" x14ac:dyDescent="0.25">
      <c r="B3" s="769" t="str">
        <f>+Statistic!A3</f>
        <v>БАНК БУС САНХҮҮГИЙН БАЙГУУЛЛАГЫН НЭР</v>
      </c>
      <c r="C3" s="769"/>
      <c r="D3" s="769"/>
      <c r="E3" s="769"/>
      <c r="F3" s="769"/>
      <c r="G3" s="769"/>
      <c r="H3" s="769"/>
      <c r="I3" s="769"/>
      <c r="J3" s="769"/>
      <c r="K3" s="769"/>
      <c r="L3" s="769"/>
      <c r="M3" s="769"/>
      <c r="N3" s="769"/>
    </row>
    <row r="4" spans="2:14" x14ac:dyDescent="0.25">
      <c r="B4" s="770" t="str">
        <f>+Statistic!A4</f>
        <v>БАНК БУС САНХҮҮГИЙН БАЙГУУЛЛАГА</v>
      </c>
      <c r="C4" s="770"/>
      <c r="D4" s="770"/>
      <c r="E4" s="770"/>
      <c r="F4" s="770"/>
      <c r="G4" s="770"/>
      <c r="H4" s="770"/>
      <c r="I4" s="770"/>
      <c r="J4" s="770"/>
      <c r="K4" s="770"/>
      <c r="L4" s="770"/>
      <c r="M4" s="770"/>
      <c r="N4" s="770"/>
    </row>
    <row r="5" spans="2:14" x14ac:dyDescent="0.25">
      <c r="D5" s="677"/>
      <c r="E5" s="677"/>
      <c r="F5" s="677"/>
    </row>
    <row r="6" spans="2:14" x14ac:dyDescent="0.25">
      <c r="D6" s="677"/>
      <c r="E6" s="677"/>
      <c r="F6" s="677"/>
    </row>
    <row r="7" spans="2:14" x14ac:dyDescent="0.25">
      <c r="B7" s="771">
        <f>+Statistic!A7</f>
        <v>44742</v>
      </c>
      <c r="C7" s="771"/>
      <c r="D7" s="771"/>
      <c r="E7" s="689"/>
      <c r="F7" s="680"/>
    </row>
    <row r="8" spans="2:14" x14ac:dyDescent="0.25">
      <c r="B8" s="765" t="s">
        <v>1277</v>
      </c>
      <c r="C8" s="765"/>
      <c r="D8" s="765"/>
      <c r="E8" s="764" t="s">
        <v>31</v>
      </c>
      <c r="F8" s="764"/>
      <c r="G8" s="764"/>
      <c r="H8" s="764"/>
      <c r="I8" s="765" t="s">
        <v>1245</v>
      </c>
      <c r="J8" s="765"/>
      <c r="K8" s="764" t="s">
        <v>1246</v>
      </c>
      <c r="L8" s="764"/>
      <c r="M8" s="764"/>
      <c r="N8" s="764"/>
    </row>
    <row r="9" spans="2:14" x14ac:dyDescent="0.25">
      <c r="B9" s="765"/>
      <c r="C9" s="765"/>
      <c r="D9" s="765"/>
      <c r="E9" s="764" t="s">
        <v>1244</v>
      </c>
      <c r="F9" s="764"/>
      <c r="G9" s="764" t="s">
        <v>1243</v>
      </c>
      <c r="H9" s="764"/>
      <c r="I9" s="764" t="s">
        <v>1249</v>
      </c>
      <c r="J9" s="764" t="s">
        <v>1250</v>
      </c>
      <c r="K9" s="764" t="s">
        <v>1247</v>
      </c>
      <c r="L9" s="764"/>
      <c r="M9" s="764" t="s">
        <v>1248</v>
      </c>
      <c r="N9" s="764"/>
    </row>
    <row r="10" spans="2:14" x14ac:dyDescent="0.25">
      <c r="B10" s="765"/>
      <c r="C10" s="765"/>
      <c r="D10" s="765"/>
      <c r="E10" s="690" t="s">
        <v>1249</v>
      </c>
      <c r="F10" s="690" t="s">
        <v>1250</v>
      </c>
      <c r="G10" s="690" t="s">
        <v>1249</v>
      </c>
      <c r="H10" s="690" t="s">
        <v>1250</v>
      </c>
      <c r="I10" s="764"/>
      <c r="J10" s="764"/>
      <c r="K10" s="690" t="s">
        <v>1249</v>
      </c>
      <c r="L10" s="690" t="s">
        <v>1250</v>
      </c>
      <c r="M10" s="690" t="s">
        <v>1249</v>
      </c>
      <c r="N10" s="690" t="s">
        <v>1250</v>
      </c>
    </row>
    <row r="11" spans="2:14" x14ac:dyDescent="0.25">
      <c r="B11" s="681">
        <v>1</v>
      </c>
      <c r="C11" s="766" t="s">
        <v>1273</v>
      </c>
      <c r="D11" s="691" t="s">
        <v>1270</v>
      </c>
      <c r="E11" s="372"/>
      <c r="F11" s="372"/>
      <c r="G11" s="372"/>
      <c r="H11" s="370"/>
      <c r="I11" s="724"/>
      <c r="J11" s="724"/>
      <c r="K11" s="724"/>
      <c r="L11" s="724"/>
      <c r="M11" s="724"/>
      <c r="N11" s="724"/>
    </row>
    <row r="12" spans="2:14" x14ac:dyDescent="0.25">
      <c r="B12" s="681">
        <v>2</v>
      </c>
      <c r="C12" s="767"/>
      <c r="D12" s="692" t="s">
        <v>1271</v>
      </c>
      <c r="E12" s="372"/>
      <c r="F12" s="372"/>
      <c r="G12" s="372"/>
      <c r="H12" s="370"/>
      <c r="I12" s="724"/>
      <c r="J12" s="724"/>
      <c r="K12" s="724"/>
      <c r="L12" s="724"/>
      <c r="M12" s="724"/>
      <c r="N12" s="724"/>
    </row>
    <row r="13" spans="2:14" x14ac:dyDescent="0.25">
      <c r="B13" s="681">
        <v>3</v>
      </c>
      <c r="C13" s="766" t="s">
        <v>1274</v>
      </c>
      <c r="D13" s="691" t="s">
        <v>1269</v>
      </c>
      <c r="E13" s="633"/>
      <c r="F13" s="633"/>
      <c r="G13" s="633"/>
      <c r="H13" s="722"/>
      <c r="I13" s="723"/>
      <c r="J13" s="723"/>
      <c r="K13" s="723"/>
      <c r="L13" s="723"/>
      <c r="M13" s="723"/>
      <c r="N13" s="723"/>
    </row>
    <row r="14" spans="2:14" x14ac:dyDescent="0.25">
      <c r="B14" s="681">
        <v>4</v>
      </c>
      <c r="C14" s="767"/>
      <c r="D14" s="692" t="s">
        <v>1272</v>
      </c>
      <c r="E14" s="633"/>
      <c r="F14" s="633"/>
      <c r="G14" s="633"/>
      <c r="H14" s="722"/>
      <c r="I14" s="723"/>
      <c r="J14" s="723"/>
      <c r="K14" s="723"/>
      <c r="L14" s="723"/>
      <c r="M14" s="723"/>
      <c r="N14" s="723"/>
    </row>
    <row r="15" spans="2:14" x14ac:dyDescent="0.25">
      <c r="B15" s="681">
        <v>5</v>
      </c>
      <c r="C15" s="766" t="s">
        <v>1275</v>
      </c>
      <c r="D15" s="691" t="s">
        <v>1270</v>
      </c>
      <c r="E15" s="372"/>
      <c r="F15" s="372"/>
      <c r="G15" s="372"/>
      <c r="H15" s="370"/>
      <c r="I15" s="724"/>
      <c r="J15" s="724"/>
      <c r="K15" s="724"/>
      <c r="L15" s="724"/>
      <c r="M15" s="724"/>
      <c r="N15" s="724"/>
    </row>
    <row r="16" spans="2:14" x14ac:dyDescent="0.25">
      <c r="B16" s="681">
        <v>6</v>
      </c>
      <c r="C16" s="767"/>
      <c r="D16" s="692" t="s">
        <v>1271</v>
      </c>
      <c r="E16" s="372"/>
      <c r="F16" s="372"/>
      <c r="G16" s="372"/>
      <c r="H16" s="370"/>
      <c r="I16" s="724"/>
      <c r="J16" s="724"/>
      <c r="K16" s="724"/>
      <c r="L16" s="724"/>
      <c r="M16" s="724"/>
      <c r="N16" s="724"/>
    </row>
    <row r="17" spans="2:14" x14ac:dyDescent="0.25">
      <c r="B17" s="681">
        <v>7</v>
      </c>
      <c r="C17" s="766" t="s">
        <v>1276</v>
      </c>
      <c r="D17" s="691" t="s">
        <v>1270</v>
      </c>
      <c r="E17" s="372"/>
      <c r="F17" s="372"/>
      <c r="G17" s="372"/>
      <c r="H17" s="370"/>
      <c r="I17" s="724"/>
      <c r="J17" s="724"/>
      <c r="K17" s="724"/>
      <c r="L17" s="724"/>
      <c r="M17" s="724"/>
      <c r="N17" s="724"/>
    </row>
    <row r="18" spans="2:14" x14ac:dyDescent="0.25">
      <c r="B18" s="681">
        <v>8</v>
      </c>
      <c r="C18" s="767"/>
      <c r="D18" s="692" t="s">
        <v>1271</v>
      </c>
      <c r="E18" s="372"/>
      <c r="F18" s="372"/>
      <c r="G18" s="372"/>
      <c r="H18" s="370"/>
      <c r="I18" s="724"/>
      <c r="J18" s="724"/>
      <c r="K18" s="724"/>
      <c r="L18" s="724"/>
      <c r="M18" s="724"/>
      <c r="N18" s="724"/>
    </row>
    <row r="22" spans="2:14" x14ac:dyDescent="0.25">
      <c r="D22" s="763" t="s">
        <v>36</v>
      </c>
      <c r="E22" s="763"/>
      <c r="F22" s="513"/>
    </row>
    <row r="23" spans="2:14" x14ac:dyDescent="0.25">
      <c r="D23" s="517"/>
      <c r="E23" s="682"/>
      <c r="F23" s="513"/>
    </row>
    <row r="24" spans="2:14" x14ac:dyDescent="0.25">
      <c r="D24" s="683" t="s">
        <v>37</v>
      </c>
      <c r="E24" s="683"/>
      <c r="F24" s="684"/>
    </row>
    <row r="25" spans="2:14" x14ac:dyDescent="0.25">
      <c r="D25" s="685"/>
      <c r="E25" s="60"/>
      <c r="F25" s="513"/>
    </row>
    <row r="26" spans="2:14" x14ac:dyDescent="0.25">
      <c r="D26" s="685"/>
      <c r="E26" s="513" t="str">
        <f>+Statistic!B60</f>
        <v>ГҮЙЦЭТГЭХ ЗАХИРАЛ.................................................................//</v>
      </c>
      <c r="F26" s="513"/>
    </row>
    <row r="27" spans="2:14" x14ac:dyDescent="0.25">
      <c r="D27" s="685"/>
      <c r="E27" s="693"/>
      <c r="F27" s="693"/>
    </row>
    <row r="28" spans="2:14" x14ac:dyDescent="0.25">
      <c r="D28" s="685"/>
      <c r="E28" s="513" t="str">
        <f>+Statistic!B62</f>
        <v>ЕРӨНХИЙ НЯГТЛАН БОДОГЧ....................................................//</v>
      </c>
      <c r="F28" s="513"/>
    </row>
  </sheetData>
  <sheetProtection algorithmName="SHA-512" hashValue="WPAPROAlvuVnAIyKEAbmNGILkfwroiM/eO1giaw5veh1QNfOzBDsXZksOX2T6XTiiotbbPbqjzZokRL32FkM7g==" saltValue="nZtCg5kgCszfq83PZY5+zQ=="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79"/>
    </row>
    <row r="2" spans="1:3" x14ac:dyDescent="0.2">
      <c r="A2" s="768" t="s">
        <v>1239</v>
      </c>
      <c r="B2" s="768"/>
      <c r="C2" s="768"/>
    </row>
    <row r="3" spans="1:3" x14ac:dyDescent="0.2">
      <c r="A3" s="769" t="str">
        <f>+Statistic!A3</f>
        <v>БАНК БУС САНХҮҮГИЙН БАЙГУУЛЛАГЫН НЭР</v>
      </c>
      <c r="B3" s="769"/>
      <c r="C3" s="769"/>
    </row>
    <row r="4" spans="1:3" x14ac:dyDescent="0.2">
      <c r="A4" s="770" t="str">
        <f>+BALANCE!A4</f>
        <v>БАНК БУС САНХҮҮГИЙН БАЙГУУЛЛАГА</v>
      </c>
      <c r="B4" s="770"/>
      <c r="C4" s="770"/>
    </row>
    <row r="5" spans="1:3" x14ac:dyDescent="0.2">
      <c r="A5" s="677"/>
      <c r="B5" s="677"/>
      <c r="C5" s="677"/>
    </row>
    <row r="6" spans="1:3" x14ac:dyDescent="0.2">
      <c r="A6" s="677"/>
      <c r="B6" s="677"/>
      <c r="C6" s="677"/>
    </row>
    <row r="7" spans="1:3" x14ac:dyDescent="0.2">
      <c r="A7" s="773">
        <f>+Statistic!A7</f>
        <v>44742</v>
      </c>
      <c r="B7" s="773"/>
      <c r="C7" s="725" t="s">
        <v>1279</v>
      </c>
    </row>
    <row r="8" spans="1:3" x14ac:dyDescent="0.2">
      <c r="A8" s="694" t="s">
        <v>1185</v>
      </c>
      <c r="B8" s="694" t="s">
        <v>1011</v>
      </c>
      <c r="C8" s="694" t="s">
        <v>1194</v>
      </c>
    </row>
    <row r="9" spans="1:3" x14ac:dyDescent="0.2">
      <c r="A9" s="774" t="s">
        <v>1195</v>
      </c>
      <c r="B9" s="775"/>
      <c r="C9" s="776"/>
    </row>
    <row r="10" spans="1:3" x14ac:dyDescent="0.2">
      <c r="A10" s="695" t="s">
        <v>1196</v>
      </c>
      <c r="B10" s="703"/>
      <c r="C10" s="703"/>
    </row>
    <row r="11" spans="1:3" x14ac:dyDescent="0.2">
      <c r="A11" s="774" t="s">
        <v>1192</v>
      </c>
      <c r="B11" s="775"/>
      <c r="C11" s="776"/>
    </row>
    <row r="12" spans="1:3" x14ac:dyDescent="0.2">
      <c r="A12" s="695" t="s">
        <v>1197</v>
      </c>
      <c r="B12" s="703"/>
      <c r="C12" s="703"/>
    </row>
    <row r="13" spans="1:3" x14ac:dyDescent="0.2">
      <c r="A13" s="695" t="s">
        <v>1198</v>
      </c>
      <c r="B13" s="703"/>
      <c r="C13" s="703"/>
    </row>
    <row r="14" spans="1:3" x14ac:dyDescent="0.2">
      <c r="A14" s="695" t="s">
        <v>1199</v>
      </c>
      <c r="B14" s="703"/>
      <c r="C14" s="703"/>
    </row>
    <row r="15" spans="1:3" x14ac:dyDescent="0.2">
      <c r="A15" s="774" t="s">
        <v>1200</v>
      </c>
      <c r="B15" s="775"/>
      <c r="C15" s="776"/>
    </row>
    <row r="16" spans="1:3" x14ac:dyDescent="0.2">
      <c r="A16" s="695" t="s">
        <v>1197</v>
      </c>
      <c r="B16" s="703"/>
      <c r="C16" s="703"/>
    </row>
    <row r="17" spans="1:3" x14ac:dyDescent="0.2">
      <c r="A17" s="695" t="s">
        <v>1201</v>
      </c>
      <c r="B17" s="703"/>
      <c r="C17" s="703"/>
    </row>
    <row r="18" spans="1:3" x14ac:dyDescent="0.2">
      <c r="A18" s="695" t="s">
        <v>1202</v>
      </c>
      <c r="B18" s="703"/>
      <c r="C18" s="703"/>
    </row>
    <row r="19" spans="1:3" x14ac:dyDescent="0.2">
      <c r="A19" s="695" t="s">
        <v>1203</v>
      </c>
      <c r="B19" s="703"/>
      <c r="C19" s="703"/>
    </row>
    <row r="20" spans="1:3" x14ac:dyDescent="0.2">
      <c r="A20" s="695" t="s">
        <v>1204</v>
      </c>
      <c r="B20" s="703"/>
      <c r="C20" s="703"/>
    </row>
    <row r="21" spans="1:3" x14ac:dyDescent="0.2">
      <c r="A21" s="696"/>
      <c r="B21" s="696"/>
    </row>
    <row r="22" spans="1:3" ht="25.5" x14ac:dyDescent="0.2">
      <c r="A22" s="697"/>
      <c r="B22" s="698" t="s">
        <v>1205</v>
      </c>
      <c r="C22" s="698" t="s">
        <v>1206</v>
      </c>
    </row>
    <row r="23" spans="1:3" x14ac:dyDescent="0.2">
      <c r="A23" s="699" t="s">
        <v>1262</v>
      </c>
      <c r="B23" s="700">
        <f>SUM(B24:B26)</f>
        <v>0</v>
      </c>
      <c r="C23" s="700">
        <f>SUM(C24:C26)</f>
        <v>0</v>
      </c>
    </row>
    <row r="24" spans="1:3" x14ac:dyDescent="0.2">
      <c r="A24" s="701" t="s">
        <v>1207</v>
      </c>
      <c r="B24" s="369"/>
      <c r="C24" s="369"/>
    </row>
    <row r="25" spans="1:3" x14ac:dyDescent="0.2">
      <c r="A25" s="701" t="s">
        <v>1207</v>
      </c>
      <c r="B25" s="369"/>
      <c r="C25" s="369"/>
    </row>
    <row r="26" spans="1:3" x14ac:dyDescent="0.2">
      <c r="A26" s="701" t="s">
        <v>1207</v>
      </c>
      <c r="B26" s="369"/>
      <c r="C26" s="369"/>
    </row>
    <row r="28" spans="1:3" x14ac:dyDescent="0.2">
      <c r="A28" s="690" t="s">
        <v>1185</v>
      </c>
      <c r="B28" s="690" t="s">
        <v>1186</v>
      </c>
    </row>
    <row r="29" spans="1:3" x14ac:dyDescent="0.2">
      <c r="A29" s="701" t="s">
        <v>1187</v>
      </c>
      <c r="B29" s="704"/>
    </row>
    <row r="30" spans="1:3" x14ac:dyDescent="0.2">
      <c r="A30" s="701" t="s">
        <v>1188</v>
      </c>
      <c r="B30" s="704"/>
    </row>
    <row r="31" spans="1:3" x14ac:dyDescent="0.2">
      <c r="A31" s="701" t="s">
        <v>1189</v>
      </c>
      <c r="B31" s="704"/>
    </row>
    <row r="32" spans="1:3" x14ac:dyDescent="0.2">
      <c r="A32" s="701" t="s">
        <v>1190</v>
      </c>
      <c r="B32" s="704"/>
    </row>
    <row r="33" spans="1:3" x14ac:dyDescent="0.2">
      <c r="A33" s="702" t="s">
        <v>1191</v>
      </c>
      <c r="B33" s="704"/>
    </row>
    <row r="34" spans="1:3" x14ac:dyDescent="0.2">
      <c r="A34" s="701" t="s">
        <v>1192</v>
      </c>
      <c r="B34" s="704"/>
    </row>
    <row r="35" spans="1:3" x14ac:dyDescent="0.2">
      <c r="A35" s="701" t="s">
        <v>1193</v>
      </c>
      <c r="B35" s="704"/>
    </row>
    <row r="38" spans="1:3" x14ac:dyDescent="0.2">
      <c r="A38" s="763" t="s">
        <v>36</v>
      </c>
      <c r="B38" s="763"/>
      <c r="C38" s="513"/>
    </row>
    <row r="39" spans="1:3" x14ac:dyDescent="0.2">
      <c r="A39" s="517"/>
      <c r="B39" s="682"/>
      <c r="C39" s="513"/>
    </row>
    <row r="40" spans="1:3" x14ac:dyDescent="0.2">
      <c r="A40" s="683" t="s">
        <v>37</v>
      </c>
      <c r="B40" s="683"/>
      <c r="C40" s="684"/>
    </row>
    <row r="41" spans="1:3" x14ac:dyDescent="0.2">
      <c r="A41" s="685"/>
      <c r="B41" s="60"/>
      <c r="C41" s="513"/>
    </row>
    <row r="42" spans="1:3" x14ac:dyDescent="0.2">
      <c r="A42" s="685"/>
      <c r="B42" s="772" t="str">
        <f>+Statistic!B60</f>
        <v>ГҮЙЦЭТГЭХ ЗАХИРАЛ.................................................................//</v>
      </c>
      <c r="C42" s="772"/>
    </row>
    <row r="43" spans="1:3" x14ac:dyDescent="0.2">
      <c r="A43" s="685"/>
      <c r="B43" s="693"/>
      <c r="C43" s="693"/>
    </row>
    <row r="44" spans="1:3" x14ac:dyDescent="0.2">
      <c r="A44" s="685"/>
      <c r="B44" s="772" t="str">
        <f>+Statistic!B62</f>
        <v>ЕРӨНХИЙ НЯГТЛАН БОДОГЧ....................................................//</v>
      </c>
      <c r="C44" s="772"/>
    </row>
  </sheetData>
  <sheetProtection algorithmName="SHA-512" hashValue="4TS/JxIGiNvxK+9PP4bbILuyTZcP1KK5nboUnm3ymrqARRQKSp/s45YuXUyjHqvd9AU1yNwFsm4EVRNZ7UuTXQ==" saltValue="J5nRT0c5bFQX6oPjFk4Af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election activeCell="H15" sqref="H15:K25"/>
    </sheetView>
  </sheetViews>
  <sheetFormatPr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79"/>
    </row>
    <row r="2" spans="1:12" x14ac:dyDescent="0.2">
      <c r="A2" s="768" t="s">
        <v>1236</v>
      </c>
      <c r="B2" s="768"/>
      <c r="C2" s="768"/>
      <c r="D2" s="768"/>
      <c r="E2" s="768"/>
      <c r="F2" s="768"/>
      <c r="G2" s="768"/>
      <c r="H2" s="768"/>
      <c r="I2" s="768"/>
      <c r="J2" s="768"/>
    </row>
    <row r="3" spans="1:12" x14ac:dyDescent="0.2">
      <c r="A3" s="769" t="str">
        <f>+Statistic!A3</f>
        <v>БАНК БУС САНХҮҮГИЙН БАЙГУУЛЛАГЫН НЭР</v>
      </c>
      <c r="B3" s="769"/>
      <c r="C3" s="769"/>
      <c r="D3" s="769"/>
      <c r="E3" s="769"/>
      <c r="F3" s="769"/>
      <c r="G3" s="769"/>
      <c r="H3" s="769"/>
      <c r="I3" s="769"/>
      <c r="J3" s="769"/>
    </row>
    <row r="4" spans="1:12" x14ac:dyDescent="0.2">
      <c r="A4" s="770" t="str">
        <f>+Statistic!A4</f>
        <v>БАНК БУС САНХҮҮГИЙН БАЙГУУЛЛАГА</v>
      </c>
      <c r="B4" s="770"/>
      <c r="C4" s="770"/>
      <c r="D4" s="770"/>
      <c r="E4" s="770"/>
      <c r="F4" s="770"/>
      <c r="G4" s="770"/>
      <c r="H4" s="770"/>
      <c r="I4" s="770"/>
      <c r="J4" s="770"/>
    </row>
    <row r="5" spans="1:12" x14ac:dyDescent="0.2">
      <c r="A5" s="677"/>
      <c r="B5" s="677"/>
      <c r="C5" s="677"/>
    </row>
    <row r="6" spans="1:12" x14ac:dyDescent="0.2">
      <c r="A6" s="677"/>
      <c r="B6" s="677"/>
      <c r="C6" s="677"/>
    </row>
    <row r="7" spans="1:12" x14ac:dyDescent="0.2">
      <c r="A7" s="705">
        <f>+Statistic!A7</f>
        <v>44742</v>
      </c>
      <c r="B7" s="689"/>
      <c r="C7" s="680"/>
      <c r="K7" s="721" t="s">
        <v>1279</v>
      </c>
    </row>
    <row r="8" spans="1:12" x14ac:dyDescent="0.2">
      <c r="A8" s="797" t="s">
        <v>1208</v>
      </c>
      <c r="B8" s="791" t="s">
        <v>1209</v>
      </c>
      <c r="C8" s="792"/>
      <c r="D8" s="791" t="s">
        <v>1210</v>
      </c>
      <c r="E8" s="792"/>
      <c r="F8" s="791" t="s">
        <v>1211</v>
      </c>
      <c r="G8" s="792"/>
      <c r="H8" s="765" t="s">
        <v>1094</v>
      </c>
      <c r="I8" s="765"/>
      <c r="J8" s="765"/>
      <c r="K8" s="765"/>
    </row>
    <row r="9" spans="1:12" ht="29.25" customHeight="1" x14ac:dyDescent="0.2">
      <c r="A9" s="798"/>
      <c r="B9" s="765" t="s">
        <v>1001</v>
      </c>
      <c r="C9" s="765" t="s">
        <v>1186</v>
      </c>
      <c r="D9" s="765" t="s">
        <v>1001</v>
      </c>
      <c r="E9" s="765" t="s">
        <v>1186</v>
      </c>
      <c r="F9" s="765" t="s">
        <v>1001</v>
      </c>
      <c r="G9" s="765" t="s">
        <v>1186</v>
      </c>
      <c r="H9" s="765" t="s">
        <v>1001</v>
      </c>
      <c r="I9" s="765" t="s">
        <v>1186</v>
      </c>
      <c r="J9" s="793" t="s">
        <v>1241</v>
      </c>
      <c r="K9" s="794"/>
    </row>
    <row r="10" spans="1:12" x14ac:dyDescent="0.2">
      <c r="A10" s="799"/>
      <c r="B10" s="765"/>
      <c r="C10" s="765"/>
      <c r="D10" s="765"/>
      <c r="E10" s="765"/>
      <c r="F10" s="765"/>
      <c r="G10" s="765"/>
      <c r="H10" s="765"/>
      <c r="I10" s="765"/>
      <c r="J10" s="694" t="s">
        <v>1001</v>
      </c>
      <c r="K10" s="694" t="s">
        <v>1186</v>
      </c>
    </row>
    <row r="11" spans="1:12" s="716" customFormat="1" x14ac:dyDescent="0.2">
      <c r="A11" s="717" t="s">
        <v>1212</v>
      </c>
      <c r="B11" s="718">
        <f>+BALANCESHEET!C32*1000</f>
        <v>0</v>
      </c>
      <c r="C11" s="719">
        <f>+Statistic!C16</f>
        <v>0</v>
      </c>
      <c r="D11" s="718">
        <f>SUM(D12:D14)</f>
        <v>0</v>
      </c>
      <c r="E11" s="718">
        <f t="shared" ref="E11:K11" si="0">SUM(E12:E14)</f>
        <v>0</v>
      </c>
      <c r="F11" s="718">
        <f t="shared" si="0"/>
        <v>0</v>
      </c>
      <c r="G11" s="718">
        <f t="shared" si="0"/>
        <v>0</v>
      </c>
      <c r="H11" s="718">
        <f t="shared" si="0"/>
        <v>0</v>
      </c>
      <c r="I11" s="718">
        <f t="shared" si="0"/>
        <v>0</v>
      </c>
      <c r="J11" s="718">
        <f t="shared" si="0"/>
        <v>0</v>
      </c>
      <c r="K11" s="718">
        <f t="shared" si="0"/>
        <v>0</v>
      </c>
      <c r="L11" s="716" t="str">
        <f>IF(C11=E11+G11+I11,"","Ангилсан дүн Нийт дүнгээс зөрүүтэй")</f>
        <v/>
      </c>
    </row>
    <row r="12" spans="1:12" x14ac:dyDescent="0.2">
      <c r="A12" s="706" t="s">
        <v>12</v>
      </c>
      <c r="B12" s="700">
        <f>(BALANCESHEET!C34+BALANCESHEET!C41)*1000</f>
        <v>0</v>
      </c>
      <c r="C12" s="707">
        <f>+Statistic!C17</f>
        <v>0</v>
      </c>
      <c r="D12" s="369"/>
      <c r="E12" s="686"/>
      <c r="F12" s="369"/>
      <c r="G12" s="686"/>
      <c r="H12" s="369"/>
      <c r="I12" s="686"/>
      <c r="J12" s="369"/>
      <c r="K12" s="686"/>
      <c r="L12" s="483" t="str">
        <f>IF(C12=E12+G12+I12,"","Ангилсан дүн Нийт дүнгээс зөрүүтэй")</f>
        <v/>
      </c>
    </row>
    <row r="13" spans="1:12" x14ac:dyDescent="0.2">
      <c r="A13" s="706" t="s">
        <v>1164</v>
      </c>
      <c r="B13" s="700">
        <f>(BALANCESHEET!C35+BALANCESHEET!C42)*1000</f>
        <v>0</v>
      </c>
      <c r="C13" s="707">
        <f>+Statistic!C18</f>
        <v>0</v>
      </c>
      <c r="D13" s="369"/>
      <c r="E13" s="686"/>
      <c r="F13" s="369"/>
      <c r="G13" s="686"/>
      <c r="H13" s="369"/>
      <c r="I13" s="686"/>
      <c r="J13" s="369"/>
      <c r="K13" s="686"/>
      <c r="L13" s="483" t="str">
        <f>IF(C13=E13+G13+I13,"","Ангилсан дүн Нийт дүнгээс зөрүүтэй")</f>
        <v/>
      </c>
    </row>
    <row r="14" spans="1:12" x14ac:dyDescent="0.2">
      <c r="A14" s="706" t="s">
        <v>1066</v>
      </c>
      <c r="B14" s="700">
        <f>(BALANCESHEET!C36+BALANCESHEET!C43)*1000</f>
        <v>0</v>
      </c>
      <c r="C14" s="707">
        <f>+Statistic!C19</f>
        <v>0</v>
      </c>
      <c r="D14" s="369"/>
      <c r="E14" s="686"/>
      <c r="F14" s="369"/>
      <c r="G14" s="686"/>
      <c r="H14" s="369"/>
      <c r="I14" s="686"/>
      <c r="J14" s="369"/>
      <c r="K14" s="686"/>
      <c r="L14" s="483" t="str">
        <f>IF(C14=E14+G14+I14,"","Ангилсан дүн Нийт дүнгээс зөрүүтэй")</f>
        <v/>
      </c>
    </row>
    <row r="15" spans="1:12" s="716" customFormat="1" x14ac:dyDescent="0.2">
      <c r="A15" s="717" t="s">
        <v>1259</v>
      </c>
      <c r="B15" s="718">
        <f>SUM(B16:B19)</f>
        <v>0</v>
      </c>
      <c r="C15" s="719">
        <f>+Statistic!C23</f>
        <v>0</v>
      </c>
      <c r="D15" s="718">
        <f>SUM(D16:D19)</f>
        <v>0</v>
      </c>
      <c r="E15" s="718">
        <f>SUM(E16:E19)</f>
        <v>0</v>
      </c>
      <c r="F15" s="718">
        <f>SUM(F16:F19)</f>
        <v>0</v>
      </c>
      <c r="G15" s="718">
        <f>SUM(G16:G19)</f>
        <v>0</v>
      </c>
      <c r="H15" s="777" t="s">
        <v>1289</v>
      </c>
      <c r="I15" s="778"/>
      <c r="J15" s="778"/>
      <c r="K15" s="779"/>
      <c r="L15" s="716" t="str">
        <f>IF(C15=E15+G15,"","Ангилалын дүн нийт дүнгээс зөрүүтэй")</f>
        <v/>
      </c>
    </row>
    <row r="16" spans="1:12" x14ac:dyDescent="0.2">
      <c r="A16" s="706" t="s">
        <v>1213</v>
      </c>
      <c r="B16" s="700">
        <f>SUM(D16+F16)</f>
        <v>0</v>
      </c>
      <c r="C16" s="707">
        <f>+Statistic!C24</f>
        <v>0</v>
      </c>
      <c r="D16" s="369"/>
      <c r="E16" s="686"/>
      <c r="F16" s="369"/>
      <c r="G16" s="686"/>
      <c r="H16" s="780"/>
      <c r="I16" s="781"/>
      <c r="J16" s="781"/>
      <c r="K16" s="782"/>
      <c r="L16" s="483" t="str">
        <f t="shared" ref="L16:L25" si="1">IF(C16=E16+G16,"","Ангилалын дүн нийт дүнгээс зөрүүтэй")</f>
        <v/>
      </c>
    </row>
    <row r="17" spans="1:12" x14ac:dyDescent="0.2">
      <c r="A17" s="706" t="s">
        <v>1214</v>
      </c>
      <c r="B17" s="700">
        <f>SUM(D17+F17)</f>
        <v>0</v>
      </c>
      <c r="C17" s="707">
        <f>+Statistic!C25</f>
        <v>0</v>
      </c>
      <c r="D17" s="369"/>
      <c r="E17" s="686"/>
      <c r="F17" s="369"/>
      <c r="G17" s="686"/>
      <c r="H17" s="780"/>
      <c r="I17" s="781"/>
      <c r="J17" s="781"/>
      <c r="K17" s="782"/>
      <c r="L17" s="483" t="str">
        <f t="shared" si="1"/>
        <v/>
      </c>
    </row>
    <row r="18" spans="1:12" x14ac:dyDescent="0.2">
      <c r="A18" s="706" t="s">
        <v>1215</v>
      </c>
      <c r="B18" s="700">
        <f>SUM(D18+F18)</f>
        <v>0</v>
      </c>
      <c r="C18" s="707">
        <f>+Statistic!C26</f>
        <v>0</v>
      </c>
      <c r="D18" s="369"/>
      <c r="E18" s="686"/>
      <c r="F18" s="369"/>
      <c r="G18" s="686"/>
      <c r="H18" s="780"/>
      <c r="I18" s="781"/>
      <c r="J18" s="781"/>
      <c r="K18" s="782"/>
      <c r="L18" s="483" t="str">
        <f t="shared" si="1"/>
        <v/>
      </c>
    </row>
    <row r="19" spans="1:12" x14ac:dyDescent="0.2">
      <c r="A19" s="706" t="s">
        <v>1216</v>
      </c>
      <c r="B19" s="700">
        <f>SUM(D19+F19)</f>
        <v>0</v>
      </c>
      <c r="C19" s="707">
        <f>+Statistic!C27</f>
        <v>0</v>
      </c>
      <c r="D19" s="369"/>
      <c r="E19" s="686"/>
      <c r="F19" s="369"/>
      <c r="G19" s="686"/>
      <c r="H19" s="780"/>
      <c r="I19" s="781"/>
      <c r="J19" s="781"/>
      <c r="K19" s="782"/>
      <c r="L19" s="483" t="str">
        <f t="shared" si="1"/>
        <v/>
      </c>
    </row>
    <row r="20" spans="1:12" s="716" customFormat="1" x14ac:dyDescent="0.2">
      <c r="A20" s="717" t="s">
        <v>1260</v>
      </c>
      <c r="B20" s="718">
        <f>SUM(B21:B25)</f>
        <v>0</v>
      </c>
      <c r="C20" s="719">
        <f>+Statistic!C28</f>
        <v>0</v>
      </c>
      <c r="D20" s="718">
        <f>SUM(D21:D25)</f>
        <v>0</v>
      </c>
      <c r="E20" s="718">
        <f>SUM(E21:E25)</f>
        <v>0</v>
      </c>
      <c r="F20" s="718">
        <f>SUM(F21:F25)</f>
        <v>0</v>
      </c>
      <c r="G20" s="718">
        <f>SUM(G21:G25)</f>
        <v>0</v>
      </c>
      <c r="H20" s="783"/>
      <c r="I20" s="784"/>
      <c r="J20" s="784"/>
      <c r="K20" s="785"/>
      <c r="L20" s="716" t="str">
        <f t="shared" si="1"/>
        <v/>
      </c>
    </row>
    <row r="21" spans="1:12" x14ac:dyDescent="0.2">
      <c r="A21" s="708" t="s">
        <v>959</v>
      </c>
      <c r="B21" s="700">
        <f>SUM(D21+F21)</f>
        <v>0</v>
      </c>
      <c r="C21" s="707">
        <f>+Statistic!C29</f>
        <v>0</v>
      </c>
      <c r="D21" s="369"/>
      <c r="E21" s="686"/>
      <c r="F21" s="369"/>
      <c r="G21" s="686"/>
      <c r="H21" s="780"/>
      <c r="I21" s="781"/>
      <c r="J21" s="781"/>
      <c r="K21" s="782"/>
      <c r="L21" s="483" t="str">
        <f t="shared" si="1"/>
        <v/>
      </c>
    </row>
    <row r="22" spans="1:12" x14ac:dyDescent="0.2">
      <c r="A22" s="708" t="s">
        <v>1217</v>
      </c>
      <c r="B22" s="700">
        <f>SUM(D22+F22)</f>
        <v>0</v>
      </c>
      <c r="C22" s="707">
        <f>+Statistic!C30</f>
        <v>0</v>
      </c>
      <c r="D22" s="369"/>
      <c r="E22" s="686"/>
      <c r="F22" s="369"/>
      <c r="G22" s="686"/>
      <c r="H22" s="780"/>
      <c r="I22" s="781"/>
      <c r="J22" s="781"/>
      <c r="K22" s="782"/>
      <c r="L22" s="483" t="str">
        <f t="shared" si="1"/>
        <v/>
      </c>
    </row>
    <row r="23" spans="1:12" x14ac:dyDescent="0.2">
      <c r="A23" s="708" t="s">
        <v>1218</v>
      </c>
      <c r="B23" s="700">
        <f>SUM(D23+F23)</f>
        <v>0</v>
      </c>
      <c r="C23" s="707">
        <f>+Statistic!C31</f>
        <v>0</v>
      </c>
      <c r="D23" s="369"/>
      <c r="E23" s="686"/>
      <c r="F23" s="369"/>
      <c r="G23" s="686"/>
      <c r="H23" s="780"/>
      <c r="I23" s="781"/>
      <c r="J23" s="781"/>
      <c r="K23" s="782"/>
      <c r="L23" s="483" t="str">
        <f t="shared" si="1"/>
        <v/>
      </c>
    </row>
    <row r="24" spans="1:12" x14ac:dyDescent="0.2">
      <c r="A24" s="708" t="s">
        <v>1219</v>
      </c>
      <c r="B24" s="700">
        <f>SUM(D24+F24)</f>
        <v>0</v>
      </c>
      <c r="C24" s="707">
        <f>+Statistic!C32</f>
        <v>0</v>
      </c>
      <c r="D24" s="369"/>
      <c r="E24" s="686"/>
      <c r="F24" s="369"/>
      <c r="G24" s="686"/>
      <c r="H24" s="780"/>
      <c r="I24" s="781"/>
      <c r="J24" s="781"/>
      <c r="K24" s="782"/>
      <c r="L24" s="483" t="str">
        <f t="shared" si="1"/>
        <v/>
      </c>
    </row>
    <row r="25" spans="1:12" x14ac:dyDescent="0.2">
      <c r="A25" s="708" t="s">
        <v>1220</v>
      </c>
      <c r="B25" s="700">
        <f>SUM(D25+F25)</f>
        <v>0</v>
      </c>
      <c r="C25" s="707">
        <f>+Statistic!C33</f>
        <v>0</v>
      </c>
      <c r="D25" s="369"/>
      <c r="E25" s="686"/>
      <c r="F25" s="369"/>
      <c r="G25" s="686"/>
      <c r="H25" s="786"/>
      <c r="I25" s="787"/>
      <c r="J25" s="787"/>
      <c r="K25" s="788"/>
      <c r="L25" s="483" t="str">
        <f t="shared" si="1"/>
        <v/>
      </c>
    </row>
    <row r="26" spans="1:12" s="716" customFormat="1" x14ac:dyDescent="0.2">
      <c r="A26" s="697" t="s">
        <v>1251</v>
      </c>
      <c r="B26" s="795" t="s">
        <v>1237</v>
      </c>
      <c r="C26" s="719">
        <f>+Statistic!C10</f>
        <v>0</v>
      </c>
      <c r="D26" s="789" t="s">
        <v>1237</v>
      </c>
      <c r="E26" s="719">
        <f>+Statistic!C12</f>
        <v>0</v>
      </c>
      <c r="F26" s="789" t="s">
        <v>1237</v>
      </c>
      <c r="G26" s="719">
        <f>+Statistic!C11</f>
        <v>0</v>
      </c>
      <c r="H26" s="789" t="s">
        <v>1237</v>
      </c>
      <c r="I26" s="719">
        <f>+Statistic!C13</f>
        <v>0</v>
      </c>
      <c r="J26" s="789" t="s">
        <v>1237</v>
      </c>
      <c r="K26" s="720"/>
      <c r="L26" s="716" t="str">
        <f t="shared" ref="L26:L35" si="2">IF(C26=E26+G26+I26,"","Ангилсан дүн Нийт дүнгээс зөрүүтэй")</f>
        <v/>
      </c>
    </row>
    <row r="27" spans="1:12" x14ac:dyDescent="0.2">
      <c r="A27" s="692" t="s">
        <v>1252</v>
      </c>
      <c r="B27" s="796"/>
      <c r="C27" s="700">
        <f>SUM(E27+G27+I27)</f>
        <v>0</v>
      </c>
      <c r="D27" s="790"/>
      <c r="E27" s="686"/>
      <c r="F27" s="790"/>
      <c r="G27" s="686"/>
      <c r="H27" s="790"/>
      <c r="I27" s="686"/>
      <c r="J27" s="790"/>
      <c r="K27" s="686"/>
      <c r="L27" s="483" t="str">
        <f t="shared" si="2"/>
        <v/>
      </c>
    </row>
    <row r="28" spans="1:12" x14ac:dyDescent="0.2">
      <c r="A28" s="709" t="s">
        <v>1253</v>
      </c>
      <c r="B28" s="700">
        <f>BALANCESHEET!G11*1000</f>
        <v>0</v>
      </c>
      <c r="C28" s="707">
        <f>+Statistic!C14</f>
        <v>0</v>
      </c>
      <c r="D28" s="369"/>
      <c r="E28" s="686"/>
      <c r="F28" s="369"/>
      <c r="G28" s="686"/>
      <c r="H28" s="369"/>
      <c r="I28" s="686"/>
      <c r="J28" s="369"/>
      <c r="K28" s="686"/>
      <c r="L28" s="483" t="str">
        <f t="shared" si="2"/>
        <v/>
      </c>
    </row>
    <row r="29" spans="1:12" x14ac:dyDescent="0.2">
      <c r="A29" s="710" t="s">
        <v>1254</v>
      </c>
      <c r="B29" s="700">
        <f>+BALANCESHEET!G11*1000</f>
        <v>0</v>
      </c>
      <c r="C29" s="700">
        <f>SUM(E29+G29+I29)</f>
        <v>0</v>
      </c>
      <c r="D29" s="369"/>
      <c r="E29" s="686"/>
      <c r="F29" s="369"/>
      <c r="G29" s="686"/>
      <c r="H29" s="369"/>
      <c r="I29" s="686"/>
      <c r="J29" s="369"/>
      <c r="K29" s="686"/>
      <c r="L29" s="483" t="str">
        <f t="shared" si="2"/>
        <v/>
      </c>
    </row>
    <row r="30" spans="1:12" x14ac:dyDescent="0.2">
      <c r="A30" s="709" t="s">
        <v>1255</v>
      </c>
      <c r="B30" s="700">
        <f>+BALANCESHEET!G39*1000</f>
        <v>0</v>
      </c>
      <c r="C30" s="707">
        <f>+Statistic!C15</f>
        <v>0</v>
      </c>
      <c r="D30" s="369"/>
      <c r="E30" s="686"/>
      <c r="F30" s="369"/>
      <c r="G30" s="686"/>
      <c r="H30" s="369"/>
      <c r="I30" s="686"/>
      <c r="J30" s="369"/>
      <c r="K30" s="686"/>
      <c r="L30" s="483" t="str">
        <f t="shared" si="2"/>
        <v/>
      </c>
    </row>
    <row r="31" spans="1:12" x14ac:dyDescent="0.2">
      <c r="A31" s="709" t="s">
        <v>1256</v>
      </c>
      <c r="B31" s="700">
        <f>+BALANCESHEET!C66*1000</f>
        <v>0</v>
      </c>
      <c r="C31" s="700">
        <f t="shared" ref="C31:C36" si="3">SUM(E31+G31+I31)</f>
        <v>0</v>
      </c>
      <c r="D31" s="369"/>
      <c r="E31" s="686"/>
      <c r="F31" s="369"/>
      <c r="G31" s="686"/>
      <c r="H31" s="369"/>
      <c r="I31" s="686"/>
      <c r="J31" s="369"/>
      <c r="K31" s="686"/>
      <c r="L31" s="483" t="str">
        <f>IF(C31=E31+G31+I31,"","Ангилсан дүн Нийт дүнгээс зөрүүтэй")</f>
        <v/>
      </c>
    </row>
    <row r="32" spans="1:12" x14ac:dyDescent="0.2">
      <c r="A32" s="709" t="s">
        <v>1257</v>
      </c>
      <c r="B32" s="711" t="s">
        <v>1237</v>
      </c>
      <c r="C32" s="700">
        <f t="shared" si="3"/>
        <v>0</v>
      </c>
      <c r="D32" s="711" t="s">
        <v>1237</v>
      </c>
      <c r="E32" s="686"/>
      <c r="F32" s="711" t="s">
        <v>1237</v>
      </c>
      <c r="G32" s="686"/>
      <c r="H32" s="711" t="s">
        <v>1237</v>
      </c>
      <c r="I32" s="686"/>
      <c r="J32" s="711" t="s">
        <v>1237</v>
      </c>
      <c r="K32" s="686"/>
      <c r="L32" s="483" t="str">
        <f t="shared" si="2"/>
        <v/>
      </c>
    </row>
    <row r="33" spans="1:12" x14ac:dyDescent="0.2">
      <c r="A33" s="710" t="s">
        <v>1221</v>
      </c>
      <c r="B33" s="700">
        <f>SUM(D33+F33+H33)</f>
        <v>0</v>
      </c>
      <c r="C33" s="700">
        <f t="shared" si="3"/>
        <v>0</v>
      </c>
      <c r="D33" s="369"/>
      <c r="E33" s="686"/>
      <c r="F33" s="369"/>
      <c r="G33" s="686"/>
      <c r="H33" s="369"/>
      <c r="I33" s="686"/>
      <c r="J33" s="369"/>
      <c r="K33" s="686"/>
      <c r="L33" s="483" t="str">
        <f t="shared" si="2"/>
        <v/>
      </c>
    </row>
    <row r="34" spans="1:12" x14ac:dyDescent="0.2">
      <c r="A34" s="710" t="s">
        <v>1240</v>
      </c>
      <c r="B34" s="700">
        <f>SUM(D34+F34+H34)</f>
        <v>0</v>
      </c>
      <c r="C34" s="700">
        <f t="shared" si="3"/>
        <v>0</v>
      </c>
      <c r="D34" s="369"/>
      <c r="E34" s="686"/>
      <c r="F34" s="369"/>
      <c r="G34" s="686"/>
      <c r="H34" s="369"/>
      <c r="I34" s="686"/>
      <c r="J34" s="369"/>
      <c r="K34" s="686"/>
    </row>
    <row r="35" spans="1:12" x14ac:dyDescent="0.2">
      <c r="A35" s="712" t="s">
        <v>1258</v>
      </c>
      <c r="B35" s="700">
        <f>SUM(D35+F35+H35)</f>
        <v>0</v>
      </c>
      <c r="C35" s="700">
        <f t="shared" si="3"/>
        <v>0</v>
      </c>
      <c r="D35" s="369"/>
      <c r="E35" s="686"/>
      <c r="F35" s="369"/>
      <c r="G35" s="686"/>
      <c r="H35" s="369"/>
      <c r="I35" s="686"/>
      <c r="J35" s="369"/>
      <c r="K35" s="686"/>
      <c r="L35" s="483" t="str">
        <f t="shared" si="2"/>
        <v/>
      </c>
    </row>
    <row r="36" spans="1:12" x14ac:dyDescent="0.2">
      <c r="A36" s="709" t="s">
        <v>1242</v>
      </c>
      <c r="B36" s="711" t="s">
        <v>1237</v>
      </c>
      <c r="C36" s="700">
        <f t="shared" si="3"/>
        <v>0</v>
      </c>
      <c r="D36" s="711" t="s">
        <v>1237</v>
      </c>
      <c r="E36" s="686"/>
      <c r="F36" s="711" t="s">
        <v>1237</v>
      </c>
      <c r="G36" s="686"/>
      <c r="H36" s="711" t="s">
        <v>1237</v>
      </c>
      <c r="I36" s="686"/>
      <c r="J36" s="711" t="s">
        <v>1237</v>
      </c>
      <c r="K36" s="119"/>
    </row>
    <row r="40" spans="1:12" x14ac:dyDescent="0.2">
      <c r="B40" s="763" t="s">
        <v>36</v>
      </c>
      <c r="C40" s="763"/>
      <c r="D40" s="513"/>
    </row>
    <row r="41" spans="1:12" x14ac:dyDescent="0.2">
      <c r="B41" s="517"/>
      <c r="C41" s="682"/>
      <c r="D41" s="513"/>
    </row>
    <row r="42" spans="1:12" x14ac:dyDescent="0.2">
      <c r="B42" s="683" t="s">
        <v>37</v>
      </c>
      <c r="C42" s="683"/>
      <c r="D42" s="684"/>
    </row>
    <row r="43" spans="1:12" x14ac:dyDescent="0.2">
      <c r="B43" s="685"/>
      <c r="C43" s="60"/>
      <c r="D43" s="513"/>
    </row>
    <row r="44" spans="1:12" x14ac:dyDescent="0.2">
      <c r="B44" s="685"/>
      <c r="C44" s="513" t="str">
        <f>+Statistic!B60</f>
        <v>ГҮЙЦЭТГЭХ ЗАХИРАЛ.................................................................//</v>
      </c>
      <c r="D44" s="513"/>
      <c r="E44" s="513"/>
    </row>
    <row r="45" spans="1:12" x14ac:dyDescent="0.2">
      <c r="B45" s="685"/>
      <c r="C45" s="693"/>
      <c r="D45" s="693"/>
    </row>
    <row r="46" spans="1:12" x14ac:dyDescent="0.2">
      <c r="B46" s="685"/>
      <c r="C46" s="513" t="str">
        <f>+Statistic!B62</f>
        <v>ЕРӨНХИЙ НЯГТЛАН БОДОГЧ....................................................//</v>
      </c>
      <c r="D46" s="513"/>
      <c r="E46" s="513"/>
    </row>
  </sheetData>
  <sheetProtection algorithmName="SHA-512" hashValue="lCl4QYLhrEt3yTxYYaUkAsJoP0i3I8FavsNLg1w7IlZO8T1Q9u8kvY+jvOh6wNjT0q8TV2IzlCD/0YRubZPJLw==" saltValue="DXkb8KW2EU6od79XAgNCRg=="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483" customWidth="1"/>
    <col min="2" max="2" width="14.42578125" style="483" customWidth="1"/>
    <col min="3" max="3" width="21.42578125" style="483" customWidth="1"/>
    <col min="4" max="4" width="14.42578125" style="483" customWidth="1"/>
    <col min="5" max="5" width="21.42578125" style="483" customWidth="1"/>
    <col min="6" max="6" width="10.28515625" style="483" customWidth="1"/>
    <col min="7" max="7" width="14.42578125" style="483" customWidth="1"/>
    <col min="8" max="9" width="21.42578125" style="483" customWidth="1"/>
    <col min="10" max="10" width="14.42578125" style="483" customWidth="1"/>
    <col min="11" max="14" width="19.28515625" style="483" customWidth="1"/>
    <col min="15" max="16384" width="9.140625" style="483"/>
  </cols>
  <sheetData>
    <row r="1" spans="1:15" x14ac:dyDescent="0.2">
      <c r="A1" s="520"/>
      <c r="C1" s="679"/>
    </row>
    <row r="2" spans="1:15" x14ac:dyDescent="0.2">
      <c r="A2" s="768" t="s">
        <v>1235</v>
      </c>
      <c r="B2" s="768"/>
      <c r="C2" s="768"/>
      <c r="D2" s="768"/>
      <c r="E2" s="768"/>
      <c r="F2" s="768"/>
      <c r="G2" s="768"/>
      <c r="H2" s="768"/>
      <c r="I2" s="768"/>
      <c r="J2" s="768"/>
      <c r="K2" s="768"/>
      <c r="L2" s="768"/>
      <c r="M2" s="768"/>
      <c r="N2" s="768"/>
    </row>
    <row r="3" spans="1:15" x14ac:dyDescent="0.2">
      <c r="A3" s="769" t="str">
        <f>+Statistic!A3</f>
        <v>БАНК БУС САНХҮҮГИЙН БАЙГУУЛЛАГЫН НЭР</v>
      </c>
      <c r="B3" s="769"/>
      <c r="C3" s="769"/>
      <c r="D3" s="769"/>
      <c r="E3" s="769"/>
      <c r="F3" s="769"/>
      <c r="G3" s="769"/>
      <c r="H3" s="769"/>
      <c r="I3" s="769"/>
      <c r="J3" s="769"/>
      <c r="K3" s="769"/>
      <c r="L3" s="769"/>
      <c r="M3" s="769"/>
      <c r="N3" s="769"/>
    </row>
    <row r="4" spans="1:15" x14ac:dyDescent="0.2">
      <c r="A4" s="770" t="str">
        <f>+Statistic!A4</f>
        <v>БАНК БУС САНХҮҮГИЙН БАЙГУУЛЛАГА</v>
      </c>
      <c r="B4" s="770"/>
      <c r="C4" s="770"/>
      <c r="D4" s="770"/>
      <c r="E4" s="770"/>
      <c r="F4" s="770"/>
      <c r="G4" s="770"/>
      <c r="H4" s="770"/>
      <c r="I4" s="770"/>
      <c r="J4" s="770"/>
      <c r="K4" s="770"/>
      <c r="L4" s="770"/>
      <c r="M4" s="770"/>
      <c r="N4" s="770"/>
    </row>
    <row r="5" spans="1:15" x14ac:dyDescent="0.2">
      <c r="A5" s="677"/>
      <c r="B5" s="677"/>
      <c r="C5" s="677"/>
    </row>
    <row r="6" spans="1:15" x14ac:dyDescent="0.2">
      <c r="A6" s="677"/>
      <c r="B6" s="677"/>
      <c r="C6" s="677"/>
    </row>
    <row r="7" spans="1:15" x14ac:dyDescent="0.2">
      <c r="A7" s="773">
        <f>+Statistic!A7</f>
        <v>44742</v>
      </c>
      <c r="B7" s="773"/>
      <c r="C7" s="680"/>
      <c r="N7" s="721" t="s">
        <v>1279</v>
      </c>
    </row>
    <row r="8" spans="1:15" ht="12.75" customHeight="1" x14ac:dyDescent="0.2">
      <c r="A8" s="800" t="s">
        <v>1278</v>
      </c>
      <c r="B8" s="803" t="s">
        <v>1230</v>
      </c>
      <c r="C8" s="803"/>
      <c r="D8" s="803" t="s">
        <v>1232</v>
      </c>
      <c r="E8" s="803"/>
      <c r="F8" s="800" t="s">
        <v>1067</v>
      </c>
      <c r="G8" s="803" t="s">
        <v>1233</v>
      </c>
      <c r="H8" s="803"/>
      <c r="I8" s="800" t="s">
        <v>1098</v>
      </c>
      <c r="J8" s="803" t="s">
        <v>1234</v>
      </c>
      <c r="K8" s="803"/>
      <c r="L8" s="803"/>
      <c r="M8" s="803"/>
      <c r="N8" s="803"/>
    </row>
    <row r="9" spans="1:15" ht="12.75" customHeight="1" x14ac:dyDescent="0.2">
      <c r="A9" s="801"/>
      <c r="B9" s="803" t="s">
        <v>1212</v>
      </c>
      <c r="C9" s="803" t="s">
        <v>1231</v>
      </c>
      <c r="D9" s="803" t="s">
        <v>1212</v>
      </c>
      <c r="E9" s="803" t="s">
        <v>1231</v>
      </c>
      <c r="F9" s="801"/>
      <c r="G9" s="803" t="s">
        <v>1212</v>
      </c>
      <c r="H9" s="803" t="s">
        <v>1231</v>
      </c>
      <c r="I9" s="801"/>
      <c r="J9" s="803" t="s">
        <v>1212</v>
      </c>
      <c r="K9" s="803" t="s">
        <v>1231</v>
      </c>
      <c r="L9" s="803"/>
      <c r="M9" s="803"/>
      <c r="N9" s="803"/>
    </row>
    <row r="10" spans="1:15" ht="15" customHeight="1" x14ac:dyDescent="0.2">
      <c r="A10" s="802"/>
      <c r="B10" s="803"/>
      <c r="C10" s="803"/>
      <c r="D10" s="803"/>
      <c r="E10" s="803"/>
      <c r="F10" s="802"/>
      <c r="G10" s="803"/>
      <c r="H10" s="803"/>
      <c r="I10" s="802"/>
      <c r="J10" s="803"/>
      <c r="K10" s="727" t="s">
        <v>799</v>
      </c>
      <c r="L10" s="727" t="s">
        <v>470</v>
      </c>
      <c r="M10" s="727" t="s">
        <v>1164</v>
      </c>
      <c r="N10" s="727" t="s">
        <v>1066</v>
      </c>
    </row>
    <row r="11" spans="1:15" x14ac:dyDescent="0.2">
      <c r="A11" s="713" t="s">
        <v>1222</v>
      </c>
      <c r="B11" s="729"/>
      <c r="C11" s="730"/>
      <c r="D11" s="729"/>
      <c r="E11" s="730"/>
      <c r="F11" s="731"/>
      <c r="G11" s="729"/>
      <c r="H11" s="730"/>
      <c r="I11" s="730"/>
      <c r="J11" s="729"/>
      <c r="K11" s="732">
        <f>+C11+E11-H11+I11</f>
        <v>0</v>
      </c>
      <c r="L11" s="730"/>
      <c r="M11" s="730"/>
      <c r="N11" s="730"/>
      <c r="O11" s="714" t="str">
        <f>IF(K11=SUM(L11:N11),"","Нийт зээлийн дүн ангиллын дүнгээс зөрүүтэй")</f>
        <v/>
      </c>
    </row>
    <row r="12" spans="1:15" x14ac:dyDescent="0.2">
      <c r="A12" s="713" t="s">
        <v>1223</v>
      </c>
      <c r="B12" s="729"/>
      <c r="C12" s="730"/>
      <c r="D12" s="729"/>
      <c r="E12" s="730"/>
      <c r="F12" s="731"/>
      <c r="G12" s="729"/>
      <c r="H12" s="730"/>
      <c r="I12" s="730"/>
      <c r="J12" s="729"/>
      <c r="K12" s="732">
        <f t="shared" ref="K12:K21" si="0">+C12+E12-H12+I12</f>
        <v>0</v>
      </c>
      <c r="L12" s="730"/>
      <c r="M12" s="730"/>
      <c r="N12" s="730"/>
      <c r="O12" s="714" t="str">
        <f t="shared" ref="O12:O22" si="1">IF(K12=SUM(L12:N12),"","Нийт зээлийн дүн ангиллын дүнгээс зөрүүтэй")</f>
        <v/>
      </c>
    </row>
    <row r="13" spans="1:15" x14ac:dyDescent="0.2">
      <c r="A13" s="713" t="s">
        <v>1224</v>
      </c>
      <c r="B13" s="729"/>
      <c r="C13" s="730"/>
      <c r="D13" s="729"/>
      <c r="E13" s="730"/>
      <c r="F13" s="731"/>
      <c r="G13" s="729"/>
      <c r="H13" s="730"/>
      <c r="I13" s="730"/>
      <c r="J13" s="729"/>
      <c r="K13" s="732">
        <f t="shared" si="0"/>
        <v>0</v>
      </c>
      <c r="L13" s="730"/>
      <c r="M13" s="730"/>
      <c r="N13" s="730"/>
      <c r="O13" s="714" t="str">
        <f t="shared" si="1"/>
        <v/>
      </c>
    </row>
    <row r="14" spans="1:15" x14ac:dyDescent="0.2">
      <c r="A14" s="713" t="s">
        <v>1225</v>
      </c>
      <c r="B14" s="729"/>
      <c r="C14" s="730"/>
      <c r="D14" s="729"/>
      <c r="E14" s="730"/>
      <c r="F14" s="731"/>
      <c r="G14" s="729"/>
      <c r="H14" s="730"/>
      <c r="I14" s="730"/>
      <c r="J14" s="729"/>
      <c r="K14" s="732">
        <f t="shared" si="0"/>
        <v>0</v>
      </c>
      <c r="L14" s="730"/>
      <c r="M14" s="730"/>
      <c r="N14" s="730"/>
      <c r="O14" s="714" t="str">
        <f t="shared" si="1"/>
        <v/>
      </c>
    </row>
    <row r="15" spans="1:15" ht="25.5" x14ac:dyDescent="0.2">
      <c r="A15" s="713" t="s">
        <v>1226</v>
      </c>
      <c r="B15" s="729"/>
      <c r="C15" s="730"/>
      <c r="D15" s="729"/>
      <c r="E15" s="730"/>
      <c r="F15" s="731"/>
      <c r="G15" s="729"/>
      <c r="H15" s="730"/>
      <c r="I15" s="730"/>
      <c r="J15" s="729"/>
      <c r="K15" s="732">
        <f t="shared" si="0"/>
        <v>0</v>
      </c>
      <c r="L15" s="730"/>
      <c r="M15" s="730"/>
      <c r="N15" s="730"/>
      <c r="O15" s="714" t="str">
        <f t="shared" si="1"/>
        <v/>
      </c>
    </row>
    <row r="16" spans="1:15" x14ac:dyDescent="0.2">
      <c r="A16" s="713" t="s">
        <v>1227</v>
      </c>
      <c r="B16" s="729"/>
      <c r="C16" s="730"/>
      <c r="D16" s="729"/>
      <c r="E16" s="730"/>
      <c r="F16" s="731"/>
      <c r="G16" s="729"/>
      <c r="H16" s="730"/>
      <c r="I16" s="730"/>
      <c r="J16" s="729"/>
      <c r="K16" s="732">
        <f t="shared" si="0"/>
        <v>0</v>
      </c>
      <c r="L16" s="730"/>
      <c r="M16" s="730"/>
      <c r="N16" s="730"/>
      <c r="O16" s="714" t="str">
        <f t="shared" si="1"/>
        <v/>
      </c>
    </row>
    <row r="17" spans="1:15" ht="38.25" x14ac:dyDescent="0.2">
      <c r="A17" s="713" t="s">
        <v>1228</v>
      </c>
      <c r="B17" s="729"/>
      <c r="C17" s="730"/>
      <c r="D17" s="729"/>
      <c r="E17" s="730"/>
      <c r="F17" s="731"/>
      <c r="G17" s="729"/>
      <c r="H17" s="730"/>
      <c r="I17" s="730"/>
      <c r="J17" s="729"/>
      <c r="K17" s="732">
        <f t="shared" si="0"/>
        <v>0</v>
      </c>
      <c r="L17" s="730"/>
      <c r="M17" s="730"/>
      <c r="N17" s="730"/>
      <c r="O17" s="714" t="str">
        <f t="shared" si="1"/>
        <v/>
      </c>
    </row>
    <row r="18" spans="1:15" x14ac:dyDescent="0.2">
      <c r="A18" s="713" t="s">
        <v>1283</v>
      </c>
      <c r="B18" s="729"/>
      <c r="C18" s="730"/>
      <c r="D18" s="729"/>
      <c r="E18" s="730"/>
      <c r="F18" s="731"/>
      <c r="G18" s="729"/>
      <c r="H18" s="730"/>
      <c r="I18" s="730"/>
      <c r="J18" s="729"/>
      <c r="K18" s="732">
        <f t="shared" si="0"/>
        <v>0</v>
      </c>
      <c r="L18" s="730"/>
      <c r="M18" s="730"/>
      <c r="N18" s="730"/>
      <c r="O18" s="714" t="str">
        <f t="shared" si="1"/>
        <v/>
      </c>
    </row>
    <row r="19" spans="1:15" ht="25.5" x14ac:dyDescent="0.2">
      <c r="A19" s="728" t="s">
        <v>1284</v>
      </c>
      <c r="B19" s="733"/>
      <c r="C19" s="733"/>
      <c r="D19" s="733"/>
      <c r="E19" s="733"/>
      <c r="F19" s="733"/>
      <c r="G19" s="733"/>
      <c r="H19" s="733"/>
      <c r="I19" s="733"/>
      <c r="J19" s="733"/>
      <c r="K19" s="734">
        <f t="shared" si="0"/>
        <v>0</v>
      </c>
      <c r="L19" s="733"/>
      <c r="M19" s="733"/>
      <c r="N19" s="733"/>
      <c r="O19" s="714"/>
    </row>
    <row r="20" spans="1:15" ht="25.5" x14ac:dyDescent="0.2">
      <c r="A20" s="728" t="s">
        <v>1285</v>
      </c>
      <c r="B20" s="733"/>
      <c r="C20" s="733"/>
      <c r="D20" s="733"/>
      <c r="E20" s="733"/>
      <c r="F20" s="733"/>
      <c r="G20" s="733"/>
      <c r="H20" s="733"/>
      <c r="I20" s="733"/>
      <c r="J20" s="733"/>
      <c r="K20" s="734">
        <f t="shared" si="0"/>
        <v>0</v>
      </c>
      <c r="L20" s="733"/>
      <c r="M20" s="733"/>
      <c r="N20" s="733"/>
      <c r="O20" s="714"/>
    </row>
    <row r="21" spans="1:15" ht="25.5" x14ac:dyDescent="0.2">
      <c r="A21" s="728" t="s">
        <v>1286</v>
      </c>
      <c r="B21" s="733"/>
      <c r="C21" s="733"/>
      <c r="D21" s="733"/>
      <c r="E21" s="733"/>
      <c r="F21" s="733"/>
      <c r="G21" s="733"/>
      <c r="H21" s="733"/>
      <c r="I21" s="733"/>
      <c r="J21" s="733"/>
      <c r="K21" s="734">
        <f t="shared" si="0"/>
        <v>0</v>
      </c>
      <c r="L21" s="733"/>
      <c r="M21" s="733"/>
      <c r="N21" s="733"/>
      <c r="O21" s="714"/>
    </row>
    <row r="22" spans="1:15" s="716" customFormat="1" x14ac:dyDescent="0.2">
      <c r="A22" s="715" t="s">
        <v>1229</v>
      </c>
      <c r="B22" s="735">
        <f>SUM(B11:B18)</f>
        <v>0</v>
      </c>
      <c r="C22" s="735">
        <f>SUM(C11:C18)</f>
        <v>0</v>
      </c>
      <c r="D22" s="735">
        <f t="shared" ref="D22:N22" si="2">SUM(D11:D18)</f>
        <v>0</v>
      </c>
      <c r="E22" s="735">
        <f t="shared" si="2"/>
        <v>0</v>
      </c>
      <c r="F22" s="735" t="e">
        <f>AVERAGE(F11:F18)</f>
        <v>#DIV/0!</v>
      </c>
      <c r="G22" s="735">
        <f t="shared" si="2"/>
        <v>0</v>
      </c>
      <c r="H22" s="735">
        <f t="shared" si="2"/>
        <v>0</v>
      </c>
      <c r="I22" s="735">
        <f t="shared" si="2"/>
        <v>0</v>
      </c>
      <c r="J22" s="735">
        <f t="shared" si="2"/>
        <v>0</v>
      </c>
      <c r="K22" s="735">
        <f>SUM(K11:K18)</f>
        <v>0</v>
      </c>
      <c r="L22" s="735">
        <f t="shared" si="2"/>
        <v>0</v>
      </c>
      <c r="M22" s="735">
        <f t="shared" si="2"/>
        <v>0</v>
      </c>
      <c r="N22" s="735">
        <f t="shared" si="2"/>
        <v>0</v>
      </c>
      <c r="O22" s="714" t="str">
        <f t="shared" si="1"/>
        <v/>
      </c>
    </row>
    <row r="24" spans="1:15" ht="15" x14ac:dyDescent="0.25">
      <c r="A24" s="804" t="s">
        <v>1280</v>
      </c>
      <c r="B24" s="804"/>
      <c r="C24" s="804"/>
      <c r="D24" s="804"/>
      <c r="E24" s="804"/>
      <c r="F24" s="804"/>
      <c r="G24" s="804"/>
      <c r="H24" s="804"/>
      <c r="I24" s="804"/>
      <c r="J24" s="804"/>
      <c r="K24" s="804"/>
      <c r="L24" s="804"/>
      <c r="M24" s="804"/>
      <c r="N24" s="804"/>
    </row>
    <row r="27" spans="1:15" x14ac:dyDescent="0.2">
      <c r="B27" s="763" t="s">
        <v>36</v>
      </c>
      <c r="C27" s="763"/>
      <c r="D27" s="513"/>
    </row>
    <row r="28" spans="1:15" x14ac:dyDescent="0.2">
      <c r="B28" s="517"/>
      <c r="C28" s="682"/>
      <c r="D28" s="513"/>
    </row>
    <row r="29" spans="1:15" x14ac:dyDescent="0.2">
      <c r="B29" s="683" t="s">
        <v>37</v>
      </c>
      <c r="C29" s="683"/>
      <c r="D29" s="684"/>
    </row>
    <row r="30" spans="1:15" x14ac:dyDescent="0.2">
      <c r="B30" s="685"/>
      <c r="C30" s="60"/>
      <c r="D30" s="513"/>
    </row>
    <row r="31" spans="1:15" x14ac:dyDescent="0.2">
      <c r="B31" s="685"/>
      <c r="C31" s="513" t="str">
        <f>+Statistic!B60</f>
        <v>ГҮЙЦЭТГЭХ ЗАХИРАЛ.................................................................//</v>
      </c>
      <c r="D31" s="513"/>
    </row>
    <row r="32" spans="1:15" x14ac:dyDescent="0.2">
      <c r="B32" s="685"/>
      <c r="C32" s="726"/>
      <c r="D32" s="726"/>
    </row>
    <row r="33" spans="2:4" x14ac:dyDescent="0.2">
      <c r="B33" s="685"/>
      <c r="C33" s="513" t="str">
        <f>+Statistic!B62</f>
        <v>ЕРӨНХИЙ НЯГТЛАН БОДОГЧ....................................................//</v>
      </c>
      <c r="D33" s="513"/>
    </row>
  </sheetData>
  <sheetProtection password="CA9F" sheet="1" objects="1" scenarios="1"/>
  <mergeCells count="21">
    <mergeCell ref="B27:C27"/>
    <mergeCell ref="B9:B10"/>
    <mergeCell ref="C9:C10"/>
    <mergeCell ref="D9:D10"/>
    <mergeCell ref="E9:E10"/>
    <mergeCell ref="A24:N24"/>
    <mergeCell ref="H9:H10"/>
    <mergeCell ref="J9:J10"/>
    <mergeCell ref="K9:N9"/>
    <mergeCell ref="F8:F10"/>
    <mergeCell ref="I8:I10"/>
    <mergeCell ref="A3:N3"/>
    <mergeCell ref="A4:N4"/>
    <mergeCell ref="A7:B7"/>
    <mergeCell ref="A2:N2"/>
    <mergeCell ref="A8:A10"/>
    <mergeCell ref="B8:C8"/>
    <mergeCell ref="D8:E8"/>
    <mergeCell ref="G8:H8"/>
    <mergeCell ref="J8:N8"/>
    <mergeCell ref="G9:G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78" t="s">
        <v>1263</v>
      </c>
    </row>
  </sheetData>
  <sheetProtection algorithmName="SHA-512" hashValue="emCwTR1vLvdtZXoZAEJozmX1G7fGvTqJIcRGFfMB1mTrPERccpzJ12W41fR4ztjLcFl+ipeyW/GA/bIJmuB/kw==" saltValue="ULDasfWKmTJPClqOzL2UFQ=="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election activeCell="A6" sqref="A6:B6"/>
    </sheetView>
  </sheetViews>
  <sheetFormatPr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16" t="s">
        <v>44</v>
      </c>
      <c r="B2" s="816"/>
      <c r="C2" s="816"/>
      <c r="D2" s="816"/>
      <c r="E2" s="816"/>
      <c r="F2" s="816"/>
      <c r="G2" s="816"/>
      <c r="H2" s="816"/>
    </row>
    <row r="3" spans="1:9" x14ac:dyDescent="0.25">
      <c r="A3" s="817" t="str">
        <f>+Statistic!A3</f>
        <v>БАНК БУС САНХҮҮГИЙН БАЙГУУЛЛАГЫН НЭР</v>
      </c>
      <c r="B3" s="817"/>
      <c r="C3" s="817"/>
      <c r="D3" s="817"/>
      <c r="E3" s="817"/>
      <c r="F3" s="817"/>
      <c r="G3" s="817"/>
      <c r="H3" s="817"/>
    </row>
    <row r="4" spans="1:9" ht="13.5" customHeight="1" x14ac:dyDescent="0.25">
      <c r="A4" s="818" t="s">
        <v>1</v>
      </c>
      <c r="B4" s="818"/>
      <c r="C4" s="818"/>
      <c r="D4" s="818"/>
      <c r="E4" s="818"/>
      <c r="F4" s="818"/>
      <c r="G4" s="818"/>
      <c r="H4" s="818"/>
    </row>
    <row r="5" spans="1:9" ht="13.5" customHeight="1" x14ac:dyDescent="0.25">
      <c r="A5" s="54"/>
      <c r="B5" s="54"/>
      <c r="C5" s="54"/>
      <c r="D5" s="54"/>
      <c r="E5" s="54"/>
      <c r="F5" s="54"/>
      <c r="G5" s="54"/>
      <c r="H5" s="54"/>
    </row>
    <row r="6" spans="1:9" x14ac:dyDescent="0.25">
      <c r="A6" s="819">
        <f>+Statistic!A7</f>
        <v>44742</v>
      </c>
      <c r="B6" s="819"/>
      <c r="H6" s="361" t="s">
        <v>45</v>
      </c>
    </row>
    <row r="7" spans="1:9" ht="15.75" customHeight="1" x14ac:dyDescent="0.25">
      <c r="A7" s="756" t="s">
        <v>46</v>
      </c>
      <c r="B7" s="756"/>
      <c r="C7" s="820" t="s">
        <v>47</v>
      </c>
      <c r="D7" s="821"/>
      <c r="E7" s="756" t="s">
        <v>48</v>
      </c>
      <c r="F7" s="756"/>
      <c r="G7" s="820" t="s">
        <v>47</v>
      </c>
      <c r="H7" s="821"/>
    </row>
    <row r="8" spans="1:9" x14ac:dyDescent="0.25">
      <c r="A8" s="756"/>
      <c r="B8" s="756"/>
      <c r="C8" s="820"/>
      <c r="D8" s="821"/>
      <c r="E8" s="756"/>
      <c r="F8" s="756"/>
      <c r="G8" s="820"/>
      <c r="H8" s="821"/>
    </row>
    <row r="9" spans="1:9" ht="15.75" customHeight="1" x14ac:dyDescent="0.25">
      <c r="A9" s="806" t="s">
        <v>49</v>
      </c>
      <c r="B9" s="806"/>
      <c r="C9" s="806"/>
      <c r="D9" s="451">
        <f>SUM(D10,D34,D52,D136,D155,D174,D186,D230)</f>
        <v>0</v>
      </c>
      <c r="E9" s="806" t="s">
        <v>50</v>
      </c>
      <c r="F9" s="806"/>
      <c r="G9" s="806"/>
      <c r="H9" s="451">
        <f>SUM(H10,H14,H59,H75,H78,H105)</f>
        <v>0</v>
      </c>
    </row>
    <row r="10" spans="1:9" ht="15.75" customHeight="1" x14ac:dyDescent="0.25">
      <c r="A10" s="807" t="s">
        <v>51</v>
      </c>
      <c r="B10" s="807"/>
      <c r="C10" s="452"/>
      <c r="D10" s="451">
        <f>SUM(D11,D18,D23,D28,D31)</f>
        <v>0</v>
      </c>
      <c r="E10" s="807" t="s">
        <v>52</v>
      </c>
      <c r="F10" s="807"/>
      <c r="G10" s="455"/>
      <c r="H10" s="451">
        <f>H11</f>
        <v>0</v>
      </c>
    </row>
    <row r="11" spans="1:9" x14ac:dyDescent="0.25">
      <c r="A11" s="453"/>
      <c r="B11" s="454" t="s">
        <v>53</v>
      </c>
      <c r="C11" s="455"/>
      <c r="D11" s="456">
        <f>+SUM(D12:D17)</f>
        <v>0</v>
      </c>
      <c r="E11" s="444"/>
      <c r="F11" s="472" t="s">
        <v>54</v>
      </c>
      <c r="G11" s="455"/>
      <c r="H11" s="456">
        <f>SUM(H12:H13)</f>
        <v>0</v>
      </c>
      <c r="I11" s="648" t="str">
        <f>IF(H11&gt;0,IF(Trust!J28&gt;0,"","Итгэлцлийн үйлчилгээний төвлөрөлийн тайланг нөхнө үү!"),"")</f>
        <v/>
      </c>
    </row>
    <row r="12" spans="1:9" x14ac:dyDescent="0.25">
      <c r="A12" s="444"/>
      <c r="B12" s="457" t="s">
        <v>55</v>
      </c>
      <c r="C12" s="441">
        <v>1101</v>
      </c>
      <c r="D12" s="458"/>
      <c r="E12" s="444"/>
      <c r="F12" s="463" t="s">
        <v>56</v>
      </c>
      <c r="G12" s="441">
        <v>2101</v>
      </c>
      <c r="H12" s="458"/>
    </row>
    <row r="13" spans="1:9" x14ac:dyDescent="0.25">
      <c r="A13" s="444"/>
      <c r="B13" s="457" t="s">
        <v>57</v>
      </c>
      <c r="C13" s="441">
        <v>1102</v>
      </c>
      <c r="D13" s="458"/>
      <c r="E13" s="444"/>
      <c r="F13" s="463" t="s">
        <v>58</v>
      </c>
      <c r="G13" s="441">
        <v>2102</v>
      </c>
      <c r="H13" s="458"/>
    </row>
    <row r="14" spans="1:9" ht="28.5" customHeight="1" x14ac:dyDescent="0.25">
      <c r="A14" s="444"/>
      <c r="B14" s="457" t="s">
        <v>59</v>
      </c>
      <c r="C14" s="441">
        <v>1103</v>
      </c>
      <c r="D14" s="458"/>
      <c r="E14" s="808" t="s">
        <v>60</v>
      </c>
      <c r="F14" s="808"/>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61</v>
      </c>
      <c r="C15" s="441">
        <v>1104</v>
      </c>
      <c r="D15" s="458"/>
      <c r="E15" s="463"/>
      <c r="F15" s="473" t="s">
        <v>62</v>
      </c>
      <c r="G15" s="455"/>
      <c r="H15" s="451">
        <f>SUM(H16,H23,H30,H37)</f>
        <v>0</v>
      </c>
    </row>
    <row r="16" spans="1:9" x14ac:dyDescent="0.25">
      <c r="A16" s="444"/>
      <c r="B16" s="457" t="s">
        <v>63</v>
      </c>
      <c r="C16" s="441">
        <v>1105</v>
      </c>
      <c r="D16" s="458"/>
      <c r="E16" s="444"/>
      <c r="F16" s="472" t="s">
        <v>64</v>
      </c>
      <c r="G16" s="452"/>
      <c r="H16" s="451">
        <f>SUM(H17,H20)</f>
        <v>0</v>
      </c>
    </row>
    <row r="17" spans="1:8" x14ac:dyDescent="0.25">
      <c r="A17" s="444"/>
      <c r="B17" s="457" t="s">
        <v>65</v>
      </c>
      <c r="C17" s="441">
        <v>1106</v>
      </c>
      <c r="D17" s="458"/>
      <c r="E17" s="444"/>
      <c r="F17" s="472" t="s">
        <v>66</v>
      </c>
      <c r="G17" s="455"/>
      <c r="H17" s="456">
        <f>SUM(H18:H19)</f>
        <v>0</v>
      </c>
    </row>
    <row r="18" spans="1:8" x14ac:dyDescent="0.25">
      <c r="A18" s="444"/>
      <c r="B18" s="454" t="s">
        <v>67</v>
      </c>
      <c r="C18" s="455"/>
      <c r="D18" s="456">
        <f>+SUM(D19:D22)</f>
        <v>0</v>
      </c>
      <c r="E18" s="444"/>
      <c r="F18" s="463" t="s">
        <v>68</v>
      </c>
      <c r="G18" s="441">
        <v>2201</v>
      </c>
      <c r="H18" s="458"/>
    </row>
    <row r="19" spans="1:8" x14ac:dyDescent="0.25">
      <c r="A19" s="444"/>
      <c r="B19" s="457" t="s">
        <v>69</v>
      </c>
      <c r="C19" s="441">
        <v>1121</v>
      </c>
      <c r="D19" s="458"/>
      <c r="E19" s="444"/>
      <c r="F19" s="463" t="s">
        <v>70</v>
      </c>
      <c r="G19" s="441">
        <v>2203</v>
      </c>
      <c r="H19" s="458"/>
    </row>
    <row r="20" spans="1:8" x14ac:dyDescent="0.25">
      <c r="A20" s="444"/>
      <c r="B20" s="457" t="s">
        <v>71</v>
      </c>
      <c r="C20" s="441">
        <v>1122</v>
      </c>
      <c r="D20" s="458"/>
      <c r="E20" s="444"/>
      <c r="F20" s="472" t="s">
        <v>72</v>
      </c>
      <c r="G20" s="455"/>
      <c r="H20" s="456">
        <f>SUM(H21:H22)</f>
        <v>0</v>
      </c>
    </row>
    <row r="21" spans="1:8" x14ac:dyDescent="0.25">
      <c r="A21" s="444"/>
      <c r="B21" s="457" t="s">
        <v>73</v>
      </c>
      <c r="C21" s="441">
        <v>1123</v>
      </c>
      <c r="D21" s="458"/>
      <c r="E21" s="444"/>
      <c r="F21" s="463" t="s">
        <v>68</v>
      </c>
      <c r="G21" s="441">
        <v>2202</v>
      </c>
      <c r="H21" s="458"/>
    </row>
    <row r="22" spans="1:8" x14ac:dyDescent="0.25">
      <c r="A22" s="444"/>
      <c r="B22" s="457" t="s">
        <v>74</v>
      </c>
      <c r="C22" s="441">
        <v>1124</v>
      </c>
      <c r="D22" s="458"/>
      <c r="E22" s="444"/>
      <c r="F22" s="463" t="s">
        <v>70</v>
      </c>
      <c r="G22" s="441">
        <v>2204</v>
      </c>
      <c r="H22" s="458"/>
    </row>
    <row r="23" spans="1:8" x14ac:dyDescent="0.25">
      <c r="A23" s="444"/>
      <c r="B23" s="454" t="s">
        <v>75</v>
      </c>
      <c r="C23" s="455"/>
      <c r="D23" s="456">
        <f>SUM(D24:D27)</f>
        <v>0</v>
      </c>
      <c r="E23" s="444"/>
      <c r="F23" s="472" t="s">
        <v>76</v>
      </c>
      <c r="G23" s="455"/>
      <c r="H23" s="451">
        <f>SUM(H24,H27)</f>
        <v>0</v>
      </c>
    </row>
    <row r="24" spans="1:8" x14ac:dyDescent="0.25">
      <c r="A24" s="444"/>
      <c r="B24" s="457" t="s">
        <v>77</v>
      </c>
      <c r="C24" s="441">
        <v>1131</v>
      </c>
      <c r="D24" s="458"/>
      <c r="E24" s="444"/>
      <c r="F24" s="472" t="s">
        <v>78</v>
      </c>
      <c r="G24" s="455"/>
      <c r="H24" s="456">
        <f>SUM(H25:H26)</f>
        <v>0</v>
      </c>
    </row>
    <row r="25" spans="1:8" x14ac:dyDescent="0.25">
      <c r="A25" s="444"/>
      <c r="B25" s="457" t="s">
        <v>79</v>
      </c>
      <c r="C25" s="441">
        <v>1132</v>
      </c>
      <c r="D25" s="458"/>
      <c r="E25" s="444"/>
      <c r="F25" s="463" t="s">
        <v>80</v>
      </c>
      <c r="G25" s="441">
        <v>2211</v>
      </c>
      <c r="H25" s="458"/>
    </row>
    <row r="26" spans="1:8" x14ac:dyDescent="0.25">
      <c r="A26" s="444"/>
      <c r="B26" s="457" t="s">
        <v>81</v>
      </c>
      <c r="C26" s="441">
        <v>1133</v>
      </c>
      <c r="D26" s="458"/>
      <c r="E26" s="444"/>
      <c r="F26" s="463" t="s">
        <v>82</v>
      </c>
      <c r="G26" s="441">
        <v>2213</v>
      </c>
      <c r="H26" s="458"/>
    </row>
    <row r="27" spans="1:8" x14ac:dyDescent="0.25">
      <c r="A27" s="444"/>
      <c r="B27" s="457" t="s">
        <v>83</v>
      </c>
      <c r="C27" s="441">
        <v>1134</v>
      </c>
      <c r="D27" s="458"/>
      <c r="E27" s="444"/>
      <c r="F27" s="472" t="s">
        <v>84</v>
      </c>
      <c r="G27" s="455"/>
      <c r="H27" s="456">
        <f>SUM(H28:H29)</f>
        <v>0</v>
      </c>
    </row>
    <row r="28" spans="1:8" x14ac:dyDescent="0.25">
      <c r="A28" s="444"/>
      <c r="B28" s="454" t="s">
        <v>85</v>
      </c>
      <c r="C28" s="455"/>
      <c r="D28" s="456">
        <f>+SUM(D29:D30)</f>
        <v>0</v>
      </c>
      <c r="E28" s="444"/>
      <c r="F28" s="463" t="s">
        <v>80</v>
      </c>
      <c r="G28" s="441">
        <v>2212</v>
      </c>
      <c r="H28" s="458"/>
    </row>
    <row r="29" spans="1:8" x14ac:dyDescent="0.25">
      <c r="A29" s="444"/>
      <c r="B29" s="457" t="s">
        <v>86</v>
      </c>
      <c r="C29" s="441">
        <v>1142</v>
      </c>
      <c r="D29" s="458"/>
      <c r="E29" s="444"/>
      <c r="F29" s="463" t="s">
        <v>82</v>
      </c>
      <c r="G29" s="441">
        <v>2214</v>
      </c>
      <c r="H29" s="458"/>
    </row>
    <row r="30" spans="1:8" x14ac:dyDescent="0.25">
      <c r="A30" s="444"/>
      <c r="B30" s="457" t="s">
        <v>87</v>
      </c>
      <c r="C30" s="441">
        <v>1144</v>
      </c>
      <c r="D30" s="458"/>
      <c r="E30" s="444"/>
      <c r="F30" s="472" t="s">
        <v>88</v>
      </c>
      <c r="G30" s="455"/>
      <c r="H30" s="451">
        <f>SUM(H31,H34)</f>
        <v>0</v>
      </c>
    </row>
    <row r="31" spans="1:8" x14ac:dyDescent="0.25">
      <c r="A31" s="444"/>
      <c r="B31" s="454" t="s">
        <v>89</v>
      </c>
      <c r="C31" s="455"/>
      <c r="D31" s="456">
        <f>+SUM(D32:D33)</f>
        <v>0</v>
      </c>
      <c r="E31" s="444"/>
      <c r="F31" s="472" t="s">
        <v>90</v>
      </c>
      <c r="G31" s="455"/>
      <c r="H31" s="456">
        <f>SUM(H32:H33)</f>
        <v>0</v>
      </c>
    </row>
    <row r="32" spans="1:8" x14ac:dyDescent="0.25">
      <c r="A32" s="444"/>
      <c r="B32" s="457" t="s">
        <v>91</v>
      </c>
      <c r="C32" s="441">
        <v>1152</v>
      </c>
      <c r="D32" s="458"/>
      <c r="E32" s="444"/>
      <c r="F32" s="463" t="s">
        <v>68</v>
      </c>
      <c r="G32" s="441">
        <v>2221</v>
      </c>
      <c r="H32" s="458"/>
    </row>
    <row r="33" spans="1:8" x14ac:dyDescent="0.25">
      <c r="A33" s="444"/>
      <c r="B33" s="457" t="s">
        <v>92</v>
      </c>
      <c r="C33" s="441">
        <v>1154</v>
      </c>
      <c r="D33" s="458"/>
      <c r="E33" s="444"/>
      <c r="F33" s="463" t="s">
        <v>70</v>
      </c>
      <c r="G33" s="441">
        <v>2223</v>
      </c>
      <c r="H33" s="458"/>
    </row>
    <row r="34" spans="1:8" x14ac:dyDescent="0.25">
      <c r="A34" s="807" t="s">
        <v>93</v>
      </c>
      <c r="B34" s="807"/>
      <c r="C34" s="452"/>
      <c r="D34" s="451">
        <f>SUM(D35,D41,D47,-D50)</f>
        <v>0</v>
      </c>
      <c r="E34" s="444"/>
      <c r="F34" s="472" t="s">
        <v>94</v>
      </c>
      <c r="G34" s="455"/>
      <c r="H34" s="456">
        <f>SUM(H35:H36)</f>
        <v>0</v>
      </c>
    </row>
    <row r="35" spans="1:8" x14ac:dyDescent="0.25">
      <c r="A35" s="444"/>
      <c r="B35" s="454" t="s">
        <v>95</v>
      </c>
      <c r="C35" s="455"/>
      <c r="D35" s="456">
        <f>SUM(D36:D40)</f>
        <v>0</v>
      </c>
      <c r="E35" s="444"/>
      <c r="F35" s="463" t="s">
        <v>68</v>
      </c>
      <c r="G35" s="441">
        <v>2222</v>
      </c>
      <c r="H35" s="458"/>
    </row>
    <row r="36" spans="1:8" x14ac:dyDescent="0.25">
      <c r="A36" s="444"/>
      <c r="B36" s="457" t="s">
        <v>96</v>
      </c>
      <c r="C36" s="441">
        <v>1201</v>
      </c>
      <c r="D36" s="458"/>
      <c r="E36" s="444"/>
      <c r="F36" s="463" t="s">
        <v>70</v>
      </c>
      <c r="G36" s="441">
        <v>2224</v>
      </c>
      <c r="H36" s="458"/>
    </row>
    <row r="37" spans="1:8" x14ac:dyDescent="0.25">
      <c r="A37" s="444"/>
      <c r="B37" s="457" t="s">
        <v>97</v>
      </c>
      <c r="C37" s="441">
        <v>1202</v>
      </c>
      <c r="D37" s="462"/>
      <c r="E37" s="444"/>
      <c r="F37" s="472" t="s">
        <v>98</v>
      </c>
      <c r="G37" s="455"/>
      <c r="H37" s="451">
        <f>SUM(H38,H41)</f>
        <v>0</v>
      </c>
    </row>
    <row r="38" spans="1:8" ht="25.5" x14ac:dyDescent="0.25">
      <c r="A38" s="444"/>
      <c r="B38" s="457" t="s">
        <v>99</v>
      </c>
      <c r="C38" s="441">
        <v>1203</v>
      </c>
      <c r="D38" s="458"/>
      <c r="E38" s="444"/>
      <c r="F38" s="472" t="s">
        <v>100</v>
      </c>
      <c r="G38" s="455"/>
      <c r="H38" s="456">
        <f>SUM(H39:H40)</f>
        <v>0</v>
      </c>
    </row>
    <row r="39" spans="1:8" x14ac:dyDescent="0.25">
      <c r="A39" s="444"/>
      <c r="B39" s="457" t="s">
        <v>101</v>
      </c>
      <c r="C39" s="441">
        <v>1204</v>
      </c>
      <c r="D39" s="458"/>
      <c r="E39" s="444"/>
      <c r="F39" s="463" t="s">
        <v>80</v>
      </c>
      <c r="G39" s="441">
        <v>2231</v>
      </c>
      <c r="H39" s="458"/>
    </row>
    <row r="40" spans="1:8" x14ac:dyDescent="0.25">
      <c r="A40" s="444"/>
      <c r="B40" s="457" t="s">
        <v>102</v>
      </c>
      <c r="C40" s="441">
        <v>1205</v>
      </c>
      <c r="D40" s="458"/>
      <c r="E40" s="444"/>
      <c r="F40" s="463" t="s">
        <v>82</v>
      </c>
      <c r="G40" s="441">
        <v>2233</v>
      </c>
      <c r="H40" s="458"/>
    </row>
    <row r="41" spans="1:8" ht="25.5" x14ac:dyDescent="0.25">
      <c r="A41" s="444"/>
      <c r="B41" s="454" t="s">
        <v>103</v>
      </c>
      <c r="C41" s="455"/>
      <c r="D41" s="456">
        <f>SUM(D42:D46)</f>
        <v>0</v>
      </c>
      <c r="E41" s="444"/>
      <c r="F41" s="472" t="s">
        <v>104</v>
      </c>
      <c r="G41" s="455"/>
      <c r="H41" s="456">
        <f>SUM(H42:H43)</f>
        <v>0</v>
      </c>
    </row>
    <row r="42" spans="1:8" x14ac:dyDescent="0.25">
      <c r="A42" s="444"/>
      <c r="B42" s="457" t="s">
        <v>96</v>
      </c>
      <c r="C42" s="441">
        <v>1211</v>
      </c>
      <c r="D42" s="458"/>
      <c r="E42" s="444"/>
      <c r="F42" s="463" t="s">
        <v>80</v>
      </c>
      <c r="G42" s="441">
        <v>2232</v>
      </c>
      <c r="H42" s="458"/>
    </row>
    <row r="43" spans="1:8" x14ac:dyDescent="0.25">
      <c r="A43" s="444"/>
      <c r="B43" s="457" t="s">
        <v>97</v>
      </c>
      <c r="C43" s="441">
        <v>1212</v>
      </c>
      <c r="D43" s="462"/>
      <c r="E43" s="474"/>
      <c r="F43" s="463" t="s">
        <v>82</v>
      </c>
      <c r="G43" s="441">
        <v>2234</v>
      </c>
      <c r="H43" s="458"/>
    </row>
    <row r="44" spans="1:8" ht="25.5" x14ac:dyDescent="0.25">
      <c r="A44" s="444"/>
      <c r="B44" s="457" t="s">
        <v>99</v>
      </c>
      <c r="C44" s="441">
        <v>1213</v>
      </c>
      <c r="D44" s="458"/>
      <c r="E44" s="444"/>
      <c r="F44" s="473" t="s">
        <v>105</v>
      </c>
      <c r="G44" s="455"/>
      <c r="H44" s="451">
        <f>SUM(H45,H52)</f>
        <v>0</v>
      </c>
    </row>
    <row r="45" spans="1:8" x14ac:dyDescent="0.25">
      <c r="A45" s="444"/>
      <c r="B45" s="457" t="s">
        <v>101</v>
      </c>
      <c r="C45" s="441">
        <v>1214</v>
      </c>
      <c r="D45" s="458"/>
      <c r="E45" s="444"/>
      <c r="F45" s="472" t="s">
        <v>106</v>
      </c>
      <c r="G45" s="455"/>
      <c r="H45" s="451">
        <f>SUM(H46,H49)</f>
        <v>0</v>
      </c>
    </row>
    <row r="46" spans="1:8" x14ac:dyDescent="0.25">
      <c r="A46" s="444"/>
      <c r="B46" s="457" t="s">
        <v>102</v>
      </c>
      <c r="C46" s="441">
        <v>1215</v>
      </c>
      <c r="D46" s="458"/>
      <c r="E46" s="444"/>
      <c r="F46" s="472" t="s">
        <v>72</v>
      </c>
      <c r="G46" s="455"/>
      <c r="H46" s="456">
        <f>SUM(H47:H48)</f>
        <v>0</v>
      </c>
    </row>
    <row r="47" spans="1:8" x14ac:dyDescent="0.25">
      <c r="A47" s="444"/>
      <c r="B47" s="454" t="s">
        <v>107</v>
      </c>
      <c r="C47" s="455"/>
      <c r="D47" s="456">
        <f>+D48-D49</f>
        <v>0</v>
      </c>
      <c r="E47" s="444"/>
      <c r="F47" s="463" t="s">
        <v>68</v>
      </c>
      <c r="G47" s="441">
        <v>2242</v>
      </c>
      <c r="H47" s="458"/>
    </row>
    <row r="48" spans="1:8" x14ac:dyDescent="0.25">
      <c r="A48" s="444"/>
      <c r="B48" s="457" t="s">
        <v>108</v>
      </c>
      <c r="C48" s="441">
        <v>1221</v>
      </c>
      <c r="D48" s="458"/>
      <c r="E48" s="444"/>
      <c r="F48" s="463" t="s">
        <v>70</v>
      </c>
      <c r="G48" s="441">
        <v>2244</v>
      </c>
      <c r="H48" s="458"/>
    </row>
    <row r="49" spans="1:8" x14ac:dyDescent="0.25">
      <c r="A49" s="444"/>
      <c r="B49" s="457" t="s">
        <v>109</v>
      </c>
      <c r="C49" s="441">
        <v>1222</v>
      </c>
      <c r="D49" s="458"/>
      <c r="E49" s="444"/>
      <c r="F49" s="472" t="s">
        <v>110</v>
      </c>
      <c r="G49" s="455"/>
      <c r="H49" s="456">
        <f>SUM(H50:H51)</f>
        <v>0</v>
      </c>
    </row>
    <row r="50" spans="1:8" x14ac:dyDescent="0.25">
      <c r="A50" s="444"/>
      <c r="B50" s="459" t="s">
        <v>111</v>
      </c>
      <c r="C50" s="455"/>
      <c r="D50" s="460">
        <f>+D51</f>
        <v>0</v>
      </c>
      <c r="E50" s="444"/>
      <c r="F50" s="463" t="s">
        <v>80</v>
      </c>
      <c r="G50" s="441">
        <v>2252</v>
      </c>
      <c r="H50" s="458"/>
    </row>
    <row r="51" spans="1:8" x14ac:dyDescent="0.25">
      <c r="A51" s="444"/>
      <c r="B51" s="209" t="s">
        <v>112</v>
      </c>
      <c r="C51" s="461">
        <v>1299</v>
      </c>
      <c r="D51" s="458"/>
      <c r="E51" s="444"/>
      <c r="F51" s="463" t="s">
        <v>82</v>
      </c>
      <c r="G51" s="441">
        <v>2254</v>
      </c>
      <c r="H51" s="458"/>
    </row>
    <row r="52" spans="1:8" ht="25.5" x14ac:dyDescent="0.25">
      <c r="A52" s="807" t="s">
        <v>113</v>
      </c>
      <c r="B52" s="807"/>
      <c r="C52" s="452"/>
      <c r="D52" s="451">
        <f>SUM(D53,D61,D69,D77,D85,-D134)</f>
        <v>0</v>
      </c>
      <c r="E52" s="444"/>
      <c r="F52" s="472" t="s">
        <v>114</v>
      </c>
      <c r="G52" s="455"/>
      <c r="H52" s="451">
        <f>SUM(H53,H56)</f>
        <v>0</v>
      </c>
    </row>
    <row r="53" spans="1:8" x14ac:dyDescent="0.25">
      <c r="A53" s="444"/>
      <c r="B53" s="454" t="s">
        <v>115</v>
      </c>
      <c r="C53" s="455"/>
      <c r="D53" s="456">
        <f>SUM(D54:D60)</f>
        <v>0</v>
      </c>
      <c r="E53" s="444"/>
      <c r="F53" s="472" t="s">
        <v>94</v>
      </c>
      <c r="G53" s="455"/>
      <c r="H53" s="456">
        <f>SUM(H54:H55)</f>
        <v>0</v>
      </c>
    </row>
    <row r="54" spans="1:8" ht="25.5" x14ac:dyDescent="0.25">
      <c r="A54" s="444"/>
      <c r="B54" s="457" t="s">
        <v>116</v>
      </c>
      <c r="C54" s="441">
        <v>1301</v>
      </c>
      <c r="D54" s="458"/>
      <c r="E54" s="444"/>
      <c r="F54" s="463" t="s">
        <v>117</v>
      </c>
      <c r="G54" s="441">
        <v>2262</v>
      </c>
      <c r="H54" s="458"/>
    </row>
    <row r="55" spans="1:8" ht="25.5" x14ac:dyDescent="0.25">
      <c r="A55" s="444"/>
      <c r="B55" s="457" t="s">
        <v>118</v>
      </c>
      <c r="C55" s="441">
        <v>1303</v>
      </c>
      <c r="D55" s="458"/>
      <c r="E55" s="444"/>
      <c r="F55" s="463" t="s">
        <v>119</v>
      </c>
      <c r="G55" s="441">
        <v>2264</v>
      </c>
      <c r="H55" s="458"/>
    </row>
    <row r="56" spans="1:8" ht="25.5" x14ac:dyDescent="0.25">
      <c r="A56" s="444"/>
      <c r="B56" s="457" t="s">
        <v>120</v>
      </c>
      <c r="C56" s="441">
        <v>1305</v>
      </c>
      <c r="D56" s="458"/>
      <c r="E56" s="444"/>
      <c r="F56" s="472" t="s">
        <v>121</v>
      </c>
      <c r="G56" s="455"/>
      <c r="H56" s="456">
        <f>SUM(H57:H58)</f>
        <v>0</v>
      </c>
    </row>
    <row r="57" spans="1:8" ht="25.5" x14ac:dyDescent="0.25">
      <c r="A57" s="444"/>
      <c r="B57" s="457" t="s">
        <v>122</v>
      </c>
      <c r="C57" s="441">
        <v>1307</v>
      </c>
      <c r="D57" s="458"/>
      <c r="E57" s="444"/>
      <c r="F57" s="463" t="s">
        <v>123</v>
      </c>
      <c r="G57" s="441">
        <v>2272</v>
      </c>
      <c r="H57" s="458"/>
    </row>
    <row r="58" spans="1:8" ht="25.5" x14ac:dyDescent="0.25">
      <c r="A58" s="444"/>
      <c r="B58" s="457" t="s">
        <v>124</v>
      </c>
      <c r="C58" s="441">
        <v>1309</v>
      </c>
      <c r="D58" s="458"/>
      <c r="E58" s="444"/>
      <c r="F58" s="463" t="s">
        <v>125</v>
      </c>
      <c r="G58" s="441">
        <v>2274</v>
      </c>
      <c r="H58" s="458"/>
    </row>
    <row r="59" spans="1:8" x14ac:dyDescent="0.25">
      <c r="A59" s="444"/>
      <c r="B59" s="457" t="s">
        <v>126</v>
      </c>
      <c r="C59" s="441">
        <v>1311</v>
      </c>
      <c r="D59" s="458"/>
      <c r="E59" s="807" t="s">
        <v>127</v>
      </c>
      <c r="F59" s="807"/>
      <c r="G59" s="452"/>
      <c r="H59" s="451">
        <f>SUM(H60,H63,H66,H69,H72)</f>
        <v>0</v>
      </c>
    </row>
    <row r="60" spans="1:8" x14ac:dyDescent="0.25">
      <c r="A60" s="444"/>
      <c r="B60" s="457" t="s">
        <v>128</v>
      </c>
      <c r="C60" s="441">
        <v>1313</v>
      </c>
      <c r="D60" s="458"/>
      <c r="E60" s="444"/>
      <c r="F60" s="472" t="s">
        <v>129</v>
      </c>
      <c r="G60" s="455"/>
      <c r="H60" s="456">
        <f>SUM(H61:H62)</f>
        <v>0</v>
      </c>
    </row>
    <row r="61" spans="1:8" x14ac:dyDescent="0.25">
      <c r="A61" s="444"/>
      <c r="B61" s="454" t="s">
        <v>130</v>
      </c>
      <c r="C61" s="455"/>
      <c r="D61" s="456">
        <f>SUM(D62:D68)</f>
        <v>0</v>
      </c>
      <c r="E61" s="444"/>
      <c r="F61" s="463" t="s">
        <v>131</v>
      </c>
      <c r="G61" s="441">
        <v>2301</v>
      </c>
      <c r="H61" s="458"/>
    </row>
    <row r="62" spans="1:8" x14ac:dyDescent="0.25">
      <c r="A62" s="444"/>
      <c r="B62" s="457" t="s">
        <v>116</v>
      </c>
      <c r="C62" s="441">
        <v>1302</v>
      </c>
      <c r="D62" s="458"/>
      <c r="E62" s="444"/>
      <c r="F62" s="463" t="s">
        <v>132</v>
      </c>
      <c r="G62" s="441">
        <v>2302</v>
      </c>
      <c r="H62" s="458"/>
    </row>
    <row r="63" spans="1:8" x14ac:dyDescent="0.25">
      <c r="A63" s="444"/>
      <c r="B63" s="457" t="s">
        <v>118</v>
      </c>
      <c r="C63" s="441">
        <v>1304</v>
      </c>
      <c r="D63" s="458"/>
      <c r="E63" s="444"/>
      <c r="F63" s="472" t="s">
        <v>133</v>
      </c>
      <c r="G63" s="455"/>
      <c r="H63" s="456">
        <f>SUM(H64:H65)</f>
        <v>0</v>
      </c>
    </row>
    <row r="64" spans="1:8" x14ac:dyDescent="0.25">
      <c r="A64" s="444"/>
      <c r="B64" s="457" t="s">
        <v>120</v>
      </c>
      <c r="C64" s="441">
        <v>1306</v>
      </c>
      <c r="D64" s="458"/>
      <c r="E64" s="444"/>
      <c r="F64" s="463" t="s">
        <v>134</v>
      </c>
      <c r="G64" s="441">
        <v>2311</v>
      </c>
      <c r="H64" s="458"/>
    </row>
    <row r="65" spans="1:9" x14ac:dyDescent="0.25">
      <c r="A65" s="444"/>
      <c r="B65" s="457" t="s">
        <v>122</v>
      </c>
      <c r="C65" s="441">
        <v>1308</v>
      </c>
      <c r="D65" s="458"/>
      <c r="E65" s="444"/>
      <c r="F65" s="463" t="s">
        <v>135</v>
      </c>
      <c r="G65" s="441">
        <v>2312</v>
      </c>
      <c r="H65" s="458"/>
    </row>
    <row r="66" spans="1:9" x14ac:dyDescent="0.25">
      <c r="A66" s="444"/>
      <c r="B66" s="457" t="s">
        <v>124</v>
      </c>
      <c r="C66" s="441">
        <v>1310</v>
      </c>
      <c r="D66" s="458"/>
      <c r="E66" s="444"/>
      <c r="F66" s="472" t="s">
        <v>136</v>
      </c>
      <c r="G66" s="455"/>
      <c r="H66" s="456">
        <f>SUM(H67:H68)</f>
        <v>0</v>
      </c>
    </row>
    <row r="67" spans="1:9" x14ac:dyDescent="0.25">
      <c r="A67" s="444"/>
      <c r="B67" s="457" t="s">
        <v>126</v>
      </c>
      <c r="C67" s="441">
        <v>1312</v>
      </c>
      <c r="D67" s="458"/>
      <c r="E67" s="444"/>
      <c r="F67" s="463" t="s">
        <v>137</v>
      </c>
      <c r="G67" s="441">
        <v>2321</v>
      </c>
      <c r="H67" s="458"/>
    </row>
    <row r="68" spans="1:9" x14ac:dyDescent="0.25">
      <c r="A68" s="444"/>
      <c r="B68" s="457" t="s">
        <v>128</v>
      </c>
      <c r="C68" s="441">
        <v>1314</v>
      </c>
      <c r="D68" s="458"/>
      <c r="E68" s="444"/>
      <c r="F68" s="463" t="s">
        <v>138</v>
      </c>
      <c r="G68" s="441">
        <v>2322</v>
      </c>
      <c r="H68" s="458"/>
    </row>
    <row r="69" spans="1:9" x14ac:dyDescent="0.25">
      <c r="A69" s="444"/>
      <c r="B69" s="454" t="s">
        <v>1166</v>
      </c>
      <c r="C69" s="455"/>
      <c r="D69" s="456">
        <f>SUM(D70:D76)</f>
        <v>0</v>
      </c>
      <c r="E69" s="444"/>
      <c r="F69" s="472" t="s">
        <v>139</v>
      </c>
      <c r="G69" s="455"/>
      <c r="H69" s="456">
        <f>SUM(H70:H71)</f>
        <v>0</v>
      </c>
    </row>
    <row r="70" spans="1:9" x14ac:dyDescent="0.25">
      <c r="A70" s="444"/>
      <c r="B70" s="457" t="s">
        <v>116</v>
      </c>
      <c r="C70" s="441">
        <v>1321</v>
      </c>
      <c r="D70" s="458"/>
      <c r="E70" s="444"/>
      <c r="F70" s="463" t="s">
        <v>140</v>
      </c>
      <c r="G70" s="441">
        <v>2331</v>
      </c>
      <c r="H70" s="458"/>
    </row>
    <row r="71" spans="1:9" x14ac:dyDescent="0.25">
      <c r="A71" s="444"/>
      <c r="B71" s="457" t="s">
        <v>118</v>
      </c>
      <c r="C71" s="441">
        <v>1323</v>
      </c>
      <c r="D71" s="458"/>
      <c r="E71" s="444"/>
      <c r="F71" s="463" t="s">
        <v>141</v>
      </c>
      <c r="G71" s="441">
        <v>2332</v>
      </c>
      <c r="H71" s="458"/>
    </row>
    <row r="72" spans="1:9" x14ac:dyDescent="0.25">
      <c r="A72" s="444"/>
      <c r="B72" s="457" t="s">
        <v>120</v>
      </c>
      <c r="C72" s="441">
        <v>1325</v>
      </c>
      <c r="D72" s="458"/>
      <c r="E72" s="444"/>
      <c r="F72" s="472" t="s">
        <v>142</v>
      </c>
      <c r="G72" s="455"/>
      <c r="H72" s="456">
        <f>SUM(H73:H74)</f>
        <v>0</v>
      </c>
    </row>
    <row r="73" spans="1:9" x14ac:dyDescent="0.25">
      <c r="A73" s="444"/>
      <c r="B73" s="457" t="s">
        <v>122</v>
      </c>
      <c r="C73" s="441">
        <v>1327</v>
      </c>
      <c r="D73" s="458"/>
      <c r="E73" s="444"/>
      <c r="F73" s="463" t="s">
        <v>143</v>
      </c>
      <c r="G73" s="441">
        <v>2341</v>
      </c>
      <c r="H73" s="458"/>
    </row>
    <row r="74" spans="1:9" x14ac:dyDescent="0.25">
      <c r="A74" s="444"/>
      <c r="B74" s="457" t="s">
        <v>124</v>
      </c>
      <c r="C74" s="441">
        <v>1329</v>
      </c>
      <c r="D74" s="458"/>
      <c r="E74" s="444"/>
      <c r="F74" s="463" t="s">
        <v>144</v>
      </c>
      <c r="G74" s="441">
        <v>2342</v>
      </c>
      <c r="H74" s="458"/>
    </row>
    <row r="75" spans="1:9" x14ac:dyDescent="0.25">
      <c r="A75" s="444"/>
      <c r="B75" s="457" t="s">
        <v>126</v>
      </c>
      <c r="C75" s="441">
        <v>1331</v>
      </c>
      <c r="D75" s="458"/>
      <c r="E75" s="807" t="s">
        <v>145</v>
      </c>
      <c r="F75" s="807"/>
      <c r="G75" s="455"/>
      <c r="H75" s="451">
        <f>SUM(H76:H77)</f>
        <v>0</v>
      </c>
      <c r="I75" s="648" t="str">
        <f>IF(H75&gt;0,IF(Bond!I28&gt;0,"","Өрийн бичгийн тайланг нөхнө үү!"),"")</f>
        <v/>
      </c>
    </row>
    <row r="76" spans="1:9" x14ac:dyDescent="0.25">
      <c r="A76" s="444"/>
      <c r="B76" s="457" t="s">
        <v>128</v>
      </c>
      <c r="C76" s="441">
        <v>1333</v>
      </c>
      <c r="D76" s="458"/>
      <c r="E76" s="444"/>
      <c r="F76" s="463" t="s">
        <v>146</v>
      </c>
      <c r="G76" s="441">
        <v>2401</v>
      </c>
      <c r="H76" s="458"/>
    </row>
    <row r="77" spans="1:9" x14ac:dyDescent="0.25">
      <c r="A77" s="444"/>
      <c r="B77" s="454" t="s">
        <v>1167</v>
      </c>
      <c r="C77" s="455"/>
      <c r="D77" s="456">
        <f>SUM(D78:D84)</f>
        <v>0</v>
      </c>
      <c r="E77" s="444"/>
      <c r="F77" s="463" t="s">
        <v>147</v>
      </c>
      <c r="G77" s="441">
        <v>2402</v>
      </c>
      <c r="H77" s="458"/>
    </row>
    <row r="78" spans="1:9" x14ac:dyDescent="0.25">
      <c r="A78" s="444"/>
      <c r="B78" s="457" t="s">
        <v>116</v>
      </c>
      <c r="C78" s="441">
        <v>1322</v>
      </c>
      <c r="D78" s="458"/>
      <c r="E78" s="807" t="s">
        <v>148</v>
      </c>
      <c r="F78" s="807"/>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118</v>
      </c>
      <c r="C79" s="441">
        <v>1324</v>
      </c>
      <c r="D79" s="458"/>
      <c r="E79" s="444"/>
      <c r="F79" s="472" t="s">
        <v>149</v>
      </c>
      <c r="G79" s="455"/>
      <c r="H79" s="456">
        <f>SUM(H80,H83,H86,H89)</f>
        <v>0</v>
      </c>
    </row>
    <row r="80" spans="1:9" x14ac:dyDescent="0.25">
      <c r="A80" s="444"/>
      <c r="B80" s="457" t="s">
        <v>150</v>
      </c>
      <c r="C80" s="441">
        <v>1326</v>
      </c>
      <c r="D80" s="458"/>
      <c r="E80" s="444"/>
      <c r="F80" s="472" t="s">
        <v>151</v>
      </c>
      <c r="G80" s="455"/>
      <c r="H80" s="456">
        <f>SUM(H81:H82)</f>
        <v>0</v>
      </c>
    </row>
    <row r="81" spans="1:8" x14ac:dyDescent="0.25">
      <c r="A81" s="444"/>
      <c r="B81" s="457" t="s">
        <v>122</v>
      </c>
      <c r="C81" s="441">
        <v>1328</v>
      </c>
      <c r="D81" s="458"/>
      <c r="E81" s="444"/>
      <c r="F81" s="463" t="s">
        <v>152</v>
      </c>
      <c r="G81" s="441">
        <v>2501</v>
      </c>
      <c r="H81" s="458"/>
    </row>
    <row r="82" spans="1:8" x14ac:dyDescent="0.25">
      <c r="A82" s="444"/>
      <c r="B82" s="457" t="s">
        <v>124</v>
      </c>
      <c r="C82" s="441">
        <v>1330</v>
      </c>
      <c r="D82" s="458"/>
      <c r="E82" s="444"/>
      <c r="F82" s="463" t="s">
        <v>153</v>
      </c>
      <c r="G82" s="441">
        <v>2502</v>
      </c>
      <c r="H82" s="458"/>
    </row>
    <row r="83" spans="1:8" x14ac:dyDescent="0.25">
      <c r="A83" s="444"/>
      <c r="B83" s="457" t="s">
        <v>126</v>
      </c>
      <c r="C83" s="441">
        <v>1332</v>
      </c>
      <c r="D83" s="458"/>
      <c r="E83" s="444"/>
      <c r="F83" s="472" t="s">
        <v>154</v>
      </c>
      <c r="G83" s="455"/>
      <c r="H83" s="456">
        <f>SUM(H84:H85)</f>
        <v>0</v>
      </c>
    </row>
    <row r="84" spans="1:8" x14ac:dyDescent="0.25">
      <c r="A84" s="444"/>
      <c r="B84" s="457" t="s">
        <v>128</v>
      </c>
      <c r="C84" s="441">
        <v>1334</v>
      </c>
      <c r="D84" s="458"/>
      <c r="E84" s="444"/>
      <c r="F84" s="463" t="s">
        <v>155</v>
      </c>
      <c r="G84" s="441">
        <v>2511</v>
      </c>
      <c r="H84" s="458"/>
    </row>
    <row r="85" spans="1:8" x14ac:dyDescent="0.25">
      <c r="A85" s="444"/>
      <c r="B85" s="454" t="s">
        <v>156</v>
      </c>
      <c r="C85" s="455"/>
      <c r="D85" s="456">
        <f>SUM(D86,D94,D102,D110,D118,D126)</f>
        <v>0</v>
      </c>
      <c r="E85" s="444"/>
      <c r="F85" s="463" t="s">
        <v>157</v>
      </c>
      <c r="G85" s="441">
        <v>2512</v>
      </c>
      <c r="H85" s="458"/>
    </row>
    <row r="86" spans="1:8" x14ac:dyDescent="0.25">
      <c r="A86" s="444"/>
      <c r="B86" s="454" t="s">
        <v>158</v>
      </c>
      <c r="C86" s="455"/>
      <c r="D86" s="456">
        <f>SUM(D87:D93)</f>
        <v>0</v>
      </c>
      <c r="E86" s="444"/>
      <c r="F86" s="472" t="s">
        <v>159</v>
      </c>
      <c r="G86" s="455"/>
      <c r="H86" s="456">
        <f>SUM(H87:H88)</f>
        <v>0</v>
      </c>
    </row>
    <row r="87" spans="1:8" x14ac:dyDescent="0.25">
      <c r="A87" s="444"/>
      <c r="B87" s="457" t="s">
        <v>116</v>
      </c>
      <c r="C87" s="441">
        <v>1341</v>
      </c>
      <c r="D87" s="458"/>
      <c r="E87" s="444"/>
      <c r="F87" s="463" t="s">
        <v>160</v>
      </c>
      <c r="G87" s="441">
        <v>2521</v>
      </c>
      <c r="H87" s="458"/>
    </row>
    <row r="88" spans="1:8" x14ac:dyDescent="0.25">
      <c r="A88" s="444"/>
      <c r="B88" s="457" t="s">
        <v>118</v>
      </c>
      <c r="C88" s="441">
        <v>1343</v>
      </c>
      <c r="D88" s="458"/>
      <c r="E88" s="444"/>
      <c r="F88" s="463" t="s">
        <v>161</v>
      </c>
      <c r="G88" s="441">
        <v>2522</v>
      </c>
      <c r="H88" s="458"/>
    </row>
    <row r="89" spans="1:8" x14ac:dyDescent="0.25">
      <c r="A89" s="444"/>
      <c r="B89" s="457" t="s">
        <v>150</v>
      </c>
      <c r="C89" s="441">
        <v>1345</v>
      </c>
      <c r="D89" s="458"/>
      <c r="E89" s="444"/>
      <c r="F89" s="472" t="s">
        <v>162</v>
      </c>
      <c r="G89" s="455"/>
      <c r="H89" s="456">
        <f>SUM(H90:H91)</f>
        <v>0</v>
      </c>
    </row>
    <row r="90" spans="1:8" x14ac:dyDescent="0.25">
      <c r="A90" s="444"/>
      <c r="B90" s="457" t="s">
        <v>122</v>
      </c>
      <c r="C90" s="441">
        <v>1347</v>
      </c>
      <c r="D90" s="458"/>
      <c r="E90" s="444"/>
      <c r="F90" s="463" t="s">
        <v>163</v>
      </c>
      <c r="G90" s="441">
        <v>2531</v>
      </c>
      <c r="H90" s="458"/>
    </row>
    <row r="91" spans="1:8" x14ac:dyDescent="0.25">
      <c r="A91" s="444"/>
      <c r="B91" s="457" t="s">
        <v>124</v>
      </c>
      <c r="C91" s="441">
        <v>1349</v>
      </c>
      <c r="D91" s="458"/>
      <c r="E91" s="444"/>
      <c r="F91" s="463" t="s">
        <v>164</v>
      </c>
      <c r="G91" s="441">
        <v>2532</v>
      </c>
      <c r="H91" s="458"/>
    </row>
    <row r="92" spans="1:8" x14ac:dyDescent="0.25">
      <c r="A92" s="444"/>
      <c r="B92" s="457" t="s">
        <v>126</v>
      </c>
      <c r="C92" s="441">
        <v>1351</v>
      </c>
      <c r="D92" s="458"/>
      <c r="E92" s="444"/>
      <c r="F92" s="472" t="s">
        <v>165</v>
      </c>
      <c r="G92" s="455"/>
      <c r="H92" s="451">
        <f>SUM(H93,H96,H99,H102)</f>
        <v>0</v>
      </c>
    </row>
    <row r="93" spans="1:8" x14ac:dyDescent="0.25">
      <c r="A93" s="444"/>
      <c r="B93" s="457" t="s">
        <v>128</v>
      </c>
      <c r="C93" s="441">
        <v>1353</v>
      </c>
      <c r="D93" s="458"/>
      <c r="E93" s="444"/>
      <c r="F93" s="472" t="s">
        <v>151</v>
      </c>
      <c r="G93" s="455"/>
      <c r="H93" s="456">
        <f>SUM(H94:H95)</f>
        <v>0</v>
      </c>
    </row>
    <row r="94" spans="1:8" x14ac:dyDescent="0.25">
      <c r="A94" s="444"/>
      <c r="B94" s="454" t="s">
        <v>166</v>
      </c>
      <c r="C94" s="455"/>
      <c r="D94" s="456">
        <f>SUM(D95:D101)</f>
        <v>0</v>
      </c>
      <c r="E94" s="444"/>
      <c r="F94" s="463" t="s">
        <v>152</v>
      </c>
      <c r="G94" s="441">
        <v>2541</v>
      </c>
      <c r="H94" s="458"/>
    </row>
    <row r="95" spans="1:8" x14ac:dyDescent="0.25">
      <c r="A95" s="444"/>
      <c r="B95" s="457" t="s">
        <v>116</v>
      </c>
      <c r="C95" s="441">
        <v>1342</v>
      </c>
      <c r="D95" s="458"/>
      <c r="E95" s="444"/>
      <c r="F95" s="463" t="s">
        <v>153</v>
      </c>
      <c r="G95" s="441">
        <v>2542</v>
      </c>
      <c r="H95" s="458"/>
    </row>
    <row r="96" spans="1:8" x14ac:dyDescent="0.25">
      <c r="A96" s="444"/>
      <c r="B96" s="457" t="s">
        <v>118</v>
      </c>
      <c r="C96" s="441">
        <v>1344</v>
      </c>
      <c r="D96" s="458"/>
      <c r="E96" s="444"/>
      <c r="F96" s="472" t="s">
        <v>154</v>
      </c>
      <c r="G96" s="455"/>
      <c r="H96" s="456">
        <f>SUM(H97:H98)</f>
        <v>0</v>
      </c>
    </row>
    <row r="97" spans="1:8" x14ac:dyDescent="0.25">
      <c r="A97" s="444"/>
      <c r="B97" s="457" t="s">
        <v>150</v>
      </c>
      <c r="C97" s="441">
        <v>1346</v>
      </c>
      <c r="D97" s="458"/>
      <c r="E97" s="444"/>
      <c r="F97" s="463" t="s">
        <v>155</v>
      </c>
      <c r="G97" s="441">
        <v>2551</v>
      </c>
      <c r="H97" s="458"/>
    </row>
    <row r="98" spans="1:8" x14ac:dyDescent="0.25">
      <c r="A98" s="444"/>
      <c r="B98" s="457" t="s">
        <v>122</v>
      </c>
      <c r="C98" s="441">
        <v>1348</v>
      </c>
      <c r="D98" s="458"/>
      <c r="E98" s="444"/>
      <c r="F98" s="463" t="s">
        <v>157</v>
      </c>
      <c r="G98" s="441">
        <v>2552</v>
      </c>
      <c r="H98" s="458"/>
    </row>
    <row r="99" spans="1:8" x14ac:dyDescent="0.25">
      <c r="A99" s="444"/>
      <c r="B99" s="457" t="s">
        <v>124</v>
      </c>
      <c r="C99" s="441">
        <v>1350</v>
      </c>
      <c r="D99" s="458"/>
      <c r="E99" s="444"/>
      <c r="F99" s="472" t="s">
        <v>159</v>
      </c>
      <c r="G99" s="455"/>
      <c r="H99" s="456">
        <f>SUM(H100:H101)</f>
        <v>0</v>
      </c>
    </row>
    <row r="100" spans="1:8" x14ac:dyDescent="0.25">
      <c r="A100" s="444"/>
      <c r="B100" s="457" t="s">
        <v>126</v>
      </c>
      <c r="C100" s="441">
        <v>1352</v>
      </c>
      <c r="D100" s="458"/>
      <c r="E100" s="444"/>
      <c r="F100" s="463" t="s">
        <v>160</v>
      </c>
      <c r="G100" s="441">
        <v>2561</v>
      </c>
      <c r="H100" s="458"/>
    </row>
    <row r="101" spans="1:8" x14ac:dyDescent="0.25">
      <c r="A101" s="444"/>
      <c r="B101" s="457" t="s">
        <v>128</v>
      </c>
      <c r="C101" s="441">
        <v>1354</v>
      </c>
      <c r="D101" s="458"/>
      <c r="E101" s="444"/>
      <c r="F101" s="463" t="s">
        <v>161</v>
      </c>
      <c r="G101" s="441">
        <v>2562</v>
      </c>
      <c r="H101" s="458"/>
    </row>
    <row r="102" spans="1:8" x14ac:dyDescent="0.25">
      <c r="A102" s="444"/>
      <c r="B102" s="454" t="s">
        <v>167</v>
      </c>
      <c r="C102" s="455"/>
      <c r="D102" s="456">
        <f>SUM(D103:D109)</f>
        <v>0</v>
      </c>
      <c r="E102" s="444"/>
      <c r="F102" s="472" t="s">
        <v>162</v>
      </c>
      <c r="G102" s="455"/>
      <c r="H102" s="456">
        <f>SUM(H103:H104)</f>
        <v>0</v>
      </c>
    </row>
    <row r="103" spans="1:8" x14ac:dyDescent="0.25">
      <c r="A103" s="444"/>
      <c r="B103" s="457" t="s">
        <v>116</v>
      </c>
      <c r="C103" s="441">
        <v>1361</v>
      </c>
      <c r="D103" s="458"/>
      <c r="E103" s="444"/>
      <c r="F103" s="463" t="s">
        <v>163</v>
      </c>
      <c r="G103" s="441">
        <v>2571</v>
      </c>
      <c r="H103" s="458"/>
    </row>
    <row r="104" spans="1:8" x14ac:dyDescent="0.25">
      <c r="A104" s="444"/>
      <c r="B104" s="457" t="s">
        <v>118</v>
      </c>
      <c r="C104" s="441">
        <v>1363</v>
      </c>
      <c r="D104" s="458"/>
      <c r="E104" s="444"/>
      <c r="F104" s="463" t="s">
        <v>164</v>
      </c>
      <c r="G104" s="441">
        <v>2572</v>
      </c>
      <c r="H104" s="458"/>
    </row>
    <row r="105" spans="1:8" x14ac:dyDescent="0.25">
      <c r="A105" s="444"/>
      <c r="B105" s="457" t="s">
        <v>150</v>
      </c>
      <c r="C105" s="441">
        <v>1365</v>
      </c>
      <c r="D105" s="458"/>
      <c r="E105" s="807" t="s">
        <v>168</v>
      </c>
      <c r="F105" s="807"/>
      <c r="G105" s="455"/>
      <c r="H105" s="451">
        <f>SUM(H106,H113,H121)</f>
        <v>0</v>
      </c>
    </row>
    <row r="106" spans="1:8" x14ac:dyDescent="0.25">
      <c r="A106" s="444"/>
      <c r="B106" s="457" t="s">
        <v>122</v>
      </c>
      <c r="C106" s="441">
        <v>1367</v>
      </c>
      <c r="D106" s="458"/>
      <c r="E106" s="444"/>
      <c r="F106" s="473" t="s">
        <v>169</v>
      </c>
      <c r="G106" s="455"/>
      <c r="H106" s="451">
        <f>SUM(H107:H112)</f>
        <v>0</v>
      </c>
    </row>
    <row r="107" spans="1:8" x14ac:dyDescent="0.25">
      <c r="A107" s="444"/>
      <c r="B107" s="457" t="s">
        <v>124</v>
      </c>
      <c r="C107" s="441">
        <v>1369</v>
      </c>
      <c r="D107" s="458"/>
      <c r="E107" s="444"/>
      <c r="F107" s="463" t="s">
        <v>170</v>
      </c>
      <c r="G107" s="441">
        <v>2601</v>
      </c>
      <c r="H107" s="458"/>
    </row>
    <row r="108" spans="1:8" x14ac:dyDescent="0.25">
      <c r="A108" s="444"/>
      <c r="B108" s="457" t="s">
        <v>126</v>
      </c>
      <c r="C108" s="441">
        <v>1371</v>
      </c>
      <c r="D108" s="458"/>
      <c r="E108" s="444"/>
      <c r="F108" s="463" t="s">
        <v>171</v>
      </c>
      <c r="G108" s="441">
        <v>2602</v>
      </c>
      <c r="H108" s="458"/>
    </row>
    <row r="109" spans="1:8" x14ac:dyDescent="0.25">
      <c r="A109" s="444"/>
      <c r="B109" s="457" t="s">
        <v>128</v>
      </c>
      <c r="C109" s="441">
        <v>1373</v>
      </c>
      <c r="D109" s="458"/>
      <c r="E109" s="444"/>
      <c r="F109" s="463" t="s">
        <v>172</v>
      </c>
      <c r="G109" s="441">
        <v>2611</v>
      </c>
      <c r="H109" s="458"/>
    </row>
    <row r="110" spans="1:8" x14ac:dyDescent="0.25">
      <c r="A110" s="444"/>
      <c r="B110" s="454" t="s">
        <v>173</v>
      </c>
      <c r="C110" s="455"/>
      <c r="D110" s="456">
        <f>SUM(D111:D117)</f>
        <v>0</v>
      </c>
      <c r="E110" s="444"/>
      <c r="F110" s="463" t="s">
        <v>174</v>
      </c>
      <c r="G110" s="441">
        <v>2612</v>
      </c>
      <c r="H110" s="458"/>
    </row>
    <row r="111" spans="1:8" x14ac:dyDescent="0.25">
      <c r="A111" s="444"/>
      <c r="B111" s="457" t="s">
        <v>116</v>
      </c>
      <c r="C111" s="441">
        <v>1362</v>
      </c>
      <c r="D111" s="458"/>
      <c r="E111" s="444"/>
      <c r="F111" s="463" t="s">
        <v>175</v>
      </c>
      <c r="G111" s="441">
        <v>2621</v>
      </c>
      <c r="H111" s="458"/>
    </row>
    <row r="112" spans="1:8" x14ac:dyDescent="0.25">
      <c r="A112" s="444"/>
      <c r="B112" s="457" t="s">
        <v>118</v>
      </c>
      <c r="C112" s="441">
        <v>1364</v>
      </c>
      <c r="D112" s="458"/>
      <c r="E112" s="444"/>
      <c r="F112" s="463" t="s">
        <v>176</v>
      </c>
      <c r="G112" s="441">
        <v>2622</v>
      </c>
      <c r="H112" s="458"/>
    </row>
    <row r="113" spans="1:8" x14ac:dyDescent="0.25">
      <c r="A113" s="444"/>
      <c r="B113" s="457" t="s">
        <v>150</v>
      </c>
      <c r="C113" s="441">
        <v>1366</v>
      </c>
      <c r="D113" s="458"/>
      <c r="E113" s="444"/>
      <c r="F113" s="473" t="s">
        <v>177</v>
      </c>
      <c r="G113" s="455"/>
      <c r="H113" s="451">
        <f>SUM(H114:H120)</f>
        <v>0</v>
      </c>
    </row>
    <row r="114" spans="1:8" x14ac:dyDescent="0.25">
      <c r="A114" s="444"/>
      <c r="B114" s="457" t="s">
        <v>122</v>
      </c>
      <c r="C114" s="441">
        <v>1368</v>
      </c>
      <c r="D114" s="458"/>
      <c r="E114" s="444"/>
      <c r="F114" s="463" t="s">
        <v>178</v>
      </c>
      <c r="G114" s="441">
        <v>2701</v>
      </c>
      <c r="H114" s="458"/>
    </row>
    <row r="115" spans="1:8" x14ac:dyDescent="0.25">
      <c r="A115" s="444"/>
      <c r="B115" s="457" t="s">
        <v>124</v>
      </c>
      <c r="C115" s="441">
        <v>1370</v>
      </c>
      <c r="D115" s="458"/>
      <c r="E115" s="444"/>
      <c r="F115" s="463" t="s">
        <v>179</v>
      </c>
      <c r="G115" s="441">
        <v>2702</v>
      </c>
      <c r="H115" s="458"/>
    </row>
    <row r="116" spans="1:8" x14ac:dyDescent="0.25">
      <c r="A116" s="444"/>
      <c r="B116" s="457" t="s">
        <v>126</v>
      </c>
      <c r="C116" s="441">
        <v>1372</v>
      </c>
      <c r="D116" s="458"/>
      <c r="E116" s="444"/>
      <c r="F116" s="463" t="s">
        <v>180</v>
      </c>
      <c r="G116" s="441">
        <v>2703</v>
      </c>
      <c r="H116" s="458"/>
    </row>
    <row r="117" spans="1:8" x14ac:dyDescent="0.25">
      <c r="A117" s="444"/>
      <c r="B117" s="457" t="s">
        <v>128</v>
      </c>
      <c r="C117" s="441">
        <v>1374</v>
      </c>
      <c r="D117" s="458"/>
      <c r="E117" s="444"/>
      <c r="F117" s="463" t="s">
        <v>181</v>
      </c>
      <c r="G117" s="441">
        <v>2704</v>
      </c>
      <c r="H117" s="458"/>
    </row>
    <row r="118" spans="1:8" x14ac:dyDescent="0.25">
      <c r="A118" s="444"/>
      <c r="B118" s="454" t="s">
        <v>182</v>
      </c>
      <c r="C118" s="455"/>
      <c r="D118" s="456">
        <f>SUM(D119:D125)</f>
        <v>0</v>
      </c>
      <c r="E118" s="444"/>
      <c r="F118" s="463" t="s">
        <v>183</v>
      </c>
      <c r="G118" s="441">
        <v>2705</v>
      </c>
      <c r="H118" s="458"/>
    </row>
    <row r="119" spans="1:8" x14ac:dyDescent="0.25">
      <c r="A119" s="444"/>
      <c r="B119" s="457" t="s">
        <v>116</v>
      </c>
      <c r="C119" s="441">
        <v>1381</v>
      </c>
      <c r="D119" s="458"/>
      <c r="E119" s="444"/>
      <c r="F119" s="463" t="s">
        <v>184</v>
      </c>
      <c r="G119" s="441">
        <v>2706</v>
      </c>
      <c r="H119" s="458"/>
    </row>
    <row r="120" spans="1:8" x14ac:dyDescent="0.25">
      <c r="A120" s="444"/>
      <c r="B120" s="457" t="s">
        <v>118</v>
      </c>
      <c r="C120" s="441">
        <v>1383</v>
      </c>
      <c r="D120" s="458"/>
      <c r="E120" s="444"/>
      <c r="F120" s="463" t="s">
        <v>185</v>
      </c>
      <c r="G120" s="441">
        <v>2707</v>
      </c>
      <c r="H120" s="458"/>
    </row>
    <row r="121" spans="1:8" x14ac:dyDescent="0.25">
      <c r="A121" s="444"/>
      <c r="B121" s="457" t="s">
        <v>150</v>
      </c>
      <c r="C121" s="441">
        <v>1385</v>
      </c>
      <c r="D121" s="458"/>
      <c r="E121" s="444"/>
      <c r="F121" s="473" t="s">
        <v>186</v>
      </c>
      <c r="G121" s="455"/>
      <c r="H121" s="451">
        <f>SUM(H122,H127)</f>
        <v>0</v>
      </c>
    </row>
    <row r="122" spans="1:8" x14ac:dyDescent="0.25">
      <c r="A122" s="444"/>
      <c r="B122" s="457" t="s">
        <v>122</v>
      </c>
      <c r="C122" s="441">
        <v>1387</v>
      </c>
      <c r="D122" s="458"/>
      <c r="E122" s="444"/>
      <c r="F122" s="472" t="s">
        <v>187</v>
      </c>
      <c r="G122" s="455"/>
      <c r="H122" s="456">
        <f>SUM(H123:H126)</f>
        <v>0</v>
      </c>
    </row>
    <row r="123" spans="1:8" x14ac:dyDescent="0.25">
      <c r="A123" s="444"/>
      <c r="B123" s="457" t="s">
        <v>124</v>
      </c>
      <c r="C123" s="441">
        <v>1389</v>
      </c>
      <c r="D123" s="458"/>
      <c r="E123" s="444"/>
      <c r="F123" s="463" t="s">
        <v>188</v>
      </c>
      <c r="G123" s="441">
        <v>2801</v>
      </c>
      <c r="H123" s="458"/>
    </row>
    <row r="124" spans="1:8" x14ac:dyDescent="0.25">
      <c r="A124" s="444"/>
      <c r="B124" s="457" t="s">
        <v>126</v>
      </c>
      <c r="C124" s="441">
        <v>1391</v>
      </c>
      <c r="D124" s="458"/>
      <c r="E124" s="444"/>
      <c r="F124" s="463" t="s">
        <v>189</v>
      </c>
      <c r="G124" s="441">
        <v>2802</v>
      </c>
      <c r="H124" s="458"/>
    </row>
    <row r="125" spans="1:8" x14ac:dyDescent="0.25">
      <c r="A125" s="444"/>
      <c r="B125" s="457" t="s">
        <v>128</v>
      </c>
      <c r="C125" s="441">
        <v>1393</v>
      </c>
      <c r="D125" s="458"/>
      <c r="E125" s="444"/>
      <c r="F125" s="463" t="s">
        <v>190</v>
      </c>
      <c r="G125" s="441">
        <v>2803</v>
      </c>
      <c r="H125" s="458"/>
    </row>
    <row r="126" spans="1:8" x14ac:dyDescent="0.25">
      <c r="A126" s="444"/>
      <c r="B126" s="454" t="s">
        <v>191</v>
      </c>
      <c r="C126" s="455"/>
      <c r="D126" s="456">
        <f>SUM(D127:D133)</f>
        <v>0</v>
      </c>
      <c r="E126" s="444"/>
      <c r="F126" s="463" t="s">
        <v>192</v>
      </c>
      <c r="G126" s="441">
        <v>2804</v>
      </c>
      <c r="H126" s="458"/>
    </row>
    <row r="127" spans="1:8" x14ac:dyDescent="0.25">
      <c r="A127" s="444"/>
      <c r="B127" s="457" t="s">
        <v>116</v>
      </c>
      <c r="C127" s="441">
        <v>1382</v>
      </c>
      <c r="D127" s="458"/>
      <c r="E127" s="444"/>
      <c r="F127" s="472" t="s">
        <v>193</v>
      </c>
      <c r="G127" s="455"/>
      <c r="H127" s="456">
        <f>SUM(H128:H131)</f>
        <v>0</v>
      </c>
    </row>
    <row r="128" spans="1:8" x14ac:dyDescent="0.25">
      <c r="A128" s="444"/>
      <c r="B128" s="457" t="s">
        <v>118</v>
      </c>
      <c r="C128" s="441">
        <v>1384</v>
      </c>
      <c r="D128" s="458"/>
      <c r="E128" s="444"/>
      <c r="F128" s="463" t="s">
        <v>188</v>
      </c>
      <c r="G128" s="441">
        <v>2811</v>
      </c>
      <c r="H128" s="458"/>
    </row>
    <row r="129" spans="1:8" x14ac:dyDescent="0.25">
      <c r="A129" s="444"/>
      <c r="B129" s="457" t="s">
        <v>150</v>
      </c>
      <c r="C129" s="441">
        <v>1386</v>
      </c>
      <c r="D129" s="458"/>
      <c r="E129" s="444"/>
      <c r="F129" s="463" t="s">
        <v>189</v>
      </c>
      <c r="G129" s="441">
        <v>2812</v>
      </c>
      <c r="H129" s="458"/>
    </row>
    <row r="130" spans="1:8" x14ac:dyDescent="0.25">
      <c r="A130" s="444"/>
      <c r="B130" s="457" t="s">
        <v>122</v>
      </c>
      <c r="C130" s="441">
        <v>1388</v>
      </c>
      <c r="D130" s="458"/>
      <c r="E130" s="444"/>
      <c r="F130" s="463" t="s">
        <v>190</v>
      </c>
      <c r="G130" s="441">
        <v>2813</v>
      </c>
      <c r="H130" s="458"/>
    </row>
    <row r="131" spans="1:8" x14ac:dyDescent="0.25">
      <c r="A131" s="444"/>
      <c r="B131" s="457" t="s">
        <v>124</v>
      </c>
      <c r="C131" s="441">
        <v>1390</v>
      </c>
      <c r="D131" s="458"/>
      <c r="E131" s="444"/>
      <c r="F131" s="463" t="s">
        <v>192</v>
      </c>
      <c r="G131" s="441">
        <v>2814</v>
      </c>
      <c r="H131" s="458"/>
    </row>
    <row r="132" spans="1:8" x14ac:dyDescent="0.25">
      <c r="A132" s="444"/>
      <c r="B132" s="457" t="s">
        <v>126</v>
      </c>
      <c r="C132" s="441">
        <v>1392</v>
      </c>
      <c r="D132" s="458"/>
      <c r="E132" s="806" t="s">
        <v>194</v>
      </c>
      <c r="F132" s="806"/>
      <c r="G132" s="806"/>
      <c r="H132" s="451">
        <f>SUM(H133,H137,H141,H144,H149)</f>
        <v>0</v>
      </c>
    </row>
    <row r="133" spans="1:8" x14ac:dyDescent="0.25">
      <c r="A133" s="444"/>
      <c r="B133" s="457" t="s">
        <v>128</v>
      </c>
      <c r="C133" s="441">
        <v>1394</v>
      </c>
      <c r="D133" s="458"/>
      <c r="E133" s="444"/>
      <c r="F133" s="473" t="s">
        <v>195</v>
      </c>
      <c r="G133" s="452"/>
      <c r="H133" s="451">
        <f>H134+H135-H136</f>
        <v>0</v>
      </c>
    </row>
    <row r="134" spans="1:8" x14ac:dyDescent="0.25">
      <c r="A134" s="444"/>
      <c r="B134" s="459" t="s">
        <v>196</v>
      </c>
      <c r="C134" s="455"/>
      <c r="D134" s="460">
        <f>D135</f>
        <v>0</v>
      </c>
      <c r="E134" s="444"/>
      <c r="F134" s="463" t="s">
        <v>197</v>
      </c>
      <c r="G134" s="441">
        <v>3101</v>
      </c>
      <c r="H134" s="458"/>
    </row>
    <row r="135" spans="1:8" x14ac:dyDescent="0.25">
      <c r="A135" s="444"/>
      <c r="B135" s="209" t="s">
        <v>196</v>
      </c>
      <c r="C135" s="461">
        <v>1399</v>
      </c>
      <c r="D135" s="458"/>
      <c r="E135" s="444"/>
      <c r="F135" s="463" t="s">
        <v>198</v>
      </c>
      <c r="G135" s="441">
        <v>3102</v>
      </c>
      <c r="H135" s="458"/>
    </row>
    <row r="136" spans="1:8" x14ac:dyDescent="0.25">
      <c r="A136" s="808" t="s">
        <v>199</v>
      </c>
      <c r="B136" s="808"/>
      <c r="C136" s="452"/>
      <c r="D136" s="451">
        <f>SUM(D137,D140,D143,-D153)</f>
        <v>0</v>
      </c>
      <c r="E136" s="444"/>
      <c r="F136" s="463" t="s">
        <v>200</v>
      </c>
      <c r="G136" s="441">
        <v>3103</v>
      </c>
      <c r="H136" s="458"/>
    </row>
    <row r="137" spans="1:8" x14ac:dyDescent="0.25">
      <c r="A137" s="444"/>
      <c r="B137" s="454" t="s">
        <v>201</v>
      </c>
      <c r="C137" s="455"/>
      <c r="D137" s="456">
        <f>SUM(D138:D139)</f>
        <v>0</v>
      </c>
      <c r="E137" s="444"/>
      <c r="F137" s="473" t="s">
        <v>202</v>
      </c>
      <c r="G137" s="455"/>
      <c r="H137" s="451">
        <f>SUM(H138:H140)</f>
        <v>0</v>
      </c>
    </row>
    <row r="138" spans="1:8" x14ac:dyDescent="0.25">
      <c r="A138" s="444"/>
      <c r="B138" s="457" t="s">
        <v>203</v>
      </c>
      <c r="C138" s="441">
        <v>1401</v>
      </c>
      <c r="D138" s="462"/>
      <c r="E138" s="444"/>
      <c r="F138" s="463" t="s">
        <v>204</v>
      </c>
      <c r="G138" s="441">
        <v>3104</v>
      </c>
      <c r="H138" s="458"/>
    </row>
    <row r="139" spans="1:8" x14ac:dyDescent="0.25">
      <c r="A139" s="444"/>
      <c r="B139" s="457" t="s">
        <v>205</v>
      </c>
      <c r="C139" s="441">
        <v>1402</v>
      </c>
      <c r="D139" s="462"/>
      <c r="E139" s="444"/>
      <c r="F139" s="463" t="s">
        <v>206</v>
      </c>
      <c r="G139" s="441">
        <v>3105</v>
      </c>
      <c r="H139" s="458"/>
    </row>
    <row r="140" spans="1:8" x14ac:dyDescent="0.25">
      <c r="A140" s="444"/>
      <c r="B140" s="454" t="s">
        <v>1168</v>
      </c>
      <c r="C140" s="455"/>
      <c r="D140" s="456">
        <f>SUM(D141:D142)</f>
        <v>0</v>
      </c>
      <c r="E140" s="444"/>
      <c r="F140" s="463" t="s">
        <v>207</v>
      </c>
      <c r="G140" s="441">
        <v>3106</v>
      </c>
      <c r="H140" s="458"/>
    </row>
    <row r="141" spans="1:8" x14ac:dyDescent="0.25">
      <c r="A141" s="444"/>
      <c r="B141" s="457" t="s">
        <v>203</v>
      </c>
      <c r="C141" s="441">
        <v>1421</v>
      </c>
      <c r="D141" s="462"/>
      <c r="E141" s="444"/>
      <c r="F141" s="473" t="s">
        <v>208</v>
      </c>
      <c r="G141" s="455"/>
      <c r="H141" s="451">
        <f>SUM(H142:H143)</f>
        <v>0</v>
      </c>
    </row>
    <row r="142" spans="1:8" x14ac:dyDescent="0.25">
      <c r="A142" s="444"/>
      <c r="B142" s="457" t="s">
        <v>205</v>
      </c>
      <c r="C142" s="441">
        <v>1422</v>
      </c>
      <c r="D142" s="462"/>
      <c r="E142" s="444"/>
      <c r="F142" s="463" t="s">
        <v>209</v>
      </c>
      <c r="G142" s="441">
        <v>3107</v>
      </c>
      <c r="H142" s="458"/>
    </row>
    <row r="143" spans="1:8" x14ac:dyDescent="0.25">
      <c r="A143" s="444"/>
      <c r="B143" s="454" t="s">
        <v>210</v>
      </c>
      <c r="C143" s="452"/>
      <c r="D143" s="456">
        <f>SUM(D144,D147,D150)</f>
        <v>0</v>
      </c>
      <c r="E143" s="444"/>
      <c r="F143" s="463" t="s">
        <v>211</v>
      </c>
      <c r="G143" s="441">
        <v>3108</v>
      </c>
      <c r="H143" s="458"/>
    </row>
    <row r="144" spans="1:8" x14ac:dyDescent="0.25">
      <c r="A144" s="444"/>
      <c r="B144" s="454" t="s">
        <v>212</v>
      </c>
      <c r="C144" s="455"/>
      <c r="D144" s="456">
        <f>SUM(D145:D146)</f>
        <v>0</v>
      </c>
      <c r="E144" s="444"/>
      <c r="F144" s="473" t="s">
        <v>213</v>
      </c>
      <c r="G144" s="455"/>
      <c r="H144" s="451">
        <f>+SUM(H147,-H148)</f>
        <v>0</v>
      </c>
    </row>
    <row r="145" spans="1:9" x14ac:dyDescent="0.25">
      <c r="A145" s="444"/>
      <c r="B145" s="457" t="s">
        <v>203</v>
      </c>
      <c r="C145" s="441">
        <v>1441</v>
      </c>
      <c r="D145" s="462"/>
      <c r="E145" s="444"/>
      <c r="F145" s="463" t="s">
        <v>214</v>
      </c>
      <c r="G145" s="441">
        <v>3111</v>
      </c>
      <c r="H145" s="462"/>
      <c r="I145" s="662"/>
    </row>
    <row r="146" spans="1:9" x14ac:dyDescent="0.25">
      <c r="A146" s="444"/>
      <c r="B146" s="457" t="s">
        <v>205</v>
      </c>
      <c r="C146" s="441">
        <v>1442</v>
      </c>
      <c r="D146" s="462"/>
      <c r="E146" s="444"/>
      <c r="F146" s="463" t="s">
        <v>215</v>
      </c>
      <c r="G146" s="441">
        <v>3112</v>
      </c>
      <c r="H146" s="462"/>
    </row>
    <row r="147" spans="1:9" x14ac:dyDescent="0.25">
      <c r="A147" s="463"/>
      <c r="B147" s="454" t="s">
        <v>216</v>
      </c>
      <c r="C147" s="455"/>
      <c r="D147" s="456">
        <f>SUM(D148:D149)</f>
        <v>0</v>
      </c>
      <c r="E147" s="444"/>
      <c r="F147" s="463" t="s">
        <v>217</v>
      </c>
      <c r="G147" s="441">
        <v>3113</v>
      </c>
      <c r="H147" s="458"/>
      <c r="I147" s="662"/>
    </row>
    <row r="148" spans="1:9" x14ac:dyDescent="0.25">
      <c r="A148" s="463"/>
      <c r="B148" s="457" t="s">
        <v>203</v>
      </c>
      <c r="C148" s="441">
        <v>1461</v>
      </c>
      <c r="D148" s="462"/>
      <c r="E148" s="444"/>
      <c r="F148" s="463" t="s">
        <v>218</v>
      </c>
      <c r="G148" s="441">
        <v>3114</v>
      </c>
      <c r="H148" s="458"/>
    </row>
    <row r="149" spans="1:9" x14ac:dyDescent="0.25">
      <c r="A149" s="463"/>
      <c r="B149" s="457" t="s">
        <v>205</v>
      </c>
      <c r="C149" s="441">
        <v>1462</v>
      </c>
      <c r="D149" s="462"/>
      <c r="E149" s="444"/>
      <c r="F149" s="473" t="s">
        <v>219</v>
      </c>
      <c r="G149" s="455"/>
      <c r="H149" s="456">
        <f>H150</f>
        <v>0</v>
      </c>
    </row>
    <row r="150" spans="1:9" x14ac:dyDescent="0.25">
      <c r="A150" s="463"/>
      <c r="B150" s="454" t="s">
        <v>220</v>
      </c>
      <c r="C150" s="455"/>
      <c r="D150" s="456">
        <f>SUM(D151:D152)</f>
        <v>0</v>
      </c>
      <c r="E150" s="444"/>
      <c r="F150" s="463" t="s">
        <v>221</v>
      </c>
      <c r="G150" s="441">
        <v>3115</v>
      </c>
      <c r="H150" s="458"/>
    </row>
    <row r="151" spans="1:9" x14ac:dyDescent="0.25">
      <c r="A151" s="463"/>
      <c r="B151" s="457" t="s">
        <v>203</v>
      </c>
      <c r="C151" s="441">
        <v>1481</v>
      </c>
      <c r="D151" s="462"/>
      <c r="E151" s="806" t="s">
        <v>222</v>
      </c>
      <c r="F151" s="806"/>
      <c r="G151" s="806"/>
      <c r="H151" s="451">
        <f>SUM(H152,H200,H207)</f>
        <v>0</v>
      </c>
    </row>
    <row r="152" spans="1:9" x14ac:dyDescent="0.25">
      <c r="A152" s="463"/>
      <c r="B152" s="457" t="s">
        <v>205</v>
      </c>
      <c r="C152" s="441">
        <v>1482</v>
      </c>
      <c r="D152" s="462"/>
      <c r="E152" s="444"/>
      <c r="F152" s="473" t="s">
        <v>223</v>
      </c>
      <c r="G152" s="455"/>
      <c r="H152" s="456">
        <f>SUM(H153,H185)</f>
        <v>0</v>
      </c>
    </row>
    <row r="153" spans="1:9" x14ac:dyDescent="0.25">
      <c r="A153" s="463"/>
      <c r="B153" s="459" t="s">
        <v>224</v>
      </c>
      <c r="C153" s="464"/>
      <c r="D153" s="460">
        <f>D154</f>
        <v>0</v>
      </c>
      <c r="E153" s="444"/>
      <c r="F153" s="472" t="s">
        <v>225</v>
      </c>
      <c r="G153" s="455"/>
      <c r="H153" s="456">
        <f>SUM(H154,H162,H170,H176,-H183)</f>
        <v>0</v>
      </c>
    </row>
    <row r="154" spans="1:9" x14ac:dyDescent="0.25">
      <c r="A154" s="463"/>
      <c r="B154" s="457" t="s">
        <v>224</v>
      </c>
      <c r="C154" s="441">
        <v>1499</v>
      </c>
      <c r="D154" s="462"/>
      <c r="E154" s="444"/>
      <c r="F154" s="472" t="s">
        <v>226</v>
      </c>
      <c r="G154" s="455"/>
      <c r="H154" s="456">
        <f>SUM(H155:H161)</f>
        <v>0</v>
      </c>
    </row>
    <row r="155" spans="1:9" x14ac:dyDescent="0.25">
      <c r="A155" s="808" t="s">
        <v>227</v>
      </c>
      <c r="B155" s="808"/>
      <c r="C155" s="455"/>
      <c r="D155" s="451">
        <f>SUM(D156,D159,D162-D172)</f>
        <v>0</v>
      </c>
      <c r="E155" s="444"/>
      <c r="F155" s="463" t="s">
        <v>116</v>
      </c>
      <c r="G155" s="441">
        <v>4101</v>
      </c>
      <c r="H155" s="458"/>
    </row>
    <row r="156" spans="1:9" x14ac:dyDescent="0.25">
      <c r="A156" s="463"/>
      <c r="B156" s="454" t="s">
        <v>228</v>
      </c>
      <c r="C156" s="455"/>
      <c r="D156" s="456">
        <f>SUM(D157:D158)</f>
        <v>0</v>
      </c>
      <c r="E156" s="444"/>
      <c r="F156" s="463" t="s">
        <v>118</v>
      </c>
      <c r="G156" s="441">
        <v>4102</v>
      </c>
      <c r="H156" s="458"/>
    </row>
    <row r="157" spans="1:9" x14ac:dyDescent="0.25">
      <c r="A157" s="463"/>
      <c r="B157" s="457" t="s">
        <v>229</v>
      </c>
      <c r="C157" s="441">
        <v>1501</v>
      </c>
      <c r="D157" s="458"/>
      <c r="E157" s="444"/>
      <c r="F157" s="463" t="s">
        <v>230</v>
      </c>
      <c r="G157" s="441">
        <v>4103</v>
      </c>
      <c r="H157" s="458"/>
    </row>
    <row r="158" spans="1:9" x14ac:dyDescent="0.25">
      <c r="A158" s="463"/>
      <c r="B158" s="457" t="s">
        <v>231</v>
      </c>
      <c r="C158" s="441">
        <v>1502</v>
      </c>
      <c r="D158" s="458"/>
      <c r="E158" s="444"/>
      <c r="F158" s="463" t="s">
        <v>120</v>
      </c>
      <c r="G158" s="441">
        <v>4104</v>
      </c>
      <c r="H158" s="458"/>
    </row>
    <row r="159" spans="1:9" x14ac:dyDescent="0.25">
      <c r="A159" s="463"/>
      <c r="B159" s="454" t="s">
        <v>1169</v>
      </c>
      <c r="C159" s="455"/>
      <c r="D159" s="456">
        <f>SUM(D160:D161)</f>
        <v>0</v>
      </c>
      <c r="E159" s="444"/>
      <c r="F159" s="463" t="s">
        <v>124</v>
      </c>
      <c r="G159" s="441">
        <v>4105</v>
      </c>
      <c r="H159" s="458"/>
    </row>
    <row r="160" spans="1:9" x14ac:dyDescent="0.25">
      <c r="A160" s="463"/>
      <c r="B160" s="457" t="s">
        <v>229</v>
      </c>
      <c r="C160" s="441">
        <v>1521</v>
      </c>
      <c r="D160" s="458"/>
      <c r="E160" s="444"/>
      <c r="F160" s="463" t="s">
        <v>126</v>
      </c>
      <c r="G160" s="441">
        <v>4106</v>
      </c>
      <c r="H160" s="458"/>
    </row>
    <row r="161" spans="1:8" x14ac:dyDescent="0.25">
      <c r="A161" s="463"/>
      <c r="B161" s="457" t="s">
        <v>231</v>
      </c>
      <c r="C161" s="441">
        <v>1522</v>
      </c>
      <c r="D161" s="458"/>
      <c r="E161" s="444"/>
      <c r="F161" s="463" t="s">
        <v>128</v>
      </c>
      <c r="G161" s="441">
        <v>4107</v>
      </c>
      <c r="H161" s="458"/>
    </row>
    <row r="162" spans="1:8" x14ac:dyDescent="0.25">
      <c r="A162" s="463"/>
      <c r="B162" s="454" t="s">
        <v>232</v>
      </c>
      <c r="C162" s="452"/>
      <c r="D162" s="456">
        <f>SUM(D163,D166,D169)</f>
        <v>0</v>
      </c>
      <c r="E162" s="444"/>
      <c r="F162" s="472" t="s">
        <v>233</v>
      </c>
      <c r="G162" s="455"/>
      <c r="H162" s="456">
        <f>SUM(H163:H169)</f>
        <v>0</v>
      </c>
    </row>
    <row r="163" spans="1:8" x14ac:dyDescent="0.25">
      <c r="A163" s="463"/>
      <c r="B163" s="454" t="s">
        <v>234</v>
      </c>
      <c r="C163" s="455"/>
      <c r="D163" s="456">
        <f>SUM(D164:D165)</f>
        <v>0</v>
      </c>
      <c r="E163" s="444"/>
      <c r="F163" s="463" t="s">
        <v>116</v>
      </c>
      <c r="G163" s="441">
        <v>4111</v>
      </c>
      <c r="H163" s="458"/>
    </row>
    <row r="164" spans="1:8" x14ac:dyDescent="0.25">
      <c r="A164" s="463"/>
      <c r="B164" s="457" t="s">
        <v>229</v>
      </c>
      <c r="C164" s="441">
        <v>1541</v>
      </c>
      <c r="D164" s="458"/>
      <c r="E164" s="444"/>
      <c r="F164" s="463" t="s">
        <v>118</v>
      </c>
      <c r="G164" s="441">
        <v>4112</v>
      </c>
      <c r="H164" s="458"/>
    </row>
    <row r="165" spans="1:8" x14ac:dyDescent="0.25">
      <c r="A165" s="463"/>
      <c r="B165" s="457" t="s">
        <v>231</v>
      </c>
      <c r="C165" s="441">
        <v>1542</v>
      </c>
      <c r="D165" s="458"/>
      <c r="E165" s="444"/>
      <c r="F165" s="463" t="s">
        <v>230</v>
      </c>
      <c r="G165" s="441">
        <v>4113</v>
      </c>
      <c r="H165" s="458"/>
    </row>
    <row r="166" spans="1:8" x14ac:dyDescent="0.25">
      <c r="A166" s="463"/>
      <c r="B166" s="454" t="s">
        <v>235</v>
      </c>
      <c r="C166" s="455"/>
      <c r="D166" s="456">
        <f>SUM(D167:D168)</f>
        <v>0</v>
      </c>
      <c r="E166" s="444"/>
      <c r="F166" s="463" t="s">
        <v>120</v>
      </c>
      <c r="G166" s="441">
        <v>4114</v>
      </c>
      <c r="H166" s="458"/>
    </row>
    <row r="167" spans="1:8" x14ac:dyDescent="0.25">
      <c r="A167" s="463"/>
      <c r="B167" s="457" t="s">
        <v>229</v>
      </c>
      <c r="C167" s="441">
        <v>1561</v>
      </c>
      <c r="D167" s="458"/>
      <c r="E167" s="444"/>
      <c r="F167" s="463" t="s">
        <v>124</v>
      </c>
      <c r="G167" s="441">
        <v>4115</v>
      </c>
      <c r="H167" s="458"/>
    </row>
    <row r="168" spans="1:8" x14ac:dyDescent="0.25">
      <c r="A168" s="463"/>
      <c r="B168" s="457" t="s">
        <v>231</v>
      </c>
      <c r="C168" s="441">
        <v>1562</v>
      </c>
      <c r="D168" s="458"/>
      <c r="E168" s="444"/>
      <c r="F168" s="463" t="s">
        <v>126</v>
      </c>
      <c r="G168" s="441">
        <v>4116</v>
      </c>
      <c r="H168" s="458"/>
    </row>
    <row r="169" spans="1:8" x14ac:dyDescent="0.25">
      <c r="A169" s="463"/>
      <c r="B169" s="454" t="s">
        <v>236</v>
      </c>
      <c r="C169" s="455"/>
      <c r="D169" s="456">
        <f>SUM(D170:D171)</f>
        <v>0</v>
      </c>
      <c r="E169" s="444"/>
      <c r="F169" s="463" t="s">
        <v>128</v>
      </c>
      <c r="G169" s="441">
        <v>4117</v>
      </c>
      <c r="H169" s="458"/>
    </row>
    <row r="170" spans="1:8" x14ac:dyDescent="0.25">
      <c r="A170" s="463"/>
      <c r="B170" s="457" t="s">
        <v>229</v>
      </c>
      <c r="C170" s="441">
        <v>1581</v>
      </c>
      <c r="D170" s="458"/>
      <c r="E170" s="444"/>
      <c r="F170" s="472" t="s">
        <v>237</v>
      </c>
      <c r="G170" s="455"/>
      <c r="H170" s="456">
        <f>SUM(H171:H175)</f>
        <v>0</v>
      </c>
    </row>
    <row r="171" spans="1:8" x14ac:dyDescent="0.25">
      <c r="A171" s="463"/>
      <c r="B171" s="457" t="s">
        <v>231</v>
      </c>
      <c r="C171" s="441">
        <v>1582</v>
      </c>
      <c r="D171" s="458"/>
      <c r="E171" s="444"/>
      <c r="F171" s="463" t="s">
        <v>96</v>
      </c>
      <c r="G171" s="441">
        <v>4201</v>
      </c>
      <c r="H171" s="458"/>
    </row>
    <row r="172" spans="1:8" x14ac:dyDescent="0.25">
      <c r="A172" s="463"/>
      <c r="B172" s="459" t="s">
        <v>238</v>
      </c>
      <c r="C172" s="464"/>
      <c r="D172" s="460">
        <f>D173</f>
        <v>0</v>
      </c>
      <c r="E172" s="444"/>
      <c r="F172" s="463" t="s">
        <v>97</v>
      </c>
      <c r="G172" s="441">
        <v>4202</v>
      </c>
      <c r="H172" s="458"/>
    </row>
    <row r="173" spans="1:8" x14ac:dyDescent="0.25">
      <c r="A173" s="463"/>
      <c r="B173" s="465" t="s">
        <v>238</v>
      </c>
      <c r="C173" s="441">
        <v>1599</v>
      </c>
      <c r="D173" s="458"/>
      <c r="E173" s="444"/>
      <c r="F173" s="463" t="s">
        <v>99</v>
      </c>
      <c r="G173" s="441">
        <v>4203</v>
      </c>
      <c r="H173" s="458"/>
    </row>
    <row r="174" spans="1:8" x14ac:dyDescent="0.25">
      <c r="A174" s="808" t="s">
        <v>239</v>
      </c>
      <c r="B174" s="808"/>
      <c r="C174" s="455"/>
      <c r="D174" s="451">
        <f>SUM(D175,D182)</f>
        <v>0</v>
      </c>
      <c r="E174" s="444"/>
      <c r="F174" s="463" t="s">
        <v>101</v>
      </c>
      <c r="G174" s="441">
        <v>4204</v>
      </c>
      <c r="H174" s="458"/>
    </row>
    <row r="175" spans="1:8" x14ac:dyDescent="0.25">
      <c r="A175" s="466"/>
      <c r="B175" s="454" t="s">
        <v>240</v>
      </c>
      <c r="C175" s="455"/>
      <c r="D175" s="456">
        <f>SUM(D176,D177,D178,-D184)</f>
        <v>0</v>
      </c>
      <c r="E175" s="444"/>
      <c r="F175" s="463" t="s">
        <v>102</v>
      </c>
      <c r="G175" s="441">
        <v>4205</v>
      </c>
      <c r="H175" s="458"/>
    </row>
    <row r="176" spans="1:8" x14ac:dyDescent="0.25">
      <c r="A176" s="463"/>
      <c r="B176" s="457" t="s">
        <v>241</v>
      </c>
      <c r="C176" s="441">
        <v>1601</v>
      </c>
      <c r="D176" s="458"/>
      <c r="E176" s="444"/>
      <c r="F176" s="472" t="s">
        <v>242</v>
      </c>
      <c r="G176" s="455"/>
      <c r="H176" s="456">
        <f>SUM(H177:H182)</f>
        <v>0</v>
      </c>
    </row>
    <row r="177" spans="1:8" x14ac:dyDescent="0.25">
      <c r="A177" s="463"/>
      <c r="B177" s="457" t="s">
        <v>1171</v>
      </c>
      <c r="C177" s="441">
        <v>1621</v>
      </c>
      <c r="D177" s="458"/>
      <c r="E177" s="444"/>
      <c r="F177" s="463" t="s">
        <v>243</v>
      </c>
      <c r="G177" s="441">
        <v>4301</v>
      </c>
      <c r="H177" s="458"/>
    </row>
    <row r="178" spans="1:8" x14ac:dyDescent="0.25">
      <c r="A178" s="463"/>
      <c r="B178" s="454" t="s">
        <v>244</v>
      </c>
      <c r="C178" s="452"/>
      <c r="D178" s="456">
        <f>SUM(D179:D181)</f>
        <v>0</v>
      </c>
      <c r="E178" s="444"/>
      <c r="F178" s="463" t="s">
        <v>245</v>
      </c>
      <c r="G178" s="441">
        <v>4302</v>
      </c>
      <c r="H178" s="458"/>
    </row>
    <row r="179" spans="1:8" x14ac:dyDescent="0.25">
      <c r="A179" s="463"/>
      <c r="B179" s="457" t="s">
        <v>246</v>
      </c>
      <c r="C179" s="441">
        <v>1641</v>
      </c>
      <c r="D179" s="458"/>
      <c r="E179" s="444"/>
      <c r="F179" s="463" t="s">
        <v>247</v>
      </c>
      <c r="G179" s="441">
        <v>4311</v>
      </c>
      <c r="H179" s="458"/>
    </row>
    <row r="180" spans="1:8" x14ac:dyDescent="0.25">
      <c r="A180" s="463"/>
      <c r="B180" s="457" t="s">
        <v>248</v>
      </c>
      <c r="C180" s="441">
        <v>1661</v>
      </c>
      <c r="D180" s="458"/>
      <c r="E180" s="444"/>
      <c r="F180" s="463" t="s">
        <v>249</v>
      </c>
      <c r="G180" s="441">
        <v>4312</v>
      </c>
      <c r="H180" s="458"/>
    </row>
    <row r="181" spans="1:8" x14ac:dyDescent="0.25">
      <c r="A181" s="463"/>
      <c r="B181" s="457" t="s">
        <v>250</v>
      </c>
      <c r="C181" s="441">
        <v>1681</v>
      </c>
      <c r="D181" s="458"/>
      <c r="E181" s="444"/>
      <c r="F181" s="463" t="s">
        <v>251</v>
      </c>
      <c r="G181" s="441">
        <v>4321</v>
      </c>
      <c r="H181" s="458"/>
    </row>
    <row r="182" spans="1:8" x14ac:dyDescent="0.25">
      <c r="A182" s="463"/>
      <c r="B182" s="454" t="s">
        <v>252</v>
      </c>
      <c r="C182" s="455"/>
      <c r="D182" s="456">
        <f>D183</f>
        <v>0</v>
      </c>
      <c r="E182" s="444"/>
      <c r="F182" s="463" t="s">
        <v>253</v>
      </c>
      <c r="G182" s="441">
        <v>4322</v>
      </c>
      <c r="H182" s="458"/>
    </row>
    <row r="183" spans="1:8" x14ac:dyDescent="0.25">
      <c r="A183" s="463"/>
      <c r="B183" s="457" t="s">
        <v>252</v>
      </c>
      <c r="C183" s="441">
        <v>1691</v>
      </c>
      <c r="D183" s="458"/>
      <c r="E183" s="444"/>
      <c r="F183" s="475" t="s">
        <v>254</v>
      </c>
      <c r="G183" s="464"/>
      <c r="H183" s="460">
        <f>H184</f>
        <v>0</v>
      </c>
    </row>
    <row r="184" spans="1:8" x14ac:dyDescent="0.25">
      <c r="A184" s="463"/>
      <c r="B184" s="459" t="s">
        <v>255</v>
      </c>
      <c r="C184" s="464"/>
      <c r="D184" s="460">
        <f>D185</f>
        <v>0</v>
      </c>
      <c r="E184" s="444"/>
      <c r="F184" s="463" t="s">
        <v>254</v>
      </c>
      <c r="G184" s="441">
        <v>4323</v>
      </c>
      <c r="H184" s="458"/>
    </row>
    <row r="185" spans="1:8" x14ac:dyDescent="0.25">
      <c r="A185" s="467"/>
      <c r="B185" s="465" t="s">
        <v>255</v>
      </c>
      <c r="C185" s="468">
        <v>1699</v>
      </c>
      <c r="D185" s="469"/>
      <c r="E185" s="444"/>
      <c r="F185" s="472" t="s">
        <v>256</v>
      </c>
      <c r="G185" s="455"/>
      <c r="H185" s="456">
        <f>SUM(H186,H189,H192)</f>
        <v>0</v>
      </c>
    </row>
    <row r="186" spans="1:8" x14ac:dyDescent="0.25">
      <c r="A186" s="808" t="s">
        <v>257</v>
      </c>
      <c r="B186" s="808"/>
      <c r="C186" s="455"/>
      <c r="D186" s="451">
        <f>SUM(D187,D203,D222)</f>
        <v>0</v>
      </c>
      <c r="E186" s="444"/>
      <c r="F186" s="472" t="s">
        <v>258</v>
      </c>
      <c r="G186" s="455"/>
      <c r="H186" s="456">
        <f>SUM(H187:H188)</f>
        <v>0</v>
      </c>
    </row>
    <row r="187" spans="1:8" x14ac:dyDescent="0.25">
      <c r="A187" s="463"/>
      <c r="B187" s="470" t="s">
        <v>259</v>
      </c>
      <c r="C187" s="455"/>
      <c r="D187" s="451">
        <f>SUM(D188,D191,D194,D197,D200)</f>
        <v>0</v>
      </c>
      <c r="E187" s="444"/>
      <c r="F187" s="463" t="s">
        <v>260</v>
      </c>
      <c r="G187" s="441">
        <v>4401</v>
      </c>
      <c r="H187" s="458"/>
    </row>
    <row r="188" spans="1:8" x14ac:dyDescent="0.25">
      <c r="A188" s="463"/>
      <c r="B188" s="454" t="s">
        <v>261</v>
      </c>
      <c r="C188" s="455"/>
      <c r="D188" s="456">
        <f>SUM(D189:D190)</f>
        <v>0</v>
      </c>
      <c r="E188" s="444"/>
      <c r="F188" s="463" t="s">
        <v>262</v>
      </c>
      <c r="G188" s="441">
        <v>4402</v>
      </c>
      <c r="H188" s="458"/>
    </row>
    <row r="189" spans="1:8" x14ac:dyDescent="0.25">
      <c r="A189" s="463"/>
      <c r="B189" s="457" t="s">
        <v>263</v>
      </c>
      <c r="C189" s="441">
        <v>1701</v>
      </c>
      <c r="D189" s="458"/>
      <c r="E189" s="444"/>
      <c r="F189" s="472" t="s">
        <v>264</v>
      </c>
      <c r="G189" s="455"/>
      <c r="H189" s="456">
        <f>SUM(H190:H191)</f>
        <v>0</v>
      </c>
    </row>
    <row r="190" spans="1:8" x14ac:dyDescent="0.25">
      <c r="A190" s="463"/>
      <c r="B190" s="457" t="s">
        <v>265</v>
      </c>
      <c r="C190" s="441">
        <v>1702</v>
      </c>
      <c r="D190" s="458"/>
      <c r="E190" s="444"/>
      <c r="F190" s="463" t="s">
        <v>266</v>
      </c>
      <c r="G190" s="441">
        <v>4411</v>
      </c>
      <c r="H190" s="458"/>
    </row>
    <row r="191" spans="1:8" x14ac:dyDescent="0.25">
      <c r="A191" s="463"/>
      <c r="B191" s="454" t="s">
        <v>267</v>
      </c>
      <c r="C191" s="455"/>
      <c r="D191" s="456">
        <f>SUM(D192:D193)</f>
        <v>0</v>
      </c>
      <c r="E191" s="444"/>
      <c r="F191" s="463" t="s">
        <v>268</v>
      </c>
      <c r="G191" s="441">
        <v>4412</v>
      </c>
      <c r="H191" s="458"/>
    </row>
    <row r="192" spans="1:8" x14ac:dyDescent="0.25">
      <c r="A192" s="463"/>
      <c r="B192" s="457" t="s">
        <v>269</v>
      </c>
      <c r="C192" s="441">
        <v>1703</v>
      </c>
      <c r="D192" s="458"/>
      <c r="E192" s="444"/>
      <c r="F192" s="472" t="s">
        <v>270</v>
      </c>
      <c r="G192" s="455"/>
      <c r="H192" s="456">
        <f>SUM(H193:H199)</f>
        <v>0</v>
      </c>
    </row>
    <row r="193" spans="1:8" x14ac:dyDescent="0.25">
      <c r="A193" s="463"/>
      <c r="B193" s="457" t="s">
        <v>271</v>
      </c>
      <c r="C193" s="441">
        <v>1704</v>
      </c>
      <c r="D193" s="458"/>
      <c r="E193" s="444"/>
      <c r="F193" s="463" t="s">
        <v>272</v>
      </c>
      <c r="G193" s="441">
        <v>4421</v>
      </c>
      <c r="H193" s="458"/>
    </row>
    <row r="194" spans="1:8" x14ac:dyDescent="0.25">
      <c r="A194" s="463"/>
      <c r="B194" s="454" t="s">
        <v>273</v>
      </c>
      <c r="C194" s="455"/>
      <c r="D194" s="456">
        <f>SUM(D195:D196)</f>
        <v>0</v>
      </c>
      <c r="E194" s="444"/>
      <c r="F194" s="463" t="s">
        <v>274</v>
      </c>
      <c r="G194" s="441">
        <v>4422</v>
      </c>
      <c r="H194" s="458"/>
    </row>
    <row r="195" spans="1:8" x14ac:dyDescent="0.25">
      <c r="A195" s="463"/>
      <c r="B195" s="457" t="s">
        <v>275</v>
      </c>
      <c r="C195" s="441">
        <v>1705</v>
      </c>
      <c r="D195" s="458"/>
      <c r="E195" s="444"/>
      <c r="F195" s="463" t="s">
        <v>276</v>
      </c>
      <c r="G195" s="441">
        <v>4423</v>
      </c>
      <c r="H195" s="458"/>
    </row>
    <row r="196" spans="1:8" ht="25.5" x14ac:dyDescent="0.25">
      <c r="A196" s="463"/>
      <c r="B196" s="457" t="s">
        <v>277</v>
      </c>
      <c r="C196" s="441">
        <v>1706</v>
      </c>
      <c r="D196" s="458"/>
      <c r="E196" s="444"/>
      <c r="F196" s="463" t="s">
        <v>278</v>
      </c>
      <c r="G196" s="441">
        <v>4424</v>
      </c>
      <c r="H196" s="458"/>
    </row>
    <row r="197" spans="1:8" x14ac:dyDescent="0.25">
      <c r="A197" s="463"/>
      <c r="B197" s="454" t="s">
        <v>279</v>
      </c>
      <c r="C197" s="455"/>
      <c r="D197" s="456">
        <f>SUM(D198:D199)</f>
        <v>0</v>
      </c>
      <c r="E197" s="444"/>
      <c r="F197" s="463" t="s">
        <v>280</v>
      </c>
      <c r="G197" s="441">
        <v>4425</v>
      </c>
      <c r="H197" s="458"/>
    </row>
    <row r="198" spans="1:8" x14ac:dyDescent="0.25">
      <c r="A198" s="463"/>
      <c r="B198" s="457" t="s">
        <v>281</v>
      </c>
      <c r="C198" s="441">
        <v>1707</v>
      </c>
      <c r="D198" s="458"/>
      <c r="E198" s="444"/>
      <c r="F198" s="463" t="s">
        <v>282</v>
      </c>
      <c r="G198" s="441">
        <v>4426</v>
      </c>
      <c r="H198" s="458"/>
    </row>
    <row r="199" spans="1:8" ht="25.5" x14ac:dyDescent="0.25">
      <c r="A199" s="463"/>
      <c r="B199" s="457" t="s">
        <v>283</v>
      </c>
      <c r="C199" s="441">
        <v>1708</v>
      </c>
      <c r="D199" s="458"/>
      <c r="E199" s="444"/>
      <c r="F199" s="463" t="s">
        <v>128</v>
      </c>
      <c r="G199" s="441">
        <v>4427</v>
      </c>
      <c r="H199" s="458"/>
    </row>
    <row r="200" spans="1:8" x14ac:dyDescent="0.25">
      <c r="A200" s="463"/>
      <c r="B200" s="454" t="s">
        <v>284</v>
      </c>
      <c r="C200" s="455"/>
      <c r="D200" s="456">
        <f>SUM(D201:D202)</f>
        <v>0</v>
      </c>
      <c r="E200" s="444"/>
      <c r="F200" s="473" t="s">
        <v>285</v>
      </c>
      <c r="G200" s="452"/>
      <c r="H200" s="451">
        <f>SUM(H201:H206)</f>
        <v>0</v>
      </c>
    </row>
    <row r="201" spans="1:8" x14ac:dyDescent="0.25">
      <c r="A201" s="463"/>
      <c r="B201" s="465" t="s">
        <v>286</v>
      </c>
      <c r="C201" s="468">
        <v>1709</v>
      </c>
      <c r="D201" s="469"/>
      <c r="E201" s="444"/>
      <c r="F201" s="463" t="s">
        <v>287</v>
      </c>
      <c r="G201" s="441">
        <v>4501</v>
      </c>
      <c r="H201" s="458"/>
    </row>
    <row r="202" spans="1:8" x14ac:dyDescent="0.25">
      <c r="A202" s="463"/>
      <c r="B202" s="457" t="s">
        <v>288</v>
      </c>
      <c r="C202" s="441">
        <v>1710</v>
      </c>
      <c r="D202" s="458"/>
      <c r="E202" s="444"/>
      <c r="F202" s="463" t="s">
        <v>289</v>
      </c>
      <c r="G202" s="441">
        <v>4502</v>
      </c>
      <c r="H202" s="458"/>
    </row>
    <row r="203" spans="1:8" x14ac:dyDescent="0.25">
      <c r="A203" s="463"/>
      <c r="B203" s="470" t="s">
        <v>290</v>
      </c>
      <c r="C203" s="452"/>
      <c r="D203" s="451">
        <f>SUM(D204,D207,D210,-D220)</f>
        <v>0</v>
      </c>
      <c r="E203" s="444"/>
      <c r="F203" s="463" t="s">
        <v>291</v>
      </c>
      <c r="G203" s="441">
        <v>4503</v>
      </c>
      <c r="H203" s="458"/>
    </row>
    <row r="204" spans="1:8" x14ac:dyDescent="0.25">
      <c r="A204" s="463"/>
      <c r="B204" s="454" t="s">
        <v>292</v>
      </c>
      <c r="C204" s="455"/>
      <c r="D204" s="456">
        <f>SUM(D205:D206)</f>
        <v>0</v>
      </c>
      <c r="E204" s="444"/>
      <c r="F204" s="463" t="s">
        <v>293</v>
      </c>
      <c r="G204" s="441">
        <v>4504</v>
      </c>
      <c r="H204" s="458"/>
    </row>
    <row r="205" spans="1:8" x14ac:dyDescent="0.25">
      <c r="A205" s="463"/>
      <c r="B205" s="457" t="s">
        <v>294</v>
      </c>
      <c r="C205" s="441">
        <v>1711</v>
      </c>
      <c r="D205" s="458"/>
      <c r="E205" s="444"/>
      <c r="F205" s="463" t="s">
        <v>295</v>
      </c>
      <c r="G205" s="441">
        <v>4505</v>
      </c>
      <c r="H205" s="458"/>
    </row>
    <row r="206" spans="1:8" x14ac:dyDescent="0.25">
      <c r="A206" s="463"/>
      <c r="B206" s="457" t="s">
        <v>296</v>
      </c>
      <c r="C206" s="441">
        <v>1712</v>
      </c>
      <c r="D206" s="458"/>
      <c r="E206" s="444"/>
      <c r="F206" s="463" t="s">
        <v>128</v>
      </c>
      <c r="G206" s="441">
        <v>4506</v>
      </c>
      <c r="H206" s="458"/>
    </row>
    <row r="207" spans="1:8" x14ac:dyDescent="0.25">
      <c r="A207" s="463"/>
      <c r="B207" s="454" t="s">
        <v>1170</v>
      </c>
      <c r="C207" s="455"/>
      <c r="D207" s="456">
        <f>SUM(D208:D209)</f>
        <v>0</v>
      </c>
      <c r="E207" s="444"/>
      <c r="F207" s="473" t="s">
        <v>297</v>
      </c>
      <c r="G207" s="455"/>
      <c r="H207" s="456">
        <f>H208</f>
        <v>0</v>
      </c>
    </row>
    <row r="208" spans="1:8" x14ac:dyDescent="0.25">
      <c r="A208" s="463"/>
      <c r="B208" s="457" t="s">
        <v>1172</v>
      </c>
      <c r="C208" s="441">
        <v>1721</v>
      </c>
      <c r="D208" s="458"/>
      <c r="E208" s="444"/>
      <c r="F208" s="463" t="s">
        <v>297</v>
      </c>
      <c r="G208" s="441">
        <v>4601</v>
      </c>
      <c r="H208" s="458"/>
    </row>
    <row r="209" spans="1:8" x14ac:dyDescent="0.25">
      <c r="A209" s="463"/>
      <c r="B209" s="457" t="s">
        <v>1173</v>
      </c>
      <c r="C209" s="441">
        <v>1722</v>
      </c>
      <c r="D209" s="458"/>
      <c r="F209" s="55"/>
      <c r="G209" s="56"/>
      <c r="H209" s="476"/>
    </row>
    <row r="210" spans="1:8" x14ac:dyDescent="0.25">
      <c r="A210" s="463"/>
      <c r="B210" s="454" t="s">
        <v>298</v>
      </c>
      <c r="C210" s="455"/>
      <c r="D210" s="456">
        <f>SUM(D211,D214,D217)</f>
        <v>0</v>
      </c>
      <c r="F210" s="55"/>
      <c r="G210" s="56"/>
      <c r="H210" s="477"/>
    </row>
    <row r="211" spans="1:8" x14ac:dyDescent="0.25">
      <c r="A211" s="463"/>
      <c r="B211" s="454" t="s">
        <v>299</v>
      </c>
      <c r="C211" s="455"/>
      <c r="D211" s="456">
        <f>SUM(D212:D213)</f>
        <v>0</v>
      </c>
      <c r="F211" s="55"/>
      <c r="G211" s="56"/>
      <c r="H211" s="477"/>
    </row>
    <row r="212" spans="1:8" x14ac:dyDescent="0.25">
      <c r="A212" s="463"/>
      <c r="B212" s="457" t="s">
        <v>300</v>
      </c>
      <c r="C212" s="441">
        <v>1741</v>
      </c>
      <c r="D212" s="458"/>
      <c r="F212" s="55"/>
      <c r="G212" s="56"/>
      <c r="H212" s="477"/>
    </row>
    <row r="213" spans="1:8" x14ac:dyDescent="0.25">
      <c r="A213" s="463"/>
      <c r="B213" s="457" t="s">
        <v>301</v>
      </c>
      <c r="C213" s="441">
        <v>1742</v>
      </c>
      <c r="D213" s="458"/>
      <c r="F213" s="55"/>
      <c r="G213" s="56"/>
      <c r="H213" s="477"/>
    </row>
    <row r="214" spans="1:8" x14ac:dyDescent="0.25">
      <c r="A214" s="463"/>
      <c r="B214" s="454" t="s">
        <v>302</v>
      </c>
      <c r="C214" s="455"/>
      <c r="D214" s="456">
        <f>SUM(D215:D216)</f>
        <v>0</v>
      </c>
      <c r="F214" s="55"/>
      <c r="G214" s="56"/>
      <c r="H214" s="477"/>
    </row>
    <row r="215" spans="1:8" x14ac:dyDescent="0.25">
      <c r="A215" s="463"/>
      <c r="B215" s="457" t="s">
        <v>303</v>
      </c>
      <c r="C215" s="441">
        <v>1761</v>
      </c>
      <c r="D215" s="458"/>
      <c r="F215" s="55"/>
      <c r="G215" s="56"/>
      <c r="H215" s="477"/>
    </row>
    <row r="216" spans="1:8" x14ac:dyDescent="0.25">
      <c r="A216" s="463"/>
      <c r="B216" s="457" t="s">
        <v>304</v>
      </c>
      <c r="C216" s="441">
        <v>1762</v>
      </c>
      <c r="D216" s="458"/>
      <c r="F216" s="55"/>
      <c r="G216" s="56"/>
      <c r="H216" s="477"/>
    </row>
    <row r="217" spans="1:8" x14ac:dyDescent="0.25">
      <c r="A217" s="463"/>
      <c r="B217" s="454" t="s">
        <v>305</v>
      </c>
      <c r="C217" s="455"/>
      <c r="D217" s="456">
        <f>SUM(D218:D219)</f>
        <v>0</v>
      </c>
      <c r="F217" s="55"/>
      <c r="G217" s="56"/>
      <c r="H217" s="477"/>
    </row>
    <row r="218" spans="1:8" x14ac:dyDescent="0.25">
      <c r="A218" s="463"/>
      <c r="B218" s="457" t="s">
        <v>306</v>
      </c>
      <c r="C218" s="441">
        <v>1781</v>
      </c>
      <c r="D218" s="458"/>
      <c r="F218" s="55"/>
      <c r="G218" s="56"/>
      <c r="H218" s="477"/>
    </row>
    <row r="219" spans="1:8" x14ac:dyDescent="0.25">
      <c r="A219" s="463"/>
      <c r="B219" s="457" t="s">
        <v>307</v>
      </c>
      <c r="C219" s="441">
        <v>1782</v>
      </c>
      <c r="D219" s="458"/>
      <c r="F219" s="55"/>
      <c r="G219" s="56"/>
      <c r="H219" s="477"/>
    </row>
    <row r="220" spans="1:8" x14ac:dyDescent="0.25">
      <c r="A220" s="463"/>
      <c r="B220" s="459" t="s">
        <v>308</v>
      </c>
      <c r="C220" s="455"/>
      <c r="D220" s="460">
        <f>D221</f>
        <v>0</v>
      </c>
      <c r="F220" s="55"/>
      <c r="G220" s="56"/>
      <c r="H220" s="477"/>
    </row>
    <row r="221" spans="1:8" x14ac:dyDescent="0.25">
      <c r="A221" s="463"/>
      <c r="B221" s="457" t="s">
        <v>308</v>
      </c>
      <c r="C221" s="441">
        <v>1799</v>
      </c>
      <c r="D221" s="458"/>
      <c r="F221" s="55"/>
      <c r="G221" s="56"/>
      <c r="H221" s="477"/>
    </row>
    <row r="222" spans="1:8" x14ac:dyDescent="0.25">
      <c r="A222" s="463"/>
      <c r="B222" s="470" t="s">
        <v>309</v>
      </c>
      <c r="C222" s="452"/>
      <c r="D222" s="451">
        <f>SUM(D223:D229)</f>
        <v>0</v>
      </c>
      <c r="F222" s="55"/>
      <c r="G222" s="56"/>
      <c r="H222" s="477"/>
    </row>
    <row r="223" spans="1:8" x14ac:dyDescent="0.25">
      <c r="A223" s="444"/>
      <c r="B223" s="457" t="s">
        <v>310</v>
      </c>
      <c r="C223" s="441">
        <v>1791</v>
      </c>
      <c r="D223" s="458"/>
      <c r="F223" s="55"/>
      <c r="G223" s="56"/>
      <c r="H223" s="477"/>
    </row>
    <row r="224" spans="1:8" x14ac:dyDescent="0.25">
      <c r="A224" s="444"/>
      <c r="B224" s="457" t="s">
        <v>311</v>
      </c>
      <c r="C224" s="441">
        <v>1792</v>
      </c>
      <c r="D224" s="458"/>
      <c r="F224" s="55"/>
      <c r="G224" s="56"/>
      <c r="H224" s="477"/>
    </row>
    <row r="225" spans="1:8" x14ac:dyDescent="0.25">
      <c r="A225" s="444"/>
      <c r="B225" s="457" t="s">
        <v>312</v>
      </c>
      <c r="C225" s="441">
        <v>1793</v>
      </c>
      <c r="D225" s="458"/>
      <c r="F225" s="55"/>
      <c r="G225" s="56"/>
      <c r="H225" s="477"/>
    </row>
    <row r="226" spans="1:8" x14ac:dyDescent="0.25">
      <c r="A226" s="444"/>
      <c r="B226" s="457" t="s">
        <v>313</v>
      </c>
      <c r="C226" s="441">
        <v>1794</v>
      </c>
      <c r="D226" s="458"/>
      <c r="F226" s="55"/>
      <c r="G226" s="56"/>
      <c r="H226" s="477"/>
    </row>
    <row r="227" spans="1:8" x14ac:dyDescent="0.25">
      <c r="A227" s="444"/>
      <c r="B227" s="457" t="s">
        <v>314</v>
      </c>
      <c r="C227" s="441">
        <v>1795</v>
      </c>
      <c r="D227" s="458"/>
      <c r="F227" s="55"/>
      <c r="G227" s="56"/>
      <c r="H227" s="477"/>
    </row>
    <row r="228" spans="1:8" x14ac:dyDescent="0.25">
      <c r="A228" s="444"/>
      <c r="B228" s="457" t="s">
        <v>315</v>
      </c>
      <c r="C228" s="441">
        <v>1796</v>
      </c>
      <c r="D228" s="458"/>
      <c r="F228" s="55"/>
      <c r="G228" s="56"/>
      <c r="H228" s="477"/>
    </row>
    <row r="229" spans="1:8" x14ac:dyDescent="0.25">
      <c r="A229" s="444"/>
      <c r="B229" s="457" t="s">
        <v>128</v>
      </c>
      <c r="C229" s="441">
        <v>1797</v>
      </c>
      <c r="D229" s="458"/>
      <c r="F229" s="55"/>
      <c r="G229" s="56"/>
      <c r="H229" s="477"/>
    </row>
    <row r="230" spans="1:8" x14ac:dyDescent="0.25">
      <c r="A230" s="808" t="s">
        <v>316</v>
      </c>
      <c r="B230" s="808"/>
      <c r="C230" s="452"/>
      <c r="D230" s="451">
        <f>SUM(D231,D236)</f>
        <v>0</v>
      </c>
      <c r="F230" s="55"/>
      <c r="G230" s="56"/>
      <c r="H230" s="477"/>
    </row>
    <row r="231" spans="1:8" x14ac:dyDescent="0.25">
      <c r="A231" s="471"/>
      <c r="B231" s="454" t="s">
        <v>317</v>
      </c>
      <c r="C231" s="455"/>
      <c r="D231" s="456">
        <f>SUM(D232:D235)</f>
        <v>0</v>
      </c>
      <c r="F231" s="55"/>
      <c r="G231" s="56"/>
      <c r="H231" s="477"/>
    </row>
    <row r="232" spans="1:8" x14ac:dyDescent="0.25">
      <c r="A232" s="444"/>
      <c r="B232" s="457" t="s">
        <v>188</v>
      </c>
      <c r="C232" s="441">
        <v>1801</v>
      </c>
      <c r="D232" s="458"/>
      <c r="F232" s="55"/>
      <c r="G232" s="56"/>
      <c r="H232" s="477"/>
    </row>
    <row r="233" spans="1:8" x14ac:dyDescent="0.25">
      <c r="A233" s="444"/>
      <c r="B233" s="457" t="s">
        <v>189</v>
      </c>
      <c r="C233" s="441">
        <v>1802</v>
      </c>
      <c r="D233" s="458"/>
      <c r="F233" s="55"/>
      <c r="G233" s="56"/>
      <c r="H233" s="477"/>
    </row>
    <row r="234" spans="1:8" x14ac:dyDescent="0.25">
      <c r="A234" s="444"/>
      <c r="B234" s="457" t="s">
        <v>190</v>
      </c>
      <c r="C234" s="441">
        <v>1803</v>
      </c>
      <c r="D234" s="458"/>
      <c r="F234" s="55"/>
      <c r="G234" s="56"/>
      <c r="H234" s="477"/>
    </row>
    <row r="235" spans="1:8" x14ac:dyDescent="0.25">
      <c r="A235" s="444"/>
      <c r="B235" s="457" t="s">
        <v>192</v>
      </c>
      <c r="C235" s="441">
        <v>1804</v>
      </c>
      <c r="D235" s="458"/>
      <c r="F235" s="55"/>
      <c r="G235" s="56"/>
      <c r="H235" s="477"/>
    </row>
    <row r="236" spans="1:8" x14ac:dyDescent="0.25">
      <c r="A236" s="444"/>
      <c r="B236" s="454" t="s">
        <v>318</v>
      </c>
      <c r="C236" s="455"/>
      <c r="D236" s="456">
        <f>SUM(D237:D240)</f>
        <v>0</v>
      </c>
      <c r="F236" s="55"/>
      <c r="G236" s="56"/>
      <c r="H236" s="477"/>
    </row>
    <row r="237" spans="1:8" x14ac:dyDescent="0.25">
      <c r="A237" s="444"/>
      <c r="B237" s="457" t="s">
        <v>188</v>
      </c>
      <c r="C237" s="441">
        <v>1811</v>
      </c>
      <c r="D237" s="458"/>
      <c r="F237" s="55"/>
      <c r="G237" s="56"/>
      <c r="H237" s="477"/>
    </row>
    <row r="238" spans="1:8" x14ac:dyDescent="0.25">
      <c r="A238" s="444"/>
      <c r="B238" s="457" t="s">
        <v>189</v>
      </c>
      <c r="C238" s="441">
        <v>1812</v>
      </c>
      <c r="D238" s="458"/>
      <c r="F238" s="55"/>
      <c r="G238" s="56"/>
      <c r="H238" s="477"/>
    </row>
    <row r="239" spans="1:8" x14ac:dyDescent="0.25">
      <c r="A239" s="444"/>
      <c r="B239" s="457" t="s">
        <v>190</v>
      </c>
      <c r="C239" s="441">
        <v>1813</v>
      </c>
      <c r="D239" s="458"/>
      <c r="F239" s="55"/>
      <c r="G239" s="56"/>
      <c r="H239" s="477"/>
    </row>
    <row r="240" spans="1:8" x14ac:dyDescent="0.25">
      <c r="A240" s="444"/>
      <c r="B240" s="457" t="s">
        <v>192</v>
      </c>
      <c r="C240" s="441">
        <v>1814</v>
      </c>
      <c r="D240" s="458"/>
      <c r="F240" s="55"/>
      <c r="G240" s="56"/>
      <c r="H240" s="477"/>
    </row>
    <row r="241" spans="1:8" x14ac:dyDescent="0.25">
      <c r="A241" s="806" t="s">
        <v>319</v>
      </c>
      <c r="B241" s="806"/>
      <c r="C241" s="806"/>
      <c r="D241" s="451">
        <f>D242</f>
        <v>0</v>
      </c>
      <c r="F241" s="55"/>
      <c r="G241" s="56"/>
      <c r="H241" s="477"/>
    </row>
    <row r="242" spans="1:8" x14ac:dyDescent="0.25">
      <c r="A242" s="807" t="s">
        <v>320</v>
      </c>
      <c r="B242" s="807"/>
      <c r="C242" s="455"/>
      <c r="D242" s="451">
        <f>SUM(D243,-D249)</f>
        <v>0</v>
      </c>
      <c r="F242" s="55"/>
      <c r="G242" s="56"/>
      <c r="H242" s="477"/>
    </row>
    <row r="243" spans="1:8" x14ac:dyDescent="0.25">
      <c r="A243" s="444"/>
      <c r="B243" s="454" t="s">
        <v>321</v>
      </c>
      <c r="C243" s="455"/>
      <c r="D243" s="456">
        <f>SUM(D244:D248)</f>
        <v>0</v>
      </c>
      <c r="F243" s="55"/>
      <c r="G243" s="56"/>
      <c r="H243" s="477"/>
    </row>
    <row r="244" spans="1:8" x14ac:dyDescent="0.25">
      <c r="A244" s="444"/>
      <c r="B244" s="457" t="s">
        <v>322</v>
      </c>
      <c r="C244" s="441">
        <v>1901</v>
      </c>
      <c r="D244" s="458"/>
      <c r="F244" s="55"/>
      <c r="G244" s="56"/>
      <c r="H244" s="477"/>
    </row>
    <row r="245" spans="1:8" x14ac:dyDescent="0.25">
      <c r="A245" s="444"/>
      <c r="B245" s="457" t="s">
        <v>323</v>
      </c>
      <c r="C245" s="441">
        <v>1902</v>
      </c>
      <c r="D245" s="458"/>
      <c r="F245" s="55"/>
      <c r="G245" s="56"/>
      <c r="H245" s="477"/>
    </row>
    <row r="246" spans="1:8" x14ac:dyDescent="0.25">
      <c r="A246" s="444"/>
      <c r="B246" s="457" t="s">
        <v>324</v>
      </c>
      <c r="C246" s="441">
        <v>1903</v>
      </c>
      <c r="D246" s="458"/>
      <c r="F246" s="55"/>
      <c r="G246" s="56"/>
      <c r="H246" s="477"/>
    </row>
    <row r="247" spans="1:8" x14ac:dyDescent="0.25">
      <c r="A247" s="444"/>
      <c r="B247" s="457" t="s">
        <v>325</v>
      </c>
      <c r="C247" s="441">
        <v>1904</v>
      </c>
      <c r="D247" s="458"/>
      <c r="F247" s="55"/>
      <c r="G247" s="56"/>
      <c r="H247" s="477"/>
    </row>
    <row r="248" spans="1:8" x14ac:dyDescent="0.25">
      <c r="A248" s="444"/>
      <c r="B248" s="457" t="s">
        <v>326</v>
      </c>
      <c r="C248" s="441">
        <v>1905</v>
      </c>
      <c r="D248" s="458"/>
      <c r="F248" s="55"/>
      <c r="G248" s="56"/>
      <c r="H248" s="477"/>
    </row>
    <row r="249" spans="1:8" x14ac:dyDescent="0.25">
      <c r="A249" s="444"/>
      <c r="B249" s="454" t="s">
        <v>327</v>
      </c>
      <c r="C249" s="455"/>
      <c r="D249" s="456">
        <f>SUM(D250:D252)</f>
        <v>0</v>
      </c>
      <c r="F249" s="55"/>
      <c r="G249" s="56"/>
      <c r="H249" s="477"/>
    </row>
    <row r="250" spans="1:8" x14ac:dyDescent="0.25">
      <c r="A250" s="444"/>
      <c r="B250" s="457" t="s">
        <v>328</v>
      </c>
      <c r="C250" s="441">
        <v>1911</v>
      </c>
      <c r="D250" s="458"/>
      <c r="F250" s="55"/>
      <c r="G250" s="56"/>
      <c r="H250" s="477"/>
    </row>
    <row r="251" spans="1:8" x14ac:dyDescent="0.25">
      <c r="A251" s="444"/>
      <c r="B251" s="457" t="s">
        <v>329</v>
      </c>
      <c r="C251" s="441">
        <v>1912</v>
      </c>
      <c r="D251" s="458"/>
      <c r="F251" s="55"/>
      <c r="G251" s="56"/>
      <c r="H251" s="477"/>
    </row>
    <row r="252" spans="1:8" x14ac:dyDescent="0.25">
      <c r="A252" s="444"/>
      <c r="B252" s="457" t="s">
        <v>330</v>
      </c>
      <c r="C252" s="441">
        <v>1913</v>
      </c>
      <c r="D252" s="458"/>
      <c r="F252" s="55"/>
      <c r="G252" s="56"/>
      <c r="H252" s="477"/>
    </row>
    <row r="253" spans="1:8" x14ac:dyDescent="0.25">
      <c r="A253" s="806" t="s">
        <v>331</v>
      </c>
      <c r="B253" s="806"/>
      <c r="C253" s="806"/>
      <c r="D253" s="451">
        <f>SUM(D254,D315,D322,D324)</f>
        <v>0</v>
      </c>
      <c r="F253" s="55"/>
      <c r="G253" s="56"/>
      <c r="H253" s="477"/>
    </row>
    <row r="254" spans="1:8" x14ac:dyDescent="0.25">
      <c r="A254" s="444"/>
      <c r="B254" s="470" t="s">
        <v>332</v>
      </c>
      <c r="C254" s="455"/>
      <c r="D254" s="451">
        <f>SUM(D255,-D260,D262)</f>
        <v>0</v>
      </c>
      <c r="F254" s="55"/>
      <c r="G254" s="56"/>
      <c r="H254" s="477"/>
    </row>
    <row r="255" spans="1:8" x14ac:dyDescent="0.25">
      <c r="A255" s="444"/>
      <c r="B255" s="454" t="s">
        <v>333</v>
      </c>
      <c r="C255" s="455"/>
      <c r="D255" s="456">
        <f>SUM(D256:D259)</f>
        <v>0</v>
      </c>
      <c r="F255" s="55"/>
      <c r="G255" s="56"/>
      <c r="H255" s="477"/>
    </row>
    <row r="256" spans="1:8" x14ac:dyDescent="0.25">
      <c r="A256" s="444"/>
      <c r="B256" s="457" t="s">
        <v>334</v>
      </c>
      <c r="C256" s="441">
        <v>5101</v>
      </c>
      <c r="D256" s="458"/>
      <c r="F256" s="55"/>
      <c r="G256" s="56"/>
      <c r="H256" s="477"/>
    </row>
    <row r="257" spans="1:8" x14ac:dyDescent="0.25">
      <c r="A257" s="444"/>
      <c r="B257" s="457" t="s">
        <v>335</v>
      </c>
      <c r="C257" s="441">
        <v>5102</v>
      </c>
      <c r="D257" s="458"/>
      <c r="F257" s="55"/>
      <c r="G257" s="56"/>
      <c r="H257" s="477"/>
    </row>
    <row r="258" spans="1:8" x14ac:dyDescent="0.25">
      <c r="A258" s="444"/>
      <c r="B258" s="457" t="s">
        <v>336</v>
      </c>
      <c r="C258" s="441">
        <v>5103</v>
      </c>
      <c r="D258" s="458"/>
      <c r="F258" s="55"/>
      <c r="G258" s="56"/>
      <c r="H258" s="477"/>
    </row>
    <row r="259" spans="1:8" x14ac:dyDescent="0.25">
      <c r="A259" s="444"/>
      <c r="B259" s="457" t="s">
        <v>337</v>
      </c>
      <c r="C259" s="441">
        <v>5104</v>
      </c>
      <c r="D259" s="458"/>
      <c r="F259" s="55"/>
      <c r="G259" s="56"/>
      <c r="H259" s="477"/>
    </row>
    <row r="260" spans="1:8" x14ac:dyDescent="0.25">
      <c r="A260" s="444"/>
      <c r="B260" s="459" t="s">
        <v>338</v>
      </c>
      <c r="C260" s="464"/>
      <c r="D260" s="460">
        <f>D261</f>
        <v>0</v>
      </c>
      <c r="F260" s="55"/>
      <c r="G260" s="56"/>
      <c r="H260" s="477"/>
    </row>
    <row r="261" spans="1:8" x14ac:dyDescent="0.25">
      <c r="A261" s="444"/>
      <c r="B261" s="457" t="s">
        <v>338</v>
      </c>
      <c r="C261" s="441">
        <v>5105</v>
      </c>
      <c r="D261" s="458"/>
      <c r="F261" s="55"/>
      <c r="G261" s="56"/>
      <c r="H261" s="477"/>
    </row>
    <row r="262" spans="1:8" x14ac:dyDescent="0.25">
      <c r="A262" s="444"/>
      <c r="B262" s="454" t="s">
        <v>339</v>
      </c>
      <c r="C262" s="455"/>
      <c r="D262" s="456">
        <f>SUM(D263,D270,D275,D285)</f>
        <v>0</v>
      </c>
      <c r="F262" s="55"/>
      <c r="G262" s="56"/>
      <c r="H262" s="477"/>
    </row>
    <row r="263" spans="1:8" x14ac:dyDescent="0.25">
      <c r="A263" s="444"/>
      <c r="B263" s="454" t="s">
        <v>340</v>
      </c>
      <c r="C263" s="455"/>
      <c r="D263" s="456">
        <f>SUM(D264:D269)</f>
        <v>0</v>
      </c>
      <c r="F263" s="55"/>
      <c r="G263" s="56"/>
      <c r="H263" s="477"/>
    </row>
    <row r="264" spans="1:8" x14ac:dyDescent="0.25">
      <c r="A264" s="444"/>
      <c r="B264" s="457" t="s">
        <v>341</v>
      </c>
      <c r="C264" s="441">
        <v>5201</v>
      </c>
      <c r="D264" s="458"/>
      <c r="F264" s="55"/>
      <c r="G264" s="56"/>
      <c r="H264" s="477"/>
    </row>
    <row r="265" spans="1:8" x14ac:dyDescent="0.25">
      <c r="A265" s="444"/>
      <c r="B265" s="457" t="s">
        <v>342</v>
      </c>
      <c r="C265" s="441">
        <v>5202</v>
      </c>
      <c r="D265" s="458"/>
      <c r="F265" s="55"/>
      <c r="G265" s="56"/>
      <c r="H265" s="477"/>
    </row>
    <row r="266" spans="1:8" x14ac:dyDescent="0.25">
      <c r="A266" s="444"/>
      <c r="B266" s="457" t="s">
        <v>343</v>
      </c>
      <c r="C266" s="441">
        <v>5203</v>
      </c>
      <c r="D266" s="458"/>
      <c r="F266" s="55"/>
      <c r="G266" s="56"/>
      <c r="H266" s="477"/>
    </row>
    <row r="267" spans="1:8" x14ac:dyDescent="0.25">
      <c r="A267" s="444"/>
      <c r="B267" s="457" t="s">
        <v>344</v>
      </c>
      <c r="C267" s="441">
        <v>5204</v>
      </c>
      <c r="D267" s="458"/>
      <c r="F267" s="55"/>
      <c r="G267" s="56"/>
      <c r="H267" s="477"/>
    </row>
    <row r="268" spans="1:8" x14ac:dyDescent="0.25">
      <c r="A268" s="444"/>
      <c r="B268" s="457" t="s">
        <v>345</v>
      </c>
      <c r="C268" s="441">
        <v>5205</v>
      </c>
      <c r="D268" s="458"/>
      <c r="F268" s="55"/>
      <c r="G268" s="56"/>
      <c r="H268" s="477"/>
    </row>
    <row r="269" spans="1:8" x14ac:dyDescent="0.25">
      <c r="A269" s="444"/>
      <c r="B269" s="457" t="s">
        <v>346</v>
      </c>
      <c r="C269" s="441">
        <v>5206</v>
      </c>
      <c r="D269" s="458"/>
      <c r="F269" s="55"/>
      <c r="G269" s="56"/>
      <c r="H269" s="477"/>
    </row>
    <row r="270" spans="1:8" x14ac:dyDescent="0.25">
      <c r="A270" s="444"/>
      <c r="B270" s="454" t="s">
        <v>347</v>
      </c>
      <c r="C270" s="455"/>
      <c r="D270" s="456">
        <f>SUM(D271:D274)</f>
        <v>0</v>
      </c>
      <c r="F270" s="55"/>
      <c r="G270" s="56"/>
      <c r="H270" s="477"/>
    </row>
    <row r="271" spans="1:8" x14ac:dyDescent="0.25">
      <c r="A271" s="444"/>
      <c r="B271" s="457" t="s">
        <v>348</v>
      </c>
      <c r="C271" s="441">
        <v>5211</v>
      </c>
      <c r="D271" s="458"/>
      <c r="F271" s="55"/>
      <c r="G271" s="56"/>
      <c r="H271" s="477"/>
    </row>
    <row r="272" spans="1:8" x14ac:dyDescent="0.25">
      <c r="A272" s="444"/>
      <c r="B272" s="457" t="s">
        <v>349</v>
      </c>
      <c r="C272" s="441">
        <v>5212</v>
      </c>
      <c r="D272" s="458"/>
      <c r="F272" s="55"/>
      <c r="G272" s="56"/>
      <c r="H272" s="477"/>
    </row>
    <row r="273" spans="1:8" x14ac:dyDescent="0.25">
      <c r="A273" s="444"/>
      <c r="B273" s="457" t="s">
        <v>350</v>
      </c>
      <c r="C273" s="441">
        <v>5213</v>
      </c>
      <c r="D273" s="458"/>
      <c r="F273" s="55"/>
      <c r="G273" s="56"/>
      <c r="H273" s="477"/>
    </row>
    <row r="274" spans="1:8" x14ac:dyDescent="0.25">
      <c r="A274" s="444"/>
      <c r="B274" s="457" t="s">
        <v>351</v>
      </c>
      <c r="C274" s="441">
        <v>5214</v>
      </c>
      <c r="D274" s="458"/>
      <c r="F274" s="55"/>
      <c r="G274" s="56"/>
      <c r="H274" s="477"/>
    </row>
    <row r="275" spans="1:8" x14ac:dyDescent="0.25">
      <c r="A275" s="444"/>
      <c r="B275" s="454" t="s">
        <v>352</v>
      </c>
      <c r="C275" s="455"/>
      <c r="D275" s="456">
        <f>SUM(D276:D284)</f>
        <v>0</v>
      </c>
      <c r="F275" s="55"/>
      <c r="G275" s="56"/>
      <c r="H275" s="477"/>
    </row>
    <row r="276" spans="1:8" x14ac:dyDescent="0.25">
      <c r="A276" s="444"/>
      <c r="B276" s="457" t="s">
        <v>353</v>
      </c>
      <c r="C276" s="441">
        <v>5221</v>
      </c>
      <c r="D276" s="458"/>
      <c r="H276" s="477"/>
    </row>
    <row r="277" spans="1:8" x14ac:dyDescent="0.25">
      <c r="A277" s="444"/>
      <c r="B277" s="457" t="s">
        <v>354</v>
      </c>
      <c r="C277" s="441">
        <v>5222</v>
      </c>
      <c r="D277" s="458"/>
      <c r="H277" s="477"/>
    </row>
    <row r="278" spans="1:8" x14ac:dyDescent="0.25">
      <c r="A278" s="444"/>
      <c r="B278" s="457" t="s">
        <v>355</v>
      </c>
      <c r="C278" s="441">
        <v>5223</v>
      </c>
      <c r="D278" s="458"/>
      <c r="H278" s="477"/>
    </row>
    <row r="279" spans="1:8" x14ac:dyDescent="0.25">
      <c r="A279" s="444"/>
      <c r="B279" s="457" t="s">
        <v>356</v>
      </c>
      <c r="C279" s="441">
        <v>5224</v>
      </c>
      <c r="D279" s="458"/>
      <c r="H279" s="477"/>
    </row>
    <row r="280" spans="1:8" x14ac:dyDescent="0.25">
      <c r="A280" s="444"/>
      <c r="B280" s="457" t="s">
        <v>357</v>
      </c>
      <c r="C280" s="441">
        <v>5225</v>
      </c>
      <c r="D280" s="458"/>
      <c r="H280" s="477"/>
    </row>
    <row r="281" spans="1:8" x14ac:dyDescent="0.25">
      <c r="A281" s="444"/>
      <c r="B281" s="457" t="s">
        <v>358</v>
      </c>
      <c r="C281" s="441">
        <v>5226</v>
      </c>
      <c r="D281" s="458"/>
      <c r="H281" s="477"/>
    </row>
    <row r="282" spans="1:8" x14ac:dyDescent="0.25">
      <c r="A282" s="444"/>
      <c r="B282" s="457" t="s">
        <v>359</v>
      </c>
      <c r="C282" s="441">
        <v>5227</v>
      </c>
      <c r="D282" s="458"/>
      <c r="H282" s="477"/>
    </row>
    <row r="283" spans="1:8" x14ac:dyDescent="0.25">
      <c r="A283" s="444"/>
      <c r="B283" s="457" t="s">
        <v>360</v>
      </c>
      <c r="C283" s="441">
        <v>5228</v>
      </c>
      <c r="D283" s="458"/>
      <c r="H283" s="477"/>
    </row>
    <row r="284" spans="1:8" x14ac:dyDescent="0.25">
      <c r="A284" s="444"/>
      <c r="B284" s="457" t="s">
        <v>128</v>
      </c>
      <c r="C284" s="441">
        <v>5229</v>
      </c>
      <c r="D284" s="458"/>
      <c r="H284" s="477"/>
    </row>
    <row r="285" spans="1:8" x14ac:dyDescent="0.25">
      <c r="A285" s="444"/>
      <c r="B285" s="454" t="s">
        <v>361</v>
      </c>
      <c r="C285" s="455"/>
      <c r="D285" s="456">
        <f>SUM(D286:D314)</f>
        <v>0</v>
      </c>
      <c r="H285" s="477"/>
    </row>
    <row r="286" spans="1:8" ht="25.5" x14ac:dyDescent="0.25">
      <c r="A286" s="444"/>
      <c r="B286" s="457" t="s">
        <v>362</v>
      </c>
      <c r="C286" s="441">
        <v>5231</v>
      </c>
      <c r="D286" s="458"/>
      <c r="H286" s="477"/>
    </row>
    <row r="287" spans="1:8" ht="25.5" x14ac:dyDescent="0.25">
      <c r="A287" s="444"/>
      <c r="B287" s="457" t="s">
        <v>363</v>
      </c>
      <c r="C287" s="441">
        <v>5232</v>
      </c>
      <c r="D287" s="458"/>
      <c r="H287" s="477"/>
    </row>
    <row r="288" spans="1:8" ht="25.5" x14ac:dyDescent="0.25">
      <c r="A288" s="444"/>
      <c r="B288" s="457" t="s">
        <v>364</v>
      </c>
      <c r="C288" s="441">
        <v>5233</v>
      </c>
      <c r="D288" s="458"/>
      <c r="H288" s="477"/>
    </row>
    <row r="289" spans="1:8" ht="25.5" x14ac:dyDescent="0.25">
      <c r="A289" s="444"/>
      <c r="B289" s="457" t="s">
        <v>365</v>
      </c>
      <c r="C289" s="441">
        <v>5234</v>
      </c>
      <c r="D289" s="458"/>
      <c r="H289" s="477"/>
    </row>
    <row r="290" spans="1:8" x14ac:dyDescent="0.25">
      <c r="A290" s="444"/>
      <c r="B290" s="457" t="s">
        <v>366</v>
      </c>
      <c r="C290" s="441">
        <v>5235</v>
      </c>
      <c r="D290" s="458"/>
      <c r="H290" s="477"/>
    </row>
    <row r="291" spans="1:8" x14ac:dyDescent="0.25">
      <c r="A291" s="444"/>
      <c r="B291" s="457" t="s">
        <v>367</v>
      </c>
      <c r="C291" s="441">
        <v>5236</v>
      </c>
      <c r="D291" s="458"/>
      <c r="H291" s="477"/>
    </row>
    <row r="292" spans="1:8" x14ac:dyDescent="0.25">
      <c r="A292" s="444"/>
      <c r="B292" s="457" t="s">
        <v>368</v>
      </c>
      <c r="C292" s="441">
        <v>5237</v>
      </c>
      <c r="D292" s="458"/>
      <c r="H292" s="477"/>
    </row>
    <row r="293" spans="1:8" x14ac:dyDescent="0.25">
      <c r="A293" s="444"/>
      <c r="B293" s="457" t="s">
        <v>369</v>
      </c>
      <c r="C293" s="441">
        <v>5238</v>
      </c>
      <c r="D293" s="458"/>
      <c r="H293" s="477"/>
    </row>
    <row r="294" spans="1:8" x14ac:dyDescent="0.25">
      <c r="A294" s="444"/>
      <c r="B294" s="457" t="s">
        <v>370</v>
      </c>
      <c r="C294" s="441">
        <v>5239</v>
      </c>
      <c r="D294" s="458"/>
      <c r="H294" s="477"/>
    </row>
    <row r="295" spans="1:8" x14ac:dyDescent="0.25">
      <c r="A295" s="444"/>
      <c r="B295" s="457" t="s">
        <v>371</v>
      </c>
      <c r="C295" s="441">
        <v>5240</v>
      </c>
      <c r="D295" s="458"/>
      <c r="H295" s="477"/>
    </row>
    <row r="296" spans="1:8" x14ac:dyDescent="0.25">
      <c r="A296" s="444"/>
      <c r="B296" s="457" t="s">
        <v>372</v>
      </c>
      <c r="C296" s="441">
        <v>5241</v>
      </c>
      <c r="D296" s="458"/>
      <c r="H296" s="477"/>
    </row>
    <row r="297" spans="1:8" x14ac:dyDescent="0.25">
      <c r="A297" s="444"/>
      <c r="B297" s="457" t="s">
        <v>373</v>
      </c>
      <c r="C297" s="441">
        <v>5242</v>
      </c>
      <c r="D297" s="458"/>
      <c r="H297" s="477"/>
    </row>
    <row r="298" spans="1:8" ht="25.5" x14ac:dyDescent="0.25">
      <c r="A298" s="444"/>
      <c r="B298" s="457" t="s">
        <v>374</v>
      </c>
      <c r="C298" s="441">
        <v>5243</v>
      </c>
      <c r="D298" s="458"/>
      <c r="H298" s="477"/>
    </row>
    <row r="299" spans="1:8" x14ac:dyDescent="0.25">
      <c r="A299" s="444"/>
      <c r="B299" s="457" t="s">
        <v>375</v>
      </c>
      <c r="C299" s="441">
        <v>5244</v>
      </c>
      <c r="D299" s="458"/>
      <c r="H299" s="477"/>
    </row>
    <row r="300" spans="1:8" x14ac:dyDescent="0.25">
      <c r="A300" s="444"/>
      <c r="B300" s="457" t="s">
        <v>376</v>
      </c>
      <c r="C300" s="441">
        <v>5245</v>
      </c>
      <c r="D300" s="458"/>
      <c r="H300" s="477"/>
    </row>
    <row r="301" spans="1:8" x14ac:dyDescent="0.25">
      <c r="A301" s="444"/>
      <c r="B301" s="457" t="s">
        <v>377</v>
      </c>
      <c r="C301" s="441">
        <v>5246</v>
      </c>
      <c r="D301" s="458"/>
      <c r="H301" s="477"/>
    </row>
    <row r="302" spans="1:8" x14ac:dyDescent="0.25">
      <c r="A302" s="444"/>
      <c r="B302" s="457" t="s">
        <v>378</v>
      </c>
      <c r="C302" s="441">
        <v>5247</v>
      </c>
      <c r="D302" s="458"/>
      <c r="H302" s="477"/>
    </row>
    <row r="303" spans="1:8" x14ac:dyDescent="0.25">
      <c r="A303" s="444"/>
      <c r="B303" s="457" t="s">
        <v>379</v>
      </c>
      <c r="C303" s="441">
        <v>5248</v>
      </c>
      <c r="D303" s="458"/>
      <c r="H303" s="477"/>
    </row>
    <row r="304" spans="1:8" x14ac:dyDescent="0.25">
      <c r="A304" s="444"/>
      <c r="B304" s="457" t="s">
        <v>380</v>
      </c>
      <c r="C304" s="441">
        <v>5249</v>
      </c>
      <c r="D304" s="458"/>
      <c r="H304" s="477"/>
    </row>
    <row r="305" spans="1:8" x14ac:dyDescent="0.25">
      <c r="A305" s="444"/>
      <c r="B305" s="457" t="s">
        <v>381</v>
      </c>
      <c r="C305" s="441">
        <v>5250</v>
      </c>
      <c r="D305" s="458"/>
      <c r="H305" s="477"/>
    </row>
    <row r="306" spans="1:8" x14ac:dyDescent="0.25">
      <c r="A306" s="444"/>
      <c r="B306" s="457" t="s">
        <v>382</v>
      </c>
      <c r="C306" s="441">
        <v>5251</v>
      </c>
      <c r="D306" s="458"/>
      <c r="H306" s="477"/>
    </row>
    <row r="307" spans="1:8" x14ac:dyDescent="0.25">
      <c r="A307" s="444"/>
      <c r="B307" s="457" t="s">
        <v>383</v>
      </c>
      <c r="C307" s="441">
        <v>5252</v>
      </c>
      <c r="D307" s="458"/>
      <c r="H307" s="477"/>
    </row>
    <row r="308" spans="1:8" x14ac:dyDescent="0.25">
      <c r="A308" s="444"/>
      <c r="B308" s="457" t="s">
        <v>384</v>
      </c>
      <c r="C308" s="441">
        <v>5253</v>
      </c>
      <c r="D308" s="458"/>
      <c r="H308" s="477"/>
    </row>
    <row r="309" spans="1:8" x14ac:dyDescent="0.25">
      <c r="A309" s="444"/>
      <c r="B309" s="457" t="s">
        <v>385</v>
      </c>
      <c r="C309" s="441">
        <v>5254</v>
      </c>
      <c r="D309" s="458"/>
      <c r="H309" s="477"/>
    </row>
    <row r="310" spans="1:8" x14ac:dyDescent="0.25">
      <c r="A310" s="444"/>
      <c r="B310" s="457" t="s">
        <v>386</v>
      </c>
      <c r="C310" s="441">
        <v>5255</v>
      </c>
      <c r="D310" s="458"/>
      <c r="H310" s="477"/>
    </row>
    <row r="311" spans="1:8" x14ac:dyDescent="0.25">
      <c r="A311" s="444"/>
      <c r="B311" s="457" t="s">
        <v>387</v>
      </c>
      <c r="C311" s="441">
        <v>5256</v>
      </c>
      <c r="D311" s="458"/>
      <c r="H311" s="477"/>
    </row>
    <row r="312" spans="1:8" x14ac:dyDescent="0.25">
      <c r="A312" s="444"/>
      <c r="B312" s="457" t="s">
        <v>388</v>
      </c>
      <c r="C312" s="441">
        <v>5257</v>
      </c>
      <c r="D312" s="458"/>
      <c r="H312" s="477"/>
    </row>
    <row r="313" spans="1:8" x14ac:dyDescent="0.25">
      <c r="A313" s="444"/>
      <c r="B313" s="457" t="s">
        <v>389</v>
      </c>
      <c r="C313" s="441">
        <v>5258</v>
      </c>
      <c r="D313" s="458"/>
      <c r="H313" s="477"/>
    </row>
    <row r="314" spans="1:8" x14ac:dyDescent="0.25">
      <c r="A314" s="444"/>
      <c r="B314" s="457" t="s">
        <v>390</v>
      </c>
      <c r="C314" s="441">
        <v>5259</v>
      </c>
      <c r="D314" s="458"/>
      <c r="H314" s="477"/>
    </row>
    <row r="315" spans="1:8" x14ac:dyDescent="0.25">
      <c r="A315" s="444"/>
      <c r="B315" s="470" t="s">
        <v>391</v>
      </c>
      <c r="C315" s="455"/>
      <c r="D315" s="456">
        <f>SUM(D316:D321)</f>
        <v>0</v>
      </c>
      <c r="H315" s="477"/>
    </row>
    <row r="316" spans="1:8" x14ac:dyDescent="0.25">
      <c r="A316" s="444"/>
      <c r="B316" s="457" t="s">
        <v>392</v>
      </c>
      <c r="C316" s="441">
        <v>5301</v>
      </c>
      <c r="D316" s="458"/>
      <c r="H316" s="477"/>
    </row>
    <row r="317" spans="1:8" x14ac:dyDescent="0.25">
      <c r="A317" s="444"/>
      <c r="B317" s="457" t="s">
        <v>393</v>
      </c>
      <c r="C317" s="441">
        <v>5302</v>
      </c>
      <c r="D317" s="458"/>
      <c r="H317" s="477"/>
    </row>
    <row r="318" spans="1:8" x14ac:dyDescent="0.25">
      <c r="A318" s="444"/>
      <c r="B318" s="457" t="s">
        <v>394</v>
      </c>
      <c r="C318" s="441">
        <v>5303</v>
      </c>
      <c r="D318" s="458"/>
      <c r="H318" s="477"/>
    </row>
    <row r="319" spans="1:8" x14ac:dyDescent="0.25">
      <c r="A319" s="444"/>
      <c r="B319" s="457" t="s">
        <v>293</v>
      </c>
      <c r="C319" s="441">
        <v>5304</v>
      </c>
      <c r="D319" s="458"/>
      <c r="H319" s="477"/>
    </row>
    <row r="320" spans="1:8" x14ac:dyDescent="0.25">
      <c r="A320" s="444"/>
      <c r="B320" s="457" t="s">
        <v>395</v>
      </c>
      <c r="C320" s="441">
        <v>5305</v>
      </c>
      <c r="D320" s="458"/>
      <c r="H320" s="477"/>
    </row>
    <row r="321" spans="1:8" x14ac:dyDescent="0.25">
      <c r="A321" s="444"/>
      <c r="B321" s="457" t="s">
        <v>396</v>
      </c>
      <c r="C321" s="441">
        <v>5306</v>
      </c>
      <c r="D321" s="458"/>
      <c r="H321" s="477"/>
    </row>
    <row r="322" spans="1:8" x14ac:dyDescent="0.25">
      <c r="A322" s="444"/>
      <c r="B322" s="470" t="s">
        <v>397</v>
      </c>
      <c r="C322" s="455"/>
      <c r="D322" s="456">
        <f>D323</f>
        <v>0</v>
      </c>
      <c r="H322" s="477"/>
    </row>
    <row r="323" spans="1:8" x14ac:dyDescent="0.25">
      <c r="A323" s="444"/>
      <c r="B323" s="457" t="s">
        <v>397</v>
      </c>
      <c r="C323" s="441">
        <v>5601</v>
      </c>
      <c r="D323" s="458"/>
      <c r="H323" s="477"/>
    </row>
    <row r="324" spans="1:8" x14ac:dyDescent="0.25">
      <c r="A324" s="444"/>
      <c r="B324" s="470" t="s">
        <v>398</v>
      </c>
      <c r="C324" s="455"/>
      <c r="D324" s="456">
        <f>D325</f>
        <v>0</v>
      </c>
      <c r="H324" s="477"/>
    </row>
    <row r="325" spans="1:8" x14ac:dyDescent="0.25">
      <c r="A325" s="444"/>
      <c r="B325" s="457" t="s">
        <v>399</v>
      </c>
      <c r="C325" s="441">
        <v>5701</v>
      </c>
      <c r="D325" s="458"/>
      <c r="H325" s="477"/>
    </row>
    <row r="326" spans="1:8" x14ac:dyDescent="0.25">
      <c r="A326" s="806" t="s">
        <v>400</v>
      </c>
      <c r="B326" s="806"/>
      <c r="C326" s="806"/>
      <c r="D326" s="451">
        <f>SUM(D9,D241,D253)</f>
        <v>0</v>
      </c>
      <c r="E326" s="806" t="s">
        <v>400</v>
      </c>
      <c r="F326" s="806"/>
      <c r="G326" s="806"/>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08" t="s">
        <v>401</v>
      </c>
      <c r="C329" s="809" t="s">
        <v>402</v>
      </c>
      <c r="D329" s="810"/>
      <c r="F329" s="811" t="s">
        <v>403</v>
      </c>
      <c r="G329" s="811"/>
      <c r="H329" s="136">
        <f>+H330-H331</f>
        <v>0</v>
      </c>
    </row>
    <row r="330" spans="1:8" ht="15.75" customHeight="1" x14ac:dyDescent="0.25">
      <c r="B330" s="808"/>
      <c r="C330" s="809"/>
      <c r="D330" s="810"/>
      <c r="F330" s="812" t="s">
        <v>404</v>
      </c>
      <c r="G330" s="812"/>
      <c r="H330" s="136">
        <f>+H151</f>
        <v>0</v>
      </c>
    </row>
    <row r="331" spans="1:8" ht="15.75" customHeight="1" x14ac:dyDescent="0.25">
      <c r="B331" s="470" t="s">
        <v>405</v>
      </c>
      <c r="C331" s="452"/>
      <c r="D331" s="478">
        <f>SUM(D332:D333)</f>
        <v>0</v>
      </c>
      <c r="F331" s="812" t="s">
        <v>406</v>
      </c>
      <c r="G331" s="812"/>
      <c r="H331" s="136">
        <f>+D253</f>
        <v>0</v>
      </c>
    </row>
    <row r="332" spans="1:8" x14ac:dyDescent="0.25">
      <c r="B332" s="457" t="s">
        <v>407</v>
      </c>
      <c r="C332" s="441">
        <v>9901</v>
      </c>
      <c r="D332" s="479"/>
    </row>
    <row r="333" spans="1:8" x14ac:dyDescent="0.25">
      <c r="B333" s="457" t="s">
        <v>408</v>
      </c>
      <c r="C333" s="441">
        <v>9902</v>
      </c>
      <c r="D333" s="479"/>
      <c r="F333" s="59"/>
      <c r="G333" s="60"/>
      <c r="H333" s="364"/>
    </row>
    <row r="334" spans="1:8" x14ac:dyDescent="0.2">
      <c r="B334" s="470" t="s">
        <v>409</v>
      </c>
      <c r="C334" s="452"/>
      <c r="D334" s="478">
        <f>SUM(D335:D342)</f>
        <v>0</v>
      </c>
      <c r="F334" s="59"/>
      <c r="G334" s="480" t="s">
        <v>410</v>
      </c>
      <c r="H334" s="481" t="s">
        <v>411</v>
      </c>
    </row>
    <row r="335" spans="1:8" x14ac:dyDescent="0.2">
      <c r="B335" s="457" t="s">
        <v>412</v>
      </c>
      <c r="C335" s="441">
        <v>9911</v>
      </c>
      <c r="D335" s="479"/>
      <c r="F335" s="59"/>
      <c r="G335" s="482" t="s">
        <v>413</v>
      </c>
      <c r="H335" s="649">
        <v>3134.28</v>
      </c>
    </row>
    <row r="336" spans="1:8" x14ac:dyDescent="0.2">
      <c r="B336" s="457" t="s">
        <v>414</v>
      </c>
      <c r="C336" s="441">
        <v>9912</v>
      </c>
      <c r="D336" s="479"/>
      <c r="F336" s="59"/>
      <c r="G336" s="482" t="s">
        <v>415</v>
      </c>
      <c r="H336" s="649">
        <v>3295.07</v>
      </c>
    </row>
    <row r="337" spans="2:8" x14ac:dyDescent="0.2">
      <c r="B337" s="457" t="s">
        <v>416</v>
      </c>
      <c r="C337" s="441">
        <v>9913</v>
      </c>
      <c r="D337" s="479"/>
      <c r="F337" s="59"/>
      <c r="G337" s="482" t="s">
        <v>417</v>
      </c>
      <c r="H337" s="649">
        <v>23.03</v>
      </c>
    </row>
    <row r="338" spans="2:8" x14ac:dyDescent="0.2">
      <c r="B338" s="457" t="s">
        <v>418</v>
      </c>
      <c r="C338" s="441">
        <v>9914</v>
      </c>
      <c r="D338" s="479"/>
      <c r="F338" s="59"/>
      <c r="G338" s="482" t="s">
        <v>419</v>
      </c>
      <c r="H338" s="650">
        <v>3277.85</v>
      </c>
    </row>
    <row r="339" spans="2:8" x14ac:dyDescent="0.2">
      <c r="B339" s="457" t="s">
        <v>420</v>
      </c>
      <c r="C339" s="441">
        <v>9915</v>
      </c>
      <c r="D339" s="479"/>
      <c r="F339" s="59"/>
      <c r="G339" s="482" t="s">
        <v>421</v>
      </c>
      <c r="H339" s="649">
        <v>3823.19</v>
      </c>
    </row>
    <row r="340" spans="2:8" x14ac:dyDescent="0.2">
      <c r="B340" s="457" t="s">
        <v>422</v>
      </c>
      <c r="C340" s="441">
        <v>9916</v>
      </c>
      <c r="D340" s="479"/>
      <c r="F340" s="59"/>
      <c r="G340" s="482" t="s">
        <v>423</v>
      </c>
      <c r="H340" s="649">
        <v>467.68</v>
      </c>
    </row>
    <row r="341" spans="2:8" x14ac:dyDescent="0.2">
      <c r="B341" s="457" t="s">
        <v>424</v>
      </c>
      <c r="C341" s="441">
        <v>9917</v>
      </c>
      <c r="D341" s="479"/>
      <c r="F341" s="59"/>
      <c r="G341" s="482" t="s">
        <v>425</v>
      </c>
      <c r="H341" s="649">
        <v>61.85</v>
      </c>
    </row>
    <row r="342" spans="2:8" x14ac:dyDescent="0.2">
      <c r="B342" s="457" t="s">
        <v>128</v>
      </c>
      <c r="C342" s="441">
        <v>9918</v>
      </c>
      <c r="D342" s="479"/>
      <c r="F342" s="59"/>
      <c r="G342" s="482" t="s">
        <v>426</v>
      </c>
      <c r="H342" s="649">
        <v>2.41</v>
      </c>
    </row>
    <row r="343" spans="2:8" x14ac:dyDescent="0.2">
      <c r="B343" s="470" t="s">
        <v>427</v>
      </c>
      <c r="C343" s="452"/>
      <c r="D343" s="478">
        <f>SUM(D344:D351)</f>
        <v>0</v>
      </c>
      <c r="F343" s="59"/>
      <c r="G343" s="482" t="s">
        <v>128</v>
      </c>
      <c r="H343" s="651"/>
    </row>
    <row r="344" spans="2:8" x14ac:dyDescent="0.25">
      <c r="B344" s="457" t="s">
        <v>428</v>
      </c>
      <c r="C344" s="441">
        <v>9921</v>
      </c>
      <c r="D344" s="479"/>
      <c r="F344" s="59"/>
      <c r="G344" s="60"/>
      <c r="H344" s="364"/>
    </row>
    <row r="345" spans="2:8" x14ac:dyDescent="0.25">
      <c r="B345" s="457" t="s">
        <v>429</v>
      </c>
      <c r="C345" s="441">
        <v>9922</v>
      </c>
      <c r="D345" s="479"/>
      <c r="F345" s="59"/>
      <c r="G345" s="60"/>
      <c r="H345" s="364"/>
    </row>
    <row r="346" spans="2:8" x14ac:dyDescent="0.25">
      <c r="B346" s="457" t="s">
        <v>430</v>
      </c>
      <c r="C346" s="441">
        <v>9923</v>
      </c>
      <c r="D346" s="479"/>
      <c r="F346" s="59"/>
      <c r="G346" s="60"/>
      <c r="H346" s="364"/>
    </row>
    <row r="347" spans="2:8" x14ac:dyDescent="0.25">
      <c r="B347" s="457" t="s">
        <v>431</v>
      </c>
      <c r="C347" s="441">
        <v>9924</v>
      </c>
      <c r="D347" s="479"/>
      <c r="F347" s="59"/>
      <c r="G347" s="60"/>
      <c r="H347" s="364"/>
    </row>
    <row r="348" spans="2:8" x14ac:dyDescent="0.25">
      <c r="B348" s="457" t="s">
        <v>432</v>
      </c>
      <c r="C348" s="441">
        <v>9925</v>
      </c>
      <c r="D348" s="479"/>
    </row>
    <row r="349" spans="2:8" x14ac:dyDescent="0.25">
      <c r="B349" s="457" t="s">
        <v>433</v>
      </c>
      <c r="C349" s="441">
        <v>9926</v>
      </c>
      <c r="D349" s="479"/>
    </row>
    <row r="350" spans="2:8" x14ac:dyDescent="0.25">
      <c r="B350" s="457" t="s">
        <v>434</v>
      </c>
      <c r="C350" s="441">
        <v>9927</v>
      </c>
      <c r="D350" s="479"/>
    </row>
    <row r="351" spans="2:8" x14ac:dyDescent="0.25">
      <c r="B351" s="457" t="s">
        <v>435</v>
      </c>
      <c r="C351" s="441">
        <v>9928</v>
      </c>
      <c r="D351" s="479"/>
    </row>
    <row r="352" spans="2:8" x14ac:dyDescent="0.25">
      <c r="B352" s="470" t="s">
        <v>128</v>
      </c>
      <c r="C352" s="452"/>
      <c r="D352" s="451">
        <f>D353</f>
        <v>0</v>
      </c>
    </row>
    <row r="353" spans="2:6" x14ac:dyDescent="0.25">
      <c r="B353" s="457" t="s">
        <v>436</v>
      </c>
      <c r="C353" s="441">
        <v>9931</v>
      </c>
      <c r="D353" s="458"/>
    </row>
    <row r="354" spans="2:6" x14ac:dyDescent="0.25">
      <c r="B354" s="61"/>
      <c r="C354" s="56"/>
      <c r="D354" s="360"/>
    </row>
    <row r="355" spans="2:6" x14ac:dyDescent="0.25">
      <c r="B355" s="61"/>
      <c r="C355" s="56"/>
      <c r="D355" s="360"/>
    </row>
    <row r="357" spans="2:6" x14ac:dyDescent="0.25">
      <c r="B357" s="813" t="s">
        <v>36</v>
      </c>
      <c r="C357" s="814"/>
    </row>
    <row r="359" spans="2:6" ht="15" customHeight="1" x14ac:dyDescent="0.25">
      <c r="B359" s="815" t="s">
        <v>437</v>
      </c>
      <c r="C359" s="815"/>
      <c r="D359" s="815"/>
    </row>
    <row r="361" spans="2:6" x14ac:dyDescent="0.25">
      <c r="D361" s="805" t="str">
        <f>+Statistic!B60</f>
        <v>ГҮЙЦЭТГЭХ ЗАХИРАЛ.................................................................//</v>
      </c>
      <c r="E361" s="805"/>
      <c r="F361" s="805"/>
    </row>
    <row r="362" spans="2:6" x14ac:dyDescent="0.25">
      <c r="D362" s="436"/>
      <c r="E362" s="436"/>
      <c r="F362" s="436"/>
    </row>
    <row r="363" spans="2:6" x14ac:dyDescent="0.25">
      <c r="D363" s="805" t="str">
        <f>+Statistic!B62</f>
        <v>ЕРӨНХИЙ НЯГТЛАН БОДОГЧ....................................................//</v>
      </c>
      <c r="E363" s="805"/>
      <c r="F363" s="805"/>
    </row>
    <row r="364" spans="2:6" x14ac:dyDescent="0.25">
      <c r="D364" s="436"/>
      <c r="E364" s="436"/>
      <c r="F364" s="436"/>
    </row>
    <row r="365" spans="2:6" x14ac:dyDescent="0.25">
      <c r="D365" s="805">
        <f>+Statistic!B64</f>
        <v>0</v>
      </c>
      <c r="E365" s="805"/>
      <c r="F365" s="805"/>
    </row>
  </sheetData>
  <sheetProtection algorithmName="SHA-512" hashValue="zNaNLW8fQ11E3JH5BjStLdQBPZv3QdAYUOaZCbqGswJDDCyxz0KjuzW1Ep52v0p4sGL8TMETThiLqEZ21lRLOA==" saltValue="2eowgCA9q5q5L+NB1Hsctw==" spinCount="100000" sheet="1" objects="1" scenarios="1"/>
  <mergeCells count="44">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 ref="A230:B230"/>
    <mergeCell ref="A52:B52"/>
    <mergeCell ref="E59:F59"/>
    <mergeCell ref="E75:F75"/>
    <mergeCell ref="E78:F78"/>
    <mergeCell ref="E105:F105"/>
    <mergeCell ref="E132:G132"/>
    <mergeCell ref="A136:B136"/>
    <mergeCell ref="E151:G151"/>
    <mergeCell ref="A155:B155"/>
    <mergeCell ref="A174:B174"/>
    <mergeCell ref="A186:B186"/>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2022-07-01T03:07:40Z</dcterms:modified>
</cp:coreProperties>
</file>