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C:\Users\tungalag.FRC\Desktop\"/>
    </mc:Choice>
  </mc:AlternateContent>
  <xr:revisionPtr revIDLastSave="0" documentId="13_ncr:1_{24C2DBB9-C2F1-48E9-B863-26AC78EF37EC}" xr6:coauthVersionLast="47" xr6:coauthVersionMax="47" xr10:uidLastSave="{00000000-0000-0000-0000-000000000000}"/>
  <workbookProtection workbookAlgorithmName="SHA-512" workbookHashValue="ZxoJpP9V6IWzhQlkOIYCEmjk/Cea9BkagXZ18Mv8s/kKJItQvHRSE475SwI5VQtxpspV2SSOmR12POh3yzB3kg==" workbookSaltValue="iLntZu84Bo6OIOCvdiTKlg==" workbookSpinCount="100000" lockStructure="1"/>
  <bookViews>
    <workbookView xWindow="28680" yWindow="-120" windowWidth="29040" windowHeight="15840" tabRatio="661" xr2:uid="{00000000-000D-0000-FFFF-FFFF00000000}"/>
  </bookViews>
  <sheets>
    <sheet name="Тайлан бэлдэх зааварчилгаа" sheetId="25" r:id="rId1"/>
    <sheet name="Statistic" sheetId="1" r:id="rId2"/>
    <sheet name="Application" sheetId="26" r:id="rId3"/>
    <sheet name="iRate" sheetId="30" r:id="rId4"/>
    <sheet name="Wallet" sheetId="27" r:id="rId5"/>
    <sheet name="Gender" sheetId="28" r:id="rId6"/>
    <sheet name="Greenloan" sheetId="29" r:id="rId7"/>
    <sheet name="Greenloan_info" sheetId="31" r:id="rId8"/>
    <sheet name="BALANCE" sheetId="2" r:id="rId9"/>
    <sheet name="BALANCESHEET" sheetId="3" r:id="rId10"/>
    <sheet name="INCOME" sheetId="4" r:id="rId11"/>
    <sheet name="Capital" sheetId="5" r:id="rId12"/>
    <sheet name="Liquidity" sheetId="6" r:id="rId13"/>
    <sheet name="Forex" sheetId="22" r:id="rId14"/>
    <sheet name="Provision" sheetId="8" r:id="rId15"/>
    <sheet name="ALM" sheetId="23" r:id="rId16"/>
    <sheet name="Top40" sheetId="21" r:id="rId17"/>
    <sheet name="Insider" sheetId="24" r:id="rId18"/>
    <sheet name="Source" sheetId="12" r:id="rId19"/>
    <sheet name="Provide" sheetId="13" r:id="rId20"/>
    <sheet name="Ipotec" sheetId="14" r:id="rId21"/>
    <sheet name="Securities" sheetId="15" r:id="rId22"/>
    <sheet name="Bond" sheetId="16" r:id="rId23"/>
    <sheet name="Trust" sheetId="17" r:id="rId24"/>
    <sheet name="Off-balance" sheetId="18" r:id="rId25"/>
    <sheet name="Money transfer" sheetId="19" r:id="rId26"/>
    <sheet name="Ratio" sheetId="20" r:id="rId27"/>
  </sheets>
  <externalReferences>
    <externalReference r:id="rId28"/>
  </externalReferences>
  <definedNames>
    <definedName name="тийм">#REF!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7" i="26" l="1"/>
  <c r="B25" i="26"/>
  <c r="B23" i="26"/>
  <c r="A4" i="26"/>
  <c r="A3" i="26"/>
  <c r="C22" i="29" l="1"/>
  <c r="C20" i="28"/>
  <c r="C15" i="28"/>
  <c r="C22" i="28"/>
  <c r="C23" i="28"/>
  <c r="C24" i="28"/>
  <c r="C25" i="28"/>
  <c r="C21" i="28"/>
  <c r="C17" i="28"/>
  <c r="C18" i="28"/>
  <c r="C19" i="28"/>
  <c r="C16" i="28"/>
  <c r="C12" i="28"/>
  <c r="K19" i="29"/>
  <c r="K20" i="29"/>
  <c r="K21" i="29"/>
  <c r="C10" i="1"/>
  <c r="C26" i="28"/>
  <c r="A7" i="27"/>
  <c r="A3" i="27"/>
  <c r="B7" i="30"/>
  <c r="B3" i="30"/>
  <c r="C33" i="29"/>
  <c r="C31" i="29"/>
  <c r="C46" i="28"/>
  <c r="C44" i="28"/>
  <c r="B44" i="27"/>
  <c r="B42" i="27"/>
  <c r="E28" i="30"/>
  <c r="E26" i="30"/>
  <c r="F22" i="29"/>
  <c r="K12" i="29"/>
  <c r="O12" i="29"/>
  <c r="K13" i="29"/>
  <c r="O13" i="29"/>
  <c r="K14" i="29"/>
  <c r="O14" i="29"/>
  <c r="K15" i="29"/>
  <c r="O15" i="29"/>
  <c r="K16" i="29"/>
  <c r="O16" i="29"/>
  <c r="K17" i="29"/>
  <c r="O17" i="29"/>
  <c r="K18" i="29"/>
  <c r="O18" i="29"/>
  <c r="K11" i="29"/>
  <c r="O11" i="29"/>
  <c r="D22" i="29"/>
  <c r="E22" i="29"/>
  <c r="G22" i="29"/>
  <c r="H22" i="29"/>
  <c r="I22" i="29"/>
  <c r="L22" i="29"/>
  <c r="M22" i="29"/>
  <c r="N22" i="29"/>
  <c r="B22" i="29"/>
  <c r="C31" i="28"/>
  <c r="L31" i="28"/>
  <c r="C23" i="27"/>
  <c r="B23" i="27"/>
  <c r="C36" i="28"/>
  <c r="C32" i="28"/>
  <c r="L32" i="28"/>
  <c r="C29" i="28"/>
  <c r="L29" i="28"/>
  <c r="C27" i="28"/>
  <c r="L27" i="28"/>
  <c r="C35" i="28"/>
  <c r="L35" i="28"/>
  <c r="B34" i="28"/>
  <c r="C34" i="28"/>
  <c r="B35" i="28"/>
  <c r="C33" i="28"/>
  <c r="L33" i="28"/>
  <c r="B33" i="28"/>
  <c r="B25" i="28"/>
  <c r="B24" i="28"/>
  <c r="B23" i="28"/>
  <c r="B22" i="28"/>
  <c r="B21" i="28"/>
  <c r="B17" i="28"/>
  <c r="B18" i="28"/>
  <c r="B19" i="28"/>
  <c r="B16" i="28"/>
  <c r="E20" i="28"/>
  <c r="F20" i="28"/>
  <c r="G20" i="28"/>
  <c r="D20" i="28"/>
  <c r="E15" i="28"/>
  <c r="F15" i="28"/>
  <c r="G15" i="28"/>
  <c r="D15" i="28"/>
  <c r="E11" i="28"/>
  <c r="F11" i="28"/>
  <c r="G11" i="28"/>
  <c r="H11" i="28"/>
  <c r="I11" i="28"/>
  <c r="J11" i="28"/>
  <c r="K11" i="28"/>
  <c r="D11" i="28"/>
  <c r="C30" i="28"/>
  <c r="L30" i="28"/>
  <c r="I26" i="28"/>
  <c r="G26" i="28"/>
  <c r="E26" i="28"/>
  <c r="C28" i="28"/>
  <c r="L28" i="28"/>
  <c r="K22" i="29"/>
  <c r="O22" i="29"/>
  <c r="J22" i="29"/>
  <c r="B20" i="28"/>
  <c r="B15" i="28"/>
  <c r="L26" i="28"/>
  <c r="L12" i="28"/>
  <c r="C13" i="28"/>
  <c r="L13" i="28"/>
  <c r="L15" i="28"/>
  <c r="L16" i="28"/>
  <c r="L17" i="28"/>
  <c r="L19" i="28"/>
  <c r="L20" i="28"/>
  <c r="L21" i="28"/>
  <c r="L22" i="28"/>
  <c r="L24" i="28"/>
  <c r="L25" i="28"/>
  <c r="D42" i="1"/>
  <c r="A7" i="28"/>
  <c r="A3" i="28"/>
  <c r="A7" i="29"/>
  <c r="A3" i="29"/>
  <c r="A4" i="27"/>
  <c r="D217" i="2"/>
  <c r="T9" i="21"/>
  <c r="T10" i="21"/>
  <c r="T11" i="21"/>
  <c r="T12" i="21"/>
  <c r="T13" i="21"/>
  <c r="T14" i="21"/>
  <c r="T15" i="21"/>
  <c r="T16" i="21"/>
  <c r="T17" i="21"/>
  <c r="T18" i="21"/>
  <c r="T19" i="21"/>
  <c r="T20" i="21"/>
  <c r="T21" i="21"/>
  <c r="T22" i="21"/>
  <c r="T23" i="21"/>
  <c r="T24" i="21"/>
  <c r="T25" i="21"/>
  <c r="T26" i="21"/>
  <c r="T27" i="21"/>
  <c r="T28" i="21"/>
  <c r="T29" i="21"/>
  <c r="T30" i="21"/>
  <c r="T31" i="21"/>
  <c r="T32" i="21"/>
  <c r="T33" i="21"/>
  <c r="T34" i="21"/>
  <c r="T35" i="21"/>
  <c r="T36" i="21"/>
  <c r="T37" i="21"/>
  <c r="T38" i="21"/>
  <c r="T39" i="21"/>
  <c r="T40" i="21"/>
  <c r="T41" i="21"/>
  <c r="T42" i="21"/>
  <c r="T43" i="21"/>
  <c r="T44" i="21"/>
  <c r="T45" i="21"/>
  <c r="T46" i="21"/>
  <c r="T47" i="21"/>
  <c r="T8" i="21"/>
  <c r="Q72" i="13"/>
  <c r="Q68" i="13"/>
  <c r="Q69" i="13"/>
  <c r="Q70" i="13"/>
  <c r="Q67" i="13"/>
  <c r="Q62" i="13"/>
  <c r="Q63" i="13"/>
  <c r="Q64" i="13"/>
  <c r="Q65" i="13"/>
  <c r="Q61" i="13"/>
  <c r="Q50" i="13"/>
  <c r="Q49" i="13"/>
  <c r="Q48" i="13"/>
  <c r="Q47" i="13"/>
  <c r="Q46" i="13"/>
  <c r="Q45" i="13"/>
  <c r="Q44" i="13"/>
  <c r="Q43" i="13"/>
  <c r="Q42" i="13"/>
  <c r="Q41" i="13"/>
  <c r="Q40" i="13"/>
  <c r="Q39" i="13"/>
  <c r="Q38" i="13"/>
  <c r="Q37" i="13"/>
  <c r="Q36" i="13"/>
  <c r="Q35" i="13"/>
  <c r="Q34" i="13"/>
  <c r="Q33" i="13"/>
  <c r="Q32" i="13"/>
  <c r="Q31" i="13"/>
  <c r="Q11" i="13"/>
  <c r="Q12" i="13"/>
  <c r="Q13" i="13"/>
  <c r="Q14" i="13"/>
  <c r="Q15" i="13"/>
  <c r="Q16" i="13"/>
  <c r="Q17" i="13"/>
  <c r="Q18" i="13"/>
  <c r="Q19" i="13"/>
  <c r="Q20" i="13"/>
  <c r="Q21" i="13"/>
  <c r="Q22" i="13"/>
  <c r="Q23" i="13"/>
  <c r="Q24" i="13"/>
  <c r="Q25" i="13"/>
  <c r="Q26" i="13"/>
  <c r="Q27" i="13"/>
  <c r="Q28" i="13"/>
  <c r="Q29" i="13"/>
  <c r="Q10" i="13"/>
  <c r="D48" i="1"/>
  <c r="D47" i="1"/>
  <c r="D36" i="1"/>
  <c r="D28" i="1"/>
  <c r="D37" i="1"/>
  <c r="K28" i="12"/>
  <c r="D45" i="1"/>
  <c r="D44" i="1"/>
  <c r="J72" i="13"/>
  <c r="B60" i="13"/>
  <c r="J68" i="13"/>
  <c r="R68" i="13"/>
  <c r="J69" i="13"/>
  <c r="R69" i="13"/>
  <c r="J67" i="13"/>
  <c r="R67" i="13"/>
  <c r="J70" i="13"/>
  <c r="R70" i="13"/>
  <c r="B66" i="13"/>
  <c r="B74" i="13"/>
  <c r="C66" i="13"/>
  <c r="C74" i="13"/>
  <c r="D66" i="13"/>
  <c r="F66" i="13"/>
  <c r="E66" i="13"/>
  <c r="G66" i="13"/>
  <c r="H66" i="13"/>
  <c r="I66" i="13"/>
  <c r="K66" i="13"/>
  <c r="L66" i="13"/>
  <c r="M66" i="13"/>
  <c r="N66" i="13"/>
  <c r="O66" i="13"/>
  <c r="P66" i="13" a="1"/>
  <c r="P66" i="13"/>
  <c r="J40" i="13"/>
  <c r="R40" i="13"/>
  <c r="D39" i="1"/>
  <c r="D38" i="1"/>
  <c r="D35" i="1"/>
  <c r="Q58" i="13"/>
  <c r="Q57" i="13"/>
  <c r="Q56" i="13"/>
  <c r="Q55" i="13"/>
  <c r="Q54" i="13"/>
  <c r="Q53" i="13"/>
  <c r="Q52" i="13"/>
  <c r="D52" i="1"/>
  <c r="D43" i="1"/>
  <c r="D41" i="1"/>
  <c r="D11" i="1"/>
  <c r="A6" i="2"/>
  <c r="A6" i="19" s="1"/>
  <c r="A3" i="2"/>
  <c r="D363" i="2"/>
  <c r="D361" i="2"/>
  <c r="H58" i="21"/>
  <c r="C9" i="13"/>
  <c r="D9" i="13"/>
  <c r="E9" i="13"/>
  <c r="G9" i="13"/>
  <c r="H9" i="13"/>
  <c r="H73" i="13"/>
  <c r="I9" i="13"/>
  <c r="I71" i="13"/>
  <c r="K9" i="13"/>
  <c r="L9" i="13"/>
  <c r="M9" i="13"/>
  <c r="N9" i="13"/>
  <c r="C30" i="13"/>
  <c r="E47" i="5"/>
  <c r="M10" i="22"/>
  <c r="C25" i="6"/>
  <c r="E25" i="6"/>
  <c r="O8" i="21"/>
  <c r="O48" i="21"/>
  <c r="I28" i="16"/>
  <c r="K27" i="16"/>
  <c r="D28" i="16"/>
  <c r="J28" i="17"/>
  <c r="L27" i="17"/>
  <c r="K30" i="13"/>
  <c r="K74" i="13"/>
  <c r="O9" i="21"/>
  <c r="O47" i="21"/>
  <c r="O10" i="21"/>
  <c r="O11" i="21"/>
  <c r="O12" i="21"/>
  <c r="O13" i="21"/>
  <c r="O14" i="21"/>
  <c r="O15" i="21"/>
  <c r="O16" i="21"/>
  <c r="O17" i="21"/>
  <c r="O18" i="21"/>
  <c r="O19" i="21"/>
  <c r="O20" i="21"/>
  <c r="O21" i="21"/>
  <c r="O22" i="21"/>
  <c r="O23" i="21"/>
  <c r="O24" i="21"/>
  <c r="O25" i="21"/>
  <c r="O26" i="21"/>
  <c r="O27" i="21"/>
  <c r="O28" i="21"/>
  <c r="O29" i="21"/>
  <c r="O30" i="21"/>
  <c r="O31" i="21"/>
  <c r="O32" i="21"/>
  <c r="O33" i="21"/>
  <c r="O34" i="21"/>
  <c r="O35" i="21"/>
  <c r="O36" i="21"/>
  <c r="O37" i="21"/>
  <c r="O38" i="21"/>
  <c r="O39" i="21"/>
  <c r="O40" i="21"/>
  <c r="O41" i="21"/>
  <c r="O42" i="21"/>
  <c r="O43" i="21"/>
  <c r="O44" i="21"/>
  <c r="O45" i="21"/>
  <c r="O46" i="21"/>
  <c r="P60" i="13" a="1"/>
  <c r="P60" i="13"/>
  <c r="P30" i="13" a="1"/>
  <c r="P30" i="13"/>
  <c r="P9" i="13" a="1"/>
  <c r="P9" i="13"/>
  <c r="D60" i="13"/>
  <c r="F60" i="13"/>
  <c r="J50" i="13"/>
  <c r="R50" i="13"/>
  <c r="J32" i="13"/>
  <c r="R32" i="13"/>
  <c r="J33" i="13"/>
  <c r="R33" i="13"/>
  <c r="J42" i="13"/>
  <c r="R42" i="13"/>
  <c r="J11" i="13"/>
  <c r="R11" i="13"/>
  <c r="J63" i="13"/>
  <c r="R63" i="13"/>
  <c r="J64" i="13"/>
  <c r="R64" i="13"/>
  <c r="J65" i="13"/>
  <c r="R65" i="13"/>
  <c r="J61" i="13"/>
  <c r="R61" i="13"/>
  <c r="J34" i="13"/>
  <c r="R34" i="13"/>
  <c r="J35" i="13"/>
  <c r="R35" i="13"/>
  <c r="J36" i="13"/>
  <c r="R36" i="13"/>
  <c r="J37" i="13"/>
  <c r="R37" i="13"/>
  <c r="J38" i="13"/>
  <c r="R38" i="13"/>
  <c r="J39" i="13"/>
  <c r="R39" i="13"/>
  <c r="J41" i="13"/>
  <c r="R41" i="13"/>
  <c r="J43" i="13"/>
  <c r="R43" i="13"/>
  <c r="J44" i="13"/>
  <c r="R44" i="13"/>
  <c r="J45" i="13"/>
  <c r="R45" i="13"/>
  <c r="J46" i="13"/>
  <c r="R46" i="13"/>
  <c r="J47" i="13"/>
  <c r="R47" i="13"/>
  <c r="J48" i="13"/>
  <c r="R48" i="13"/>
  <c r="J49" i="13"/>
  <c r="R49" i="13"/>
  <c r="J29" i="13"/>
  <c r="R29" i="13"/>
  <c r="J13" i="13"/>
  <c r="R13" i="13"/>
  <c r="J14" i="13"/>
  <c r="R14" i="13"/>
  <c r="J15" i="13"/>
  <c r="R15" i="13"/>
  <c r="J17" i="13"/>
  <c r="R17" i="13"/>
  <c r="J18" i="13"/>
  <c r="R18" i="13"/>
  <c r="J19" i="13"/>
  <c r="R19" i="13"/>
  <c r="J20" i="13"/>
  <c r="R20" i="13"/>
  <c r="J21" i="13"/>
  <c r="R21" i="13"/>
  <c r="J22" i="13"/>
  <c r="R22" i="13"/>
  <c r="J23" i="13"/>
  <c r="R23" i="13"/>
  <c r="J24" i="13"/>
  <c r="R24" i="13"/>
  <c r="J25" i="13"/>
  <c r="R25" i="13"/>
  <c r="J26" i="13"/>
  <c r="R26" i="13"/>
  <c r="J27" i="13"/>
  <c r="R27" i="13"/>
  <c r="J28" i="13"/>
  <c r="R28" i="13"/>
  <c r="O60" i="13"/>
  <c r="H133" i="2"/>
  <c r="A4" i="21"/>
  <c r="A4" i="16"/>
  <c r="P48" i="21"/>
  <c r="L48" i="21"/>
  <c r="E48" i="21"/>
  <c r="A9" i="21"/>
  <c r="A10" i="21"/>
  <c r="A11" i="21"/>
  <c r="A12" i="21"/>
  <c r="A13" i="21"/>
  <c r="A14" i="21"/>
  <c r="A15" i="21"/>
  <c r="A16" i="21"/>
  <c r="A17" i="21"/>
  <c r="A18" i="21"/>
  <c r="A19" i="21"/>
  <c r="A20" i="21"/>
  <c r="A21" i="21"/>
  <c r="A22" i="21"/>
  <c r="A23" i="21"/>
  <c r="A24" i="21"/>
  <c r="A25" i="21"/>
  <c r="A26" i="21"/>
  <c r="A27" i="21"/>
  <c r="A28" i="21"/>
  <c r="A29" i="21"/>
  <c r="A30" i="21"/>
  <c r="A31" i="21"/>
  <c r="A32" i="21"/>
  <c r="A33" i="21"/>
  <c r="A34" i="21"/>
  <c r="A35" i="21"/>
  <c r="A36" i="21"/>
  <c r="A37" i="21"/>
  <c r="A38" i="21"/>
  <c r="A39" i="21"/>
  <c r="A40" i="21"/>
  <c r="A41" i="21"/>
  <c r="A42" i="21"/>
  <c r="A43" i="21"/>
  <c r="A44" i="21"/>
  <c r="A45" i="21"/>
  <c r="A46" i="21"/>
  <c r="A47" i="21"/>
  <c r="D352" i="2"/>
  <c r="D343" i="2"/>
  <c r="D334" i="2"/>
  <c r="D331" i="2"/>
  <c r="D324" i="2"/>
  <c r="D322" i="2"/>
  <c r="E133" i="4"/>
  <c r="D315" i="2"/>
  <c r="D285" i="2"/>
  <c r="D275" i="2"/>
  <c r="D270" i="2"/>
  <c r="D263" i="2"/>
  <c r="D260" i="2"/>
  <c r="D255" i="2"/>
  <c r="D249" i="2"/>
  <c r="C115" i="3"/>
  <c r="D243" i="2"/>
  <c r="C114" i="3"/>
  <c r="C113" i="3"/>
  <c r="D242" i="2"/>
  <c r="D241" i="2"/>
  <c r="D236" i="2"/>
  <c r="D231" i="2"/>
  <c r="D230" i="2"/>
  <c r="C111" i="3"/>
  <c r="D222" i="2"/>
  <c r="C110" i="3"/>
  <c r="D220" i="2"/>
  <c r="C109" i="3"/>
  <c r="D214" i="2"/>
  <c r="D211" i="2"/>
  <c r="H207" i="2"/>
  <c r="E132" i="4"/>
  <c r="D207" i="2"/>
  <c r="D204" i="2"/>
  <c r="H200" i="2"/>
  <c r="D200" i="2"/>
  <c r="C92" i="3"/>
  <c r="D197" i="2"/>
  <c r="C91" i="3"/>
  <c r="D194" i="2"/>
  <c r="C90" i="3"/>
  <c r="H192" i="2"/>
  <c r="D191" i="2"/>
  <c r="C89" i="3"/>
  <c r="H189" i="2"/>
  <c r="D188" i="2"/>
  <c r="H186" i="2"/>
  <c r="D184" i="2"/>
  <c r="C84" i="3"/>
  <c r="F37" i="8"/>
  <c r="H183" i="2"/>
  <c r="D182" i="2"/>
  <c r="C85" i="3"/>
  <c r="D178" i="2"/>
  <c r="D175" i="2"/>
  <c r="D174" i="2"/>
  <c r="H176" i="2"/>
  <c r="H153" i="2"/>
  <c r="H152" i="2"/>
  <c r="H151" i="2"/>
  <c r="H330" i="2"/>
  <c r="D172" i="2"/>
  <c r="H170" i="2"/>
  <c r="D169" i="2"/>
  <c r="D166" i="2"/>
  <c r="D163" i="2"/>
  <c r="H162" i="2"/>
  <c r="D159" i="2"/>
  <c r="D156" i="2"/>
  <c r="H154" i="2"/>
  <c r="D153" i="2"/>
  <c r="C64" i="3"/>
  <c r="F15" i="8"/>
  <c r="D150" i="2"/>
  <c r="H149" i="2"/>
  <c r="G97" i="3"/>
  <c r="D23" i="5"/>
  <c r="D147" i="2"/>
  <c r="H144" i="2"/>
  <c r="D144" i="2"/>
  <c r="H141" i="2"/>
  <c r="D140" i="2"/>
  <c r="H137" i="2"/>
  <c r="D137" i="2"/>
  <c r="D134" i="2"/>
  <c r="H127" i="2"/>
  <c r="D126" i="2"/>
  <c r="C46" i="3"/>
  <c r="H122" i="2"/>
  <c r="H121" i="2"/>
  <c r="G81" i="3"/>
  <c r="D118" i="2"/>
  <c r="C39" i="3"/>
  <c r="H113" i="2"/>
  <c r="G80" i="3"/>
  <c r="D110" i="2"/>
  <c r="C45" i="3"/>
  <c r="H106" i="2"/>
  <c r="H102" i="2"/>
  <c r="D102" i="2"/>
  <c r="C38" i="3"/>
  <c r="H99" i="2"/>
  <c r="H96" i="2"/>
  <c r="D94" i="2"/>
  <c r="H93" i="2"/>
  <c r="H92" i="2"/>
  <c r="H89" i="2"/>
  <c r="H86" i="2"/>
  <c r="D86" i="2"/>
  <c r="H83" i="2"/>
  <c r="H80" i="2"/>
  <c r="D77" i="2"/>
  <c r="H75" i="2"/>
  <c r="D15" i="1"/>
  <c r="H72" i="2"/>
  <c r="H69" i="2"/>
  <c r="G37" i="3"/>
  <c r="D69" i="2"/>
  <c r="C35" i="3"/>
  <c r="H66" i="2"/>
  <c r="G36" i="3"/>
  <c r="H63" i="2"/>
  <c r="G35" i="3"/>
  <c r="D61" i="2"/>
  <c r="C41" i="3"/>
  <c r="H60" i="2"/>
  <c r="G34" i="3"/>
  <c r="H56" i="2"/>
  <c r="H53" i="2"/>
  <c r="D53" i="2"/>
  <c r="D50" i="2"/>
  <c r="H49" i="2"/>
  <c r="D47" i="2"/>
  <c r="C29" i="3"/>
  <c r="H46" i="2"/>
  <c r="H45" i="2"/>
  <c r="H41" i="2"/>
  <c r="D41" i="2"/>
  <c r="H38" i="2"/>
  <c r="D35" i="2"/>
  <c r="D34" i="2"/>
  <c r="H34" i="2"/>
  <c r="H31" i="2"/>
  <c r="D31" i="2"/>
  <c r="D34" i="5"/>
  <c r="E34" i="5"/>
  <c r="D28" i="2"/>
  <c r="H27" i="2"/>
  <c r="H24" i="2"/>
  <c r="H23" i="2"/>
  <c r="D23" i="2"/>
  <c r="H20" i="2"/>
  <c r="D18" i="2"/>
  <c r="H17" i="2"/>
  <c r="H16" i="2"/>
  <c r="H11" i="2"/>
  <c r="D11" i="2"/>
  <c r="C11" i="3"/>
  <c r="C8" i="23"/>
  <c r="G7" i="3"/>
  <c r="D10" i="1"/>
  <c r="M28" i="24"/>
  <c r="L28" i="24"/>
  <c r="E28" i="24"/>
  <c r="A9" i="24"/>
  <c r="A4" i="24"/>
  <c r="J24" i="23"/>
  <c r="I24" i="23"/>
  <c r="H24" i="23"/>
  <c r="G24" i="23"/>
  <c r="F24" i="23"/>
  <c r="E24" i="23"/>
  <c r="D24" i="23"/>
  <c r="C24" i="23"/>
  <c r="K23" i="23"/>
  <c r="K22" i="23"/>
  <c r="K21" i="23"/>
  <c r="K20" i="23"/>
  <c r="K19" i="23"/>
  <c r="K18" i="23"/>
  <c r="J16" i="23"/>
  <c r="J25" i="23"/>
  <c r="I16" i="23"/>
  <c r="H16" i="23"/>
  <c r="G16" i="23"/>
  <c r="F16" i="23"/>
  <c r="E16" i="23"/>
  <c r="E25" i="23"/>
  <c r="D16" i="23"/>
  <c r="D25" i="23"/>
  <c r="K15" i="23"/>
  <c r="K14" i="23"/>
  <c r="K13" i="23"/>
  <c r="K12" i="23"/>
  <c r="K11" i="23"/>
  <c r="K10" i="23"/>
  <c r="K9" i="23"/>
  <c r="A4" i="23"/>
  <c r="K32" i="22"/>
  <c r="J32" i="22"/>
  <c r="I32" i="22"/>
  <c r="I29" i="22" s="1"/>
  <c r="I30" i="22" s="1"/>
  <c r="H32" i="22"/>
  <c r="G32" i="22"/>
  <c r="F32" i="22"/>
  <c r="F29" i="22" s="1"/>
  <c r="F30" i="22" s="1"/>
  <c r="E32" i="22"/>
  <c r="D32" i="22"/>
  <c r="D29" i="22" s="1"/>
  <c r="D30" i="22" s="1"/>
  <c r="C32" i="22"/>
  <c r="M32" i="22" s="1"/>
  <c r="K23" i="22"/>
  <c r="K28" i="22"/>
  <c r="J23" i="22"/>
  <c r="J28" i="22"/>
  <c r="I23" i="22"/>
  <c r="I28" i="22"/>
  <c r="H23" i="22"/>
  <c r="H28" i="22"/>
  <c r="G23" i="22"/>
  <c r="G28" i="22"/>
  <c r="F23" i="22"/>
  <c r="F28" i="22"/>
  <c r="E23" i="22"/>
  <c r="E28" i="22"/>
  <c r="D23" i="22"/>
  <c r="D28" i="22"/>
  <c r="C23" i="22"/>
  <c r="C28" i="22"/>
  <c r="M22" i="22"/>
  <c r="M21" i="22"/>
  <c r="M20" i="22"/>
  <c r="M19" i="22"/>
  <c r="M17" i="22"/>
  <c r="K16" i="22"/>
  <c r="J16" i="22"/>
  <c r="I16" i="22"/>
  <c r="H16" i="22"/>
  <c r="G16" i="22"/>
  <c r="F16" i="22"/>
  <c r="E16" i="22"/>
  <c r="D16" i="22"/>
  <c r="C16" i="22"/>
  <c r="M15" i="22"/>
  <c r="M14" i="22"/>
  <c r="M13" i="22"/>
  <c r="K9" i="22"/>
  <c r="J9" i="22"/>
  <c r="J27" i="22"/>
  <c r="I9" i="22"/>
  <c r="H9" i="22"/>
  <c r="G9" i="22"/>
  <c r="F9" i="22"/>
  <c r="F27" i="22"/>
  <c r="E9" i="22"/>
  <c r="D9" i="22"/>
  <c r="C9" i="22"/>
  <c r="C27" i="22"/>
  <c r="A4" i="22"/>
  <c r="C19" i="1"/>
  <c r="C28" i="1"/>
  <c r="L23" i="28"/>
  <c r="N60" i="13"/>
  <c r="M60" i="13"/>
  <c r="M73" i="13"/>
  <c r="L60" i="13"/>
  <c r="L73" i="13"/>
  <c r="K60" i="13"/>
  <c r="I60" i="13"/>
  <c r="H60" i="13"/>
  <c r="G60" i="13"/>
  <c r="E60" i="13"/>
  <c r="C60" i="13"/>
  <c r="C73" i="13"/>
  <c r="E51" i="13"/>
  <c r="G51" i="13"/>
  <c r="H51" i="13"/>
  <c r="D51" i="13"/>
  <c r="F51" i="13"/>
  <c r="C23" i="1"/>
  <c r="L18" i="28"/>
  <c r="H8" i="15"/>
  <c r="H9" i="15"/>
  <c r="H10" i="15"/>
  <c r="H11" i="15"/>
  <c r="H12" i="15"/>
  <c r="H13" i="15"/>
  <c r="H14" i="15"/>
  <c r="H15" i="15"/>
  <c r="H16" i="15"/>
  <c r="H17" i="15"/>
  <c r="H18" i="15"/>
  <c r="H19" i="15"/>
  <c r="H20" i="15"/>
  <c r="H21" i="15"/>
  <c r="H22" i="15"/>
  <c r="H23" i="15"/>
  <c r="H24" i="15"/>
  <c r="H25" i="15"/>
  <c r="H26" i="15"/>
  <c r="B11" i="3"/>
  <c r="L30" i="13"/>
  <c r="L74" i="13"/>
  <c r="M30" i="13"/>
  <c r="M74" i="13"/>
  <c r="N30" i="13"/>
  <c r="N74" i="13"/>
  <c r="I30" i="13"/>
  <c r="I74" i="13"/>
  <c r="D16" i="6"/>
  <c r="E16" i="6"/>
  <c r="D15" i="6"/>
  <c r="E15" i="6"/>
  <c r="C16" i="6"/>
  <c r="C15" i="6"/>
  <c r="E6" i="4"/>
  <c r="A4" i="20"/>
  <c r="A4" i="19"/>
  <c r="A4" i="18"/>
  <c r="A4" i="17"/>
  <c r="A4" i="15"/>
  <c r="A4" i="14"/>
  <c r="L36" i="14"/>
  <c r="L35" i="14"/>
  <c r="L34" i="14"/>
  <c r="L33" i="14"/>
  <c r="L32" i="14"/>
  <c r="L31" i="14"/>
  <c r="L30" i="14"/>
  <c r="L29" i="14"/>
  <c r="L28" i="14"/>
  <c r="L27" i="14"/>
  <c r="L26" i="14"/>
  <c r="L25" i="14"/>
  <c r="L24" i="14"/>
  <c r="L23" i="14"/>
  <c r="L22" i="14"/>
  <c r="L21" i="14"/>
  <c r="L20" i="14"/>
  <c r="L19" i="14"/>
  <c r="L18" i="14"/>
  <c r="K17" i="14"/>
  <c r="J17" i="14"/>
  <c r="I17" i="14"/>
  <c r="H17" i="14"/>
  <c r="G17" i="14"/>
  <c r="F17" i="14"/>
  <c r="E17" i="14"/>
  <c r="L16" i="14"/>
  <c r="L15" i="14"/>
  <c r="L14" i="14"/>
  <c r="L13" i="14"/>
  <c r="L12" i="14"/>
  <c r="L11" i="14"/>
  <c r="L10" i="14"/>
  <c r="L9" i="14"/>
  <c r="A4" i="13"/>
  <c r="A4" i="12"/>
  <c r="A4" i="1"/>
  <c r="H20" i="19"/>
  <c r="I14" i="19"/>
  <c r="G20" i="19"/>
  <c r="F20" i="19"/>
  <c r="E20" i="19"/>
  <c r="D20" i="19"/>
  <c r="C20" i="19"/>
  <c r="N26" i="18"/>
  <c r="M26" i="18"/>
  <c r="N20" i="18"/>
  <c r="M20" i="18"/>
  <c r="N14" i="18"/>
  <c r="M14" i="18"/>
  <c r="D28" i="17"/>
  <c r="G28" i="15"/>
  <c r="F28" i="15"/>
  <c r="G27" i="15"/>
  <c r="F27" i="15"/>
  <c r="C27" i="15"/>
  <c r="H7" i="15"/>
  <c r="H28" i="15"/>
  <c r="D22" i="20"/>
  <c r="E22" i="20"/>
  <c r="L28" i="12"/>
  <c r="D28" i="12"/>
  <c r="A4" i="8"/>
  <c r="A3" i="5"/>
  <c r="A4" i="5"/>
  <c r="C44" i="8"/>
  <c r="E44" i="8"/>
  <c r="C43" i="8"/>
  <c r="E43" i="8"/>
  <c r="C42" i="8"/>
  <c r="E42" i="8"/>
  <c r="C41" i="8"/>
  <c r="E41" i="8"/>
  <c r="C39" i="8"/>
  <c r="E39" i="8"/>
  <c r="C38" i="8"/>
  <c r="E38" i="8"/>
  <c r="A4" i="6"/>
  <c r="D24" i="6"/>
  <c r="E24" i="6"/>
  <c r="D23" i="6"/>
  <c r="D22" i="6"/>
  <c r="D21" i="6"/>
  <c r="D20" i="6"/>
  <c r="D19" i="6"/>
  <c r="D18" i="6"/>
  <c r="D17" i="6"/>
  <c r="D11" i="6"/>
  <c r="D10" i="6"/>
  <c r="D9" i="6"/>
  <c r="C24" i="6"/>
  <c r="C23" i="6"/>
  <c r="C22" i="6"/>
  <c r="C21" i="6"/>
  <c r="E21" i="6"/>
  <c r="C20" i="6"/>
  <c r="E20" i="6"/>
  <c r="C19" i="6"/>
  <c r="E19" i="6"/>
  <c r="C18" i="6"/>
  <c r="C17" i="6"/>
  <c r="C13" i="6"/>
  <c r="E13" i="6"/>
  <c r="C12" i="6"/>
  <c r="E12" i="6"/>
  <c r="C11" i="6"/>
  <c r="C10" i="6"/>
  <c r="C9" i="6"/>
  <c r="C7" i="3"/>
  <c r="C20" i="3"/>
  <c r="D45" i="5"/>
  <c r="E45" i="5"/>
  <c r="E44" i="5"/>
  <c r="D29" i="5"/>
  <c r="E29" i="5"/>
  <c r="D28" i="5"/>
  <c r="E28" i="5"/>
  <c r="D27" i="5"/>
  <c r="E27" i="5"/>
  <c r="E135" i="4"/>
  <c r="E130" i="4"/>
  <c r="E129" i="4"/>
  <c r="E128" i="4"/>
  <c r="E127" i="4"/>
  <c r="E126" i="4"/>
  <c r="E125" i="4"/>
  <c r="E123" i="4"/>
  <c r="E122" i="4"/>
  <c r="E121" i="4"/>
  <c r="E120" i="4"/>
  <c r="E119" i="4"/>
  <c r="E118" i="4"/>
  <c r="E115" i="4"/>
  <c r="E114" i="4"/>
  <c r="E113" i="4"/>
  <c r="E112" i="4"/>
  <c r="E111" i="4"/>
  <c r="E110" i="4"/>
  <c r="E106" i="4"/>
  <c r="E105" i="4"/>
  <c r="E104" i="4"/>
  <c r="E103" i="4"/>
  <c r="E102" i="4"/>
  <c r="E101" i="4"/>
  <c r="E100" i="4"/>
  <c r="E99" i="4"/>
  <c r="E98" i="4"/>
  <c r="E97" i="4"/>
  <c r="E96" i="4"/>
  <c r="E95" i="4"/>
  <c r="E94" i="4"/>
  <c r="E93" i="4"/>
  <c r="E92" i="4"/>
  <c r="E91" i="4"/>
  <c r="E90" i="4"/>
  <c r="E89" i="4"/>
  <c r="E88" i="4"/>
  <c r="E87" i="4"/>
  <c r="E86" i="4"/>
  <c r="E85" i="4"/>
  <c r="E84" i="4"/>
  <c r="E83" i="4"/>
  <c r="E82" i="4"/>
  <c r="E81" i="4"/>
  <c r="E80" i="4"/>
  <c r="E79" i="4"/>
  <c r="E78" i="4"/>
  <c r="E76" i="4"/>
  <c r="E75" i="4"/>
  <c r="E74" i="4"/>
  <c r="E73" i="4"/>
  <c r="E72" i="4"/>
  <c r="E71" i="4"/>
  <c r="E70" i="4"/>
  <c r="E69" i="4"/>
  <c r="E68" i="4"/>
  <c r="E66" i="4"/>
  <c r="E65" i="4"/>
  <c r="E64" i="4"/>
  <c r="E63" i="4"/>
  <c r="E60" i="4"/>
  <c r="E59" i="4"/>
  <c r="E58" i="4"/>
  <c r="E57" i="4"/>
  <c r="E56" i="4"/>
  <c r="E55" i="4"/>
  <c r="E54" i="4"/>
  <c r="E52" i="4"/>
  <c r="E51" i="4"/>
  <c r="E49" i="4"/>
  <c r="E48" i="4"/>
  <c r="E44" i="4"/>
  <c r="E43" i="4"/>
  <c r="E42" i="4"/>
  <c r="E41" i="4"/>
  <c r="E40" i="4"/>
  <c r="E38" i="4"/>
  <c r="E37" i="4"/>
  <c r="E36" i="4"/>
  <c r="E35" i="4"/>
  <c r="E34" i="4"/>
  <c r="E33" i="4"/>
  <c r="E32" i="4"/>
  <c r="E30" i="4"/>
  <c r="E29" i="4"/>
  <c r="E28" i="4"/>
  <c r="E27" i="4"/>
  <c r="E26" i="4"/>
  <c r="E24" i="4"/>
  <c r="E23" i="4"/>
  <c r="E22" i="4"/>
  <c r="E21" i="4"/>
  <c r="E20" i="4"/>
  <c r="E19" i="4"/>
  <c r="E18" i="4"/>
  <c r="E16" i="4"/>
  <c r="E15" i="4"/>
  <c r="E14" i="4"/>
  <c r="E13" i="4"/>
  <c r="E12" i="4"/>
  <c r="E11" i="4"/>
  <c r="E10" i="4"/>
  <c r="G96" i="3"/>
  <c r="D16" i="5"/>
  <c r="G93" i="3"/>
  <c r="D22" i="5"/>
  <c r="G92" i="3"/>
  <c r="D14" i="5"/>
  <c r="G90" i="3"/>
  <c r="G89" i="3"/>
  <c r="D21" i="5"/>
  <c r="G88" i="3"/>
  <c r="D12" i="5"/>
  <c r="G86" i="3"/>
  <c r="G83" i="3"/>
  <c r="G85" i="3"/>
  <c r="G84" i="3"/>
  <c r="G79" i="3"/>
  <c r="G78" i="3"/>
  <c r="G77" i="3"/>
  <c r="G76" i="3"/>
  <c r="G75" i="3"/>
  <c r="G74" i="3"/>
  <c r="G73" i="3"/>
  <c r="G72" i="3"/>
  <c r="G68" i="3"/>
  <c r="G67" i="3"/>
  <c r="G65" i="3"/>
  <c r="G63" i="3"/>
  <c r="G64" i="3"/>
  <c r="G62" i="3"/>
  <c r="G61" i="3"/>
  <c r="G60" i="3"/>
  <c r="G59" i="3"/>
  <c r="G58" i="3"/>
  <c r="G57" i="3"/>
  <c r="G55" i="3"/>
  <c r="G54" i="3"/>
  <c r="G52" i="3"/>
  <c r="G51" i="3"/>
  <c r="G49" i="3"/>
  <c r="G48" i="3"/>
  <c r="G46" i="3"/>
  <c r="G45" i="3"/>
  <c r="G41" i="3"/>
  <c r="G40" i="3"/>
  <c r="G32" i="3"/>
  <c r="G31" i="3"/>
  <c r="G30" i="3"/>
  <c r="G28" i="3"/>
  <c r="G27" i="3"/>
  <c r="G26" i="3"/>
  <c r="G23" i="3"/>
  <c r="G22" i="3"/>
  <c r="G20" i="3"/>
  <c r="G21" i="3"/>
  <c r="G19" i="3"/>
  <c r="G18" i="3"/>
  <c r="G17" i="3"/>
  <c r="G16" i="3"/>
  <c r="G13" i="3"/>
  <c r="G12" i="3"/>
  <c r="C108" i="3"/>
  <c r="C107" i="3"/>
  <c r="C106" i="3"/>
  <c r="C33" i="8"/>
  <c r="C104" i="3"/>
  <c r="C103" i="3"/>
  <c r="C30" i="8"/>
  <c r="E30" i="8"/>
  <c r="C101" i="3"/>
  <c r="C35" i="8"/>
  <c r="E35" i="8"/>
  <c r="C100" i="3"/>
  <c r="C98" i="3"/>
  <c r="C99" i="3"/>
  <c r="C97" i="3"/>
  <c r="C96" i="3"/>
  <c r="C88" i="3"/>
  <c r="C81" i="3"/>
  <c r="F22" i="8"/>
  <c r="C80" i="3"/>
  <c r="C28" i="8"/>
  <c r="E28" i="8"/>
  <c r="C79" i="3"/>
  <c r="C78" i="3"/>
  <c r="C76" i="3"/>
  <c r="C24" i="8"/>
  <c r="C75" i="3"/>
  <c r="C73" i="3"/>
  <c r="C72" i="3"/>
  <c r="C71" i="3"/>
  <c r="C69" i="3"/>
  <c r="C68" i="3"/>
  <c r="C63" i="3"/>
  <c r="C62" i="3"/>
  <c r="C61" i="3"/>
  <c r="C59" i="3"/>
  <c r="C58" i="3"/>
  <c r="C56" i="3"/>
  <c r="C55" i="3"/>
  <c r="C54" i="3"/>
  <c r="C52" i="3"/>
  <c r="C51" i="3"/>
  <c r="C30" i="3"/>
  <c r="C28" i="3"/>
  <c r="C27" i="3"/>
  <c r="C26" i="3"/>
  <c r="C25" i="3"/>
  <c r="C24" i="3"/>
  <c r="C23" i="3"/>
  <c r="C22" i="3"/>
  <c r="C21" i="3"/>
  <c r="C19" i="3"/>
  <c r="C18" i="3"/>
  <c r="C15" i="3"/>
  <c r="C14" i="3"/>
  <c r="C13" i="3"/>
  <c r="C12" i="3"/>
  <c r="A4" i="3"/>
  <c r="A4" i="4"/>
  <c r="O30" i="13"/>
  <c r="H30" i="13"/>
  <c r="H71" i="13"/>
  <c r="G30" i="13"/>
  <c r="E30" i="13"/>
  <c r="E74" i="13"/>
  <c r="D30" i="13"/>
  <c r="F30" i="13"/>
  <c r="O9" i="13"/>
  <c r="C34" i="3"/>
  <c r="I17" i="19"/>
  <c r="I19" i="19"/>
  <c r="I16" i="19"/>
  <c r="D10" i="5"/>
  <c r="C37" i="3"/>
  <c r="J10" i="13"/>
  <c r="R10" i="13"/>
  <c r="A3" i="14"/>
  <c r="B51" i="8"/>
  <c r="D35" i="16"/>
  <c r="E34" i="15"/>
  <c r="D365" i="2"/>
  <c r="D45" i="22"/>
  <c r="C21" i="8"/>
  <c r="E21" i="8"/>
  <c r="J12" i="13"/>
  <c r="R12" i="13"/>
  <c r="A65" i="5"/>
  <c r="D37" i="16"/>
  <c r="D84" i="13"/>
  <c r="C125" i="3"/>
  <c r="B36" i="6"/>
  <c r="H37" i="24"/>
  <c r="H60" i="21"/>
  <c r="E36" i="15"/>
  <c r="E38" i="17"/>
  <c r="E37" i="12"/>
  <c r="E36" i="18"/>
  <c r="D37" i="23"/>
  <c r="B43" i="20"/>
  <c r="C44" i="14"/>
  <c r="A3" i="15"/>
  <c r="D30" i="19"/>
  <c r="C150" i="4"/>
  <c r="J16" i="13"/>
  <c r="R16" i="13"/>
  <c r="B9" i="13"/>
  <c r="B73" i="13"/>
  <c r="J62" i="13"/>
  <c r="R62" i="13"/>
  <c r="D13" i="5"/>
  <c r="D43" i="22"/>
  <c r="D86" i="13"/>
  <c r="B53" i="8"/>
  <c r="B30" i="13"/>
  <c r="B71" i="13"/>
  <c r="J31" i="13"/>
  <c r="R31" i="13"/>
  <c r="A6" i="13"/>
  <c r="C71" i="13"/>
  <c r="K71" i="13"/>
  <c r="D74" i="13"/>
  <c r="G74" i="13"/>
  <c r="E73" i="13"/>
  <c r="I75" i="2"/>
  <c r="G71" i="3"/>
  <c r="C42" i="3"/>
  <c r="C44" i="3"/>
  <c r="N73" i="13"/>
  <c r="B41" i="20"/>
  <c r="H35" i="24"/>
  <c r="C148" i="4"/>
  <c r="A63" i="5"/>
  <c r="B34" i="6"/>
  <c r="C123" i="3"/>
  <c r="D28" i="19"/>
  <c r="E34" i="18"/>
  <c r="E35" i="12"/>
  <c r="A67" i="5"/>
  <c r="D32" i="19"/>
  <c r="A3" i="16"/>
  <c r="D41" i="22"/>
  <c r="A3" i="21"/>
  <c r="H39" i="24"/>
  <c r="E36" i="17"/>
  <c r="A6" i="5"/>
  <c r="D35" i="23"/>
  <c r="C42" i="14"/>
  <c r="C47" i="3"/>
  <c r="F8" i="8"/>
  <c r="D20" i="5"/>
  <c r="E9" i="6"/>
  <c r="G53" i="3"/>
  <c r="E25" i="4"/>
  <c r="H185" i="2"/>
  <c r="A3" i="19"/>
  <c r="A3" i="18"/>
  <c r="A3" i="13"/>
  <c r="A3" i="6"/>
  <c r="A3" i="24"/>
  <c r="E124" i="4"/>
  <c r="K73" i="13"/>
  <c r="F29" i="8"/>
  <c r="D42" i="5"/>
  <c r="E42" i="5"/>
  <c r="C112" i="3"/>
  <c r="E18" i="6"/>
  <c r="C40" i="8"/>
  <c r="C37" i="8"/>
  <c r="K24" i="23"/>
  <c r="G73" i="13"/>
  <c r="C8" i="6"/>
  <c r="D39" i="16"/>
  <c r="I11" i="19"/>
  <c r="I21" i="19"/>
  <c r="E50" i="4"/>
  <c r="I73" i="13"/>
  <c r="B13" i="28"/>
  <c r="E53" i="4"/>
  <c r="E67" i="4"/>
  <c r="L17" i="14"/>
  <c r="I27" i="22"/>
  <c r="I26" i="22"/>
  <c r="J26" i="22"/>
  <c r="B4" i="30"/>
  <c r="A4" i="28"/>
  <c r="A4" i="29"/>
  <c r="J66" i="13"/>
  <c r="C26" i="8"/>
  <c r="E26" i="8"/>
  <c r="E25" i="8"/>
  <c r="E22" i="8"/>
  <c r="G22" i="8"/>
  <c r="C31" i="8"/>
  <c r="C29" i="8"/>
  <c r="E22" i="6"/>
  <c r="B12" i="28"/>
  <c r="C127" i="3"/>
  <c r="C20" i="8"/>
  <c r="E20" i="8"/>
  <c r="C70" i="3"/>
  <c r="C67" i="3"/>
  <c r="H25" i="23"/>
  <c r="E38" i="15"/>
  <c r="B38" i="6"/>
  <c r="D88" i="13"/>
  <c r="C95" i="3"/>
  <c r="C16" i="1"/>
  <c r="C11" i="28"/>
  <c r="L11" i="28"/>
  <c r="C14" i="28"/>
  <c r="L14" i="28"/>
  <c r="D37" i="5"/>
  <c r="E37" i="5"/>
  <c r="E39" i="12"/>
  <c r="G87" i="3"/>
  <c r="C23" i="8"/>
  <c r="E23" i="8"/>
  <c r="E39" i="4"/>
  <c r="G25" i="23"/>
  <c r="C27" i="8"/>
  <c r="E27" i="8"/>
  <c r="C34" i="8"/>
  <c r="E34" i="8"/>
  <c r="E40" i="8"/>
  <c r="E71" i="13"/>
  <c r="D36" i="5"/>
  <c r="E36" i="5"/>
  <c r="G11" i="3"/>
  <c r="E10" i="6"/>
  <c r="I12" i="19"/>
  <c r="L15" i="23"/>
  <c r="C83" i="3"/>
  <c r="D41" i="5"/>
  <c r="E41" i="5"/>
  <c r="D71" i="13"/>
  <c r="D75" i="13"/>
  <c r="D30" i="5"/>
  <c r="E30" i="5"/>
  <c r="I18" i="19"/>
  <c r="E31" i="4"/>
  <c r="H27" i="15"/>
  <c r="D85" i="2"/>
  <c r="J60" i="13"/>
  <c r="I15" i="19"/>
  <c r="C26" i="22"/>
  <c r="F25" i="23"/>
  <c r="L23" i="23"/>
  <c r="I13" i="19"/>
  <c r="G47" i="3"/>
  <c r="D11" i="5"/>
  <c r="E77" i="4"/>
  <c r="D27" i="22"/>
  <c r="H105" i="2"/>
  <c r="L9" i="23"/>
  <c r="C105" i="3"/>
  <c r="C102" i="3"/>
  <c r="C94" i="3"/>
  <c r="G66" i="3"/>
  <c r="G56" i="3"/>
  <c r="N27" i="18"/>
  <c r="E27" i="22"/>
  <c r="E26" i="22"/>
  <c r="C13" i="8"/>
  <c r="E13" i="8"/>
  <c r="O71" i="13"/>
  <c r="G25" i="3"/>
  <c r="E62" i="4"/>
  <c r="G27" i="22"/>
  <c r="G26" i="22"/>
  <c r="H30" i="2"/>
  <c r="H52" i="2"/>
  <c r="C17" i="3"/>
  <c r="L12" i="23"/>
  <c r="E17" i="4"/>
  <c r="H27" i="22"/>
  <c r="H26" i="22"/>
  <c r="I25" i="23"/>
  <c r="C14" i="8"/>
  <c r="E14" i="8"/>
  <c r="D262" i="2"/>
  <c r="D254" i="2"/>
  <c r="D253" i="2"/>
  <c r="H331" i="2"/>
  <c r="H329" i="2"/>
  <c r="G95" i="3"/>
  <c r="A5" i="17"/>
  <c r="A6" i="20"/>
  <c r="A6" i="6"/>
  <c r="A5" i="15"/>
  <c r="A6" i="22"/>
  <c r="A6" i="18"/>
  <c r="A5" i="8"/>
  <c r="A5" i="21"/>
  <c r="A5" i="12"/>
  <c r="A6" i="23"/>
  <c r="A5" i="24"/>
  <c r="D33" i="5"/>
  <c r="E33" i="5"/>
  <c r="L10" i="23"/>
  <c r="M11" i="22"/>
  <c r="D32" i="5"/>
  <c r="E32" i="5"/>
  <c r="D31" i="5"/>
  <c r="E31" i="5"/>
  <c r="C16" i="23"/>
  <c r="C25" i="23"/>
  <c r="I26" i="23"/>
  <c r="K8" i="23"/>
  <c r="K16" i="23"/>
  <c r="K25" i="23"/>
  <c r="K26" i="23"/>
  <c r="G50" i="3"/>
  <c r="E23" i="6"/>
  <c r="M18" i="22"/>
  <c r="M16" i="22"/>
  <c r="H44" i="2"/>
  <c r="H15" i="2"/>
  <c r="G15" i="3"/>
  <c r="H37" i="2"/>
  <c r="G29" i="3"/>
  <c r="D14" i="6"/>
  <c r="D27" i="6"/>
  <c r="D28" i="6"/>
  <c r="C32" i="8"/>
  <c r="D187" i="2"/>
  <c r="D162" i="2"/>
  <c r="D155" i="2"/>
  <c r="C77" i="3"/>
  <c r="C74" i="3"/>
  <c r="C60" i="3"/>
  <c r="C57" i="3"/>
  <c r="C17" i="8"/>
  <c r="E17" i="8"/>
  <c r="C43" i="3"/>
  <c r="C40" i="3"/>
  <c r="D52" i="2"/>
  <c r="M12" i="22"/>
  <c r="M9" i="22"/>
  <c r="C10" i="3"/>
  <c r="D10" i="2"/>
  <c r="E11" i="6"/>
  <c r="D8" i="6"/>
  <c r="D23" i="1"/>
  <c r="F9" i="13"/>
  <c r="F71" i="13"/>
  <c r="G71" i="13"/>
  <c r="C9" i="8"/>
  <c r="E9" i="8"/>
  <c r="G75" i="13"/>
  <c r="J9" i="13"/>
  <c r="D16" i="1"/>
  <c r="G70" i="3"/>
  <c r="E61" i="4"/>
  <c r="C82" i="3"/>
  <c r="E33" i="8"/>
  <c r="C19" i="8"/>
  <c r="C53" i="3"/>
  <c r="G39" i="3"/>
  <c r="B30" i="28"/>
  <c r="H79" i="2"/>
  <c r="H78" i="2"/>
  <c r="I78" i="2"/>
  <c r="C12" i="8"/>
  <c r="C36" i="3"/>
  <c r="B14" i="28"/>
  <c r="G44" i="3"/>
  <c r="G91" i="3"/>
  <c r="E47" i="4"/>
  <c r="M27" i="18"/>
  <c r="H132" i="2"/>
  <c r="D17" i="20"/>
  <c r="E17" i="20"/>
  <c r="J30" i="13"/>
  <c r="D143" i="2"/>
  <c r="D136" i="2"/>
  <c r="E38" i="18"/>
  <c r="C46" i="14"/>
  <c r="B45" i="20"/>
  <c r="H62" i="21"/>
  <c r="C152" i="4"/>
  <c r="D39" i="23"/>
  <c r="E40" i="17"/>
  <c r="B55" i="8"/>
  <c r="E37" i="8"/>
  <c r="G37" i="8"/>
  <c r="D26" i="22"/>
  <c r="C16" i="8"/>
  <c r="C14" i="6"/>
  <c r="C27" i="6"/>
  <c r="C28" i="6"/>
  <c r="F26" i="22"/>
  <c r="E24" i="8"/>
  <c r="D35" i="5"/>
  <c r="E35" i="5"/>
  <c r="E17" i="6"/>
  <c r="C10" i="8"/>
  <c r="E10" i="8"/>
  <c r="M71" i="13"/>
  <c r="M75" i="13"/>
  <c r="C87" i="3"/>
  <c r="D210" i="2"/>
  <c r="D203" i="2"/>
  <c r="P71" i="13"/>
  <c r="E16" i="1"/>
  <c r="C50" i="3"/>
  <c r="F45" i="8"/>
  <c r="D15" i="20"/>
  <c r="F36" i="8"/>
  <c r="C16" i="3"/>
  <c r="E109" i="4"/>
  <c r="H59" i="2"/>
  <c r="G38" i="3"/>
  <c r="E31" i="8"/>
  <c r="I11" i="2"/>
  <c r="H10" i="2"/>
  <c r="D14" i="1"/>
  <c r="C25" i="8"/>
  <c r="C22" i="8"/>
  <c r="H74" i="13"/>
  <c r="K27" i="22"/>
  <c r="K26" i="22"/>
  <c r="D19" i="5"/>
  <c r="L71" i="13"/>
  <c r="L75" i="13"/>
  <c r="A3" i="3"/>
  <c r="A3" i="17"/>
  <c r="A3" i="22"/>
  <c r="A3" i="20"/>
  <c r="A3" i="23"/>
  <c r="A3" i="8"/>
  <c r="A3" i="4"/>
  <c r="A3" i="12"/>
  <c r="E9" i="4"/>
  <c r="D73" i="13"/>
  <c r="E117" i="4"/>
  <c r="B29" i="28"/>
  <c r="B28" i="28"/>
  <c r="J73" i="13"/>
  <c r="G10" i="3"/>
  <c r="C36" i="8"/>
  <c r="E36" i="8"/>
  <c r="J74" i="13"/>
  <c r="E32" i="8"/>
  <c r="E8" i="6"/>
  <c r="G24" i="3"/>
  <c r="G14" i="3"/>
  <c r="L19" i="23"/>
  <c r="H14" i="2"/>
  <c r="I14" i="2"/>
  <c r="C26" i="23"/>
  <c r="H26" i="23"/>
  <c r="D26" i="23"/>
  <c r="E26" i="23"/>
  <c r="F26" i="23"/>
  <c r="G26" i="23"/>
  <c r="J26" i="23"/>
  <c r="E14" i="6"/>
  <c r="E27" i="6"/>
  <c r="E28" i="6"/>
  <c r="E13" i="20"/>
  <c r="M27" i="22"/>
  <c r="E29" i="8"/>
  <c r="G29" i="8"/>
  <c r="D186" i="2"/>
  <c r="D9" i="2"/>
  <c r="D326" i="2"/>
  <c r="E16" i="8"/>
  <c r="G43" i="3"/>
  <c r="C18" i="8"/>
  <c r="C15" i="8"/>
  <c r="E19" i="8"/>
  <c r="E18" i="8"/>
  <c r="N71" i="13"/>
  <c r="N75" i="13"/>
  <c r="L18" i="23"/>
  <c r="E12" i="8"/>
  <c r="E11" i="8"/>
  <c r="E8" i="8"/>
  <c r="C11" i="8"/>
  <c r="C8" i="8"/>
  <c r="H9" i="2"/>
  <c r="H326" i="2"/>
  <c r="C66" i="3"/>
  <c r="B31" i="28"/>
  <c r="E8" i="4"/>
  <c r="D24" i="20"/>
  <c r="E24" i="20"/>
  <c r="G36" i="8"/>
  <c r="D15" i="5"/>
  <c r="D9" i="5"/>
  <c r="G94" i="3"/>
  <c r="C33" i="3"/>
  <c r="G33" i="3"/>
  <c r="G69" i="3"/>
  <c r="C93" i="3"/>
  <c r="C86" i="3"/>
  <c r="L14" i="23"/>
  <c r="J14" i="16"/>
  <c r="J17" i="16"/>
  <c r="J24" i="16"/>
  <c r="J19" i="16"/>
  <c r="J10" i="16"/>
  <c r="J23" i="16"/>
  <c r="J25" i="16"/>
  <c r="J13" i="16"/>
  <c r="J27" i="16"/>
  <c r="J8" i="16"/>
  <c r="J29" i="16"/>
  <c r="J26" i="16"/>
  <c r="J16" i="16"/>
  <c r="J21" i="16"/>
  <c r="L21" i="23"/>
  <c r="J22" i="16"/>
  <c r="J15" i="16"/>
  <c r="J12" i="16"/>
  <c r="J20" i="16"/>
  <c r="J9" i="16"/>
  <c r="J18" i="16"/>
  <c r="J11" i="16"/>
  <c r="E46" i="4"/>
  <c r="C49" i="3"/>
  <c r="E139" i="4"/>
  <c r="F61" i="4"/>
  <c r="F109" i="4"/>
  <c r="C45" i="8"/>
  <c r="D13" i="20"/>
  <c r="F328" i="2"/>
  <c r="H328" i="2"/>
  <c r="D43" i="5"/>
  <c r="E43" i="5"/>
  <c r="G42" i="3"/>
  <c r="F102" i="4"/>
  <c r="F125" i="4"/>
  <c r="F128" i="4"/>
  <c r="F83" i="4"/>
  <c r="F130" i="4"/>
  <c r="F96" i="4"/>
  <c r="F94" i="4"/>
  <c r="F72" i="4"/>
  <c r="F135" i="4"/>
  <c r="F43" i="4"/>
  <c r="F80" i="4"/>
  <c r="F70" i="4"/>
  <c r="F88" i="4"/>
  <c r="F62" i="4"/>
  <c r="F76" i="4"/>
  <c r="F81" i="4"/>
  <c r="F40" i="4"/>
  <c r="F101" i="4"/>
  <c r="F69" i="4"/>
  <c r="F39" i="4"/>
  <c r="F44" i="4"/>
  <c r="F106" i="4"/>
  <c r="F63" i="4"/>
  <c r="F41" i="4"/>
  <c r="F133" i="4"/>
  <c r="F100" i="4"/>
  <c r="F111" i="4"/>
  <c r="F75" i="4"/>
  <c r="F110" i="4"/>
  <c r="F103" i="4"/>
  <c r="F115" i="4"/>
  <c r="F104" i="4"/>
  <c r="F68" i="4"/>
  <c r="F126" i="4"/>
  <c r="F65" i="4"/>
  <c r="F67" i="4"/>
  <c r="F86" i="4"/>
  <c r="F66" i="4"/>
  <c r="F129" i="4"/>
  <c r="F105" i="4"/>
  <c r="F92" i="4"/>
  <c r="F85" i="4"/>
  <c r="F89" i="4"/>
  <c r="F42" i="4"/>
  <c r="F87" i="4"/>
  <c r="F112" i="4"/>
  <c r="F127" i="4"/>
  <c r="F91" i="4"/>
  <c r="F79" i="4"/>
  <c r="F114" i="4"/>
  <c r="F90" i="4"/>
  <c r="F98" i="4"/>
  <c r="F78" i="4"/>
  <c r="F64" i="4"/>
  <c r="F99" i="4"/>
  <c r="F71" i="4"/>
  <c r="F74" i="4"/>
  <c r="F113" i="4"/>
  <c r="F97" i="4"/>
  <c r="F77" i="4"/>
  <c r="F73" i="4"/>
  <c r="F124" i="4"/>
  <c r="F84" i="4"/>
  <c r="F82" i="4"/>
  <c r="F95" i="4"/>
  <c r="F93" i="4"/>
  <c r="C32" i="3"/>
  <c r="B11" i="28"/>
  <c r="G8" i="8"/>
  <c r="E15" i="8"/>
  <c r="G15" i="8"/>
  <c r="C48" i="3"/>
  <c r="D8" i="5"/>
  <c r="D18" i="5"/>
  <c r="L13" i="23"/>
  <c r="C65" i="3"/>
  <c r="L20" i="23"/>
  <c r="G82" i="3"/>
  <c r="E45" i="4"/>
  <c r="E138" i="4"/>
  <c r="F8" i="4"/>
  <c r="E107" i="4"/>
  <c r="E108" i="4"/>
  <c r="E116" i="4"/>
  <c r="E131" i="4"/>
  <c r="E134" i="4"/>
  <c r="E136" i="4"/>
  <c r="F45" i="4"/>
  <c r="F29" i="4"/>
  <c r="F14" i="4"/>
  <c r="F21" i="4"/>
  <c r="F58" i="4"/>
  <c r="F11" i="4"/>
  <c r="F36" i="4"/>
  <c r="F49" i="4"/>
  <c r="F34" i="4"/>
  <c r="F12" i="4"/>
  <c r="F28" i="4"/>
  <c r="F51" i="4"/>
  <c r="F20" i="4"/>
  <c r="F26" i="4"/>
  <c r="F57" i="4"/>
  <c r="F50" i="4"/>
  <c r="F38" i="4"/>
  <c r="F132" i="4"/>
  <c r="F27" i="4"/>
  <c r="F24" i="4"/>
  <c r="E140" i="4"/>
  <c r="F10" i="4"/>
  <c r="F122" i="4"/>
  <c r="F32" i="4"/>
  <c r="F123" i="4"/>
  <c r="F53" i="4"/>
  <c r="F16" i="4"/>
  <c r="F119" i="4"/>
  <c r="F22" i="4"/>
  <c r="F118" i="4"/>
  <c r="F120" i="4"/>
  <c r="F52" i="4"/>
  <c r="F23" i="4"/>
  <c r="F30" i="4"/>
  <c r="F56" i="4"/>
  <c r="F37" i="4"/>
  <c r="F18" i="4"/>
  <c r="F19" i="4"/>
  <c r="F59" i="4"/>
  <c r="F54" i="4"/>
  <c r="F33" i="4"/>
  <c r="F35" i="4"/>
  <c r="F121" i="4"/>
  <c r="F48" i="4"/>
  <c r="F13" i="4"/>
  <c r="F31" i="4"/>
  <c r="F25" i="4"/>
  <c r="F55" i="4"/>
  <c r="F60" i="4"/>
  <c r="F17" i="4"/>
  <c r="F15" i="4"/>
  <c r="F9" i="4"/>
  <c r="F47" i="4"/>
  <c r="F117" i="4"/>
  <c r="D39" i="5"/>
  <c r="E39" i="5"/>
  <c r="L22" i="23"/>
  <c r="F30" i="12"/>
  <c r="G9" i="3"/>
  <c r="S43" i="21"/>
  <c r="I12" i="15"/>
  <c r="P21" i="24"/>
  <c r="O12" i="18"/>
  <c r="I13" i="15"/>
  <c r="S32" i="21"/>
  <c r="P14" i="24"/>
  <c r="S41" i="21"/>
  <c r="M15" i="12"/>
  <c r="S8" i="21"/>
  <c r="S49" i="21"/>
  <c r="D16" i="20"/>
  <c r="E16" i="20"/>
  <c r="I16" i="15"/>
  <c r="K25" i="17"/>
  <c r="P22" i="24"/>
  <c r="S20" i="21"/>
  <c r="I14" i="15"/>
  <c r="S24" i="21"/>
  <c r="O22" i="18"/>
  <c r="P12" i="24"/>
  <c r="M25" i="12"/>
  <c r="S21" i="21"/>
  <c r="S14" i="21"/>
  <c r="K21" i="17"/>
  <c r="K12" i="17"/>
  <c r="M12" i="12"/>
  <c r="P8" i="24"/>
  <c r="P29" i="24"/>
  <c r="D19" i="20"/>
  <c r="E19" i="20"/>
  <c r="S34" i="21"/>
  <c r="I9" i="15"/>
  <c r="K19" i="17"/>
  <c r="M16" i="12"/>
  <c r="O16" i="18"/>
  <c r="I23" i="15"/>
  <c r="S18" i="21"/>
  <c r="S17" i="21"/>
  <c r="I7" i="15"/>
  <c r="S37" i="21"/>
  <c r="K13" i="17"/>
  <c r="P16" i="24"/>
  <c r="K16" i="17"/>
  <c r="P26" i="24"/>
  <c r="K27" i="17"/>
  <c r="O21" i="18"/>
  <c r="K22" i="17"/>
  <c r="O13" i="18"/>
  <c r="P19" i="24"/>
  <c r="K8" i="17"/>
  <c r="K29" i="17"/>
  <c r="I22" i="15"/>
  <c r="O19" i="18"/>
  <c r="I17" i="15"/>
  <c r="S33" i="21"/>
  <c r="I26" i="15"/>
  <c r="M24" i="12"/>
  <c r="S38" i="21"/>
  <c r="S45" i="21"/>
  <c r="K26" i="17"/>
  <c r="S25" i="21"/>
  <c r="O17" i="18"/>
  <c r="O15" i="18"/>
  <c r="O11" i="18"/>
  <c r="M19" i="12"/>
  <c r="M8" i="12"/>
  <c r="M29" i="12"/>
  <c r="S22" i="21"/>
  <c r="D18" i="20"/>
  <c r="E18" i="20"/>
  <c r="S15" i="21"/>
  <c r="S30" i="21"/>
  <c r="M9" i="12"/>
  <c r="I25" i="15"/>
  <c r="P20" i="24"/>
  <c r="S44" i="21"/>
  <c r="K24" i="17"/>
  <c r="S31" i="21"/>
  <c r="M10" i="12"/>
  <c r="P24" i="24"/>
  <c r="S11" i="21"/>
  <c r="D23" i="20"/>
  <c r="E23" i="20"/>
  <c r="I21" i="15"/>
  <c r="K9" i="17"/>
  <c r="P10" i="24"/>
  <c r="S16" i="21"/>
  <c r="S9" i="21"/>
  <c r="S12" i="21"/>
  <c r="K23" i="17"/>
  <c r="S19" i="21"/>
  <c r="S46" i="21"/>
  <c r="M17" i="12"/>
  <c r="P17" i="24"/>
  <c r="K20" i="17"/>
  <c r="M20" i="12"/>
  <c r="K15" i="17"/>
  <c r="K18" i="17"/>
  <c r="I24" i="15"/>
  <c r="O9" i="18"/>
  <c r="O28" i="18"/>
  <c r="M18" i="12"/>
  <c r="S39" i="21"/>
  <c r="S36" i="21"/>
  <c r="O25" i="18"/>
  <c r="I15" i="15"/>
  <c r="S13" i="21"/>
  <c r="D20" i="20"/>
  <c r="E20" i="20"/>
  <c r="I8" i="15"/>
  <c r="O24" i="18"/>
  <c r="M21" i="12"/>
  <c r="M29" i="22"/>
  <c r="S42" i="21"/>
  <c r="S23" i="21"/>
  <c r="K17" i="17"/>
  <c r="M13" i="12"/>
  <c r="S47" i="21"/>
  <c r="P15" i="24"/>
  <c r="P11" i="24"/>
  <c r="K11" i="17"/>
  <c r="P9" i="24"/>
  <c r="I10" i="15"/>
  <c r="O10" i="18"/>
  <c r="S10" i="21"/>
  <c r="P13" i="24"/>
  <c r="P18" i="24"/>
  <c r="M23" i="12"/>
  <c r="I20" i="15"/>
  <c r="M11" i="12"/>
  <c r="S26" i="21"/>
  <c r="K10" i="17"/>
  <c r="S27" i="21"/>
  <c r="O18" i="18"/>
  <c r="D21" i="20"/>
  <c r="E21" i="20"/>
  <c r="K14" i="17"/>
  <c r="M22" i="12"/>
  <c r="M26" i="12"/>
  <c r="I19" i="15"/>
  <c r="P27" i="24"/>
  <c r="M27" i="12"/>
  <c r="O23" i="18"/>
  <c r="I18" i="15"/>
  <c r="S35" i="21"/>
  <c r="S29" i="21"/>
  <c r="M14" i="12"/>
  <c r="P23" i="24"/>
  <c r="S28" i="21"/>
  <c r="S40" i="21"/>
  <c r="I11" i="15"/>
  <c r="P25" i="24"/>
  <c r="D28" i="20"/>
  <c r="E28" i="20"/>
  <c r="D29" i="20"/>
  <c r="E29" i="20"/>
  <c r="G45" i="8"/>
  <c r="E15" i="20"/>
  <c r="E45" i="8"/>
  <c r="C15" i="20"/>
  <c r="F46" i="4"/>
  <c r="D40" i="5"/>
  <c r="E40" i="5"/>
  <c r="C31" i="3"/>
  <c r="N16" i="1"/>
  <c r="L11" i="23"/>
  <c r="J71" i="13"/>
  <c r="Q71" i="13"/>
  <c r="J75" i="13"/>
  <c r="C34" i="20"/>
  <c r="J29" i="22"/>
  <c r="J30" i="22" s="1"/>
  <c r="E29" i="22"/>
  <c r="E30" i="22" s="1"/>
  <c r="H29" i="22"/>
  <c r="H30" i="22" s="1"/>
  <c r="K29" i="22"/>
  <c r="K30" i="22"/>
  <c r="D38" i="5"/>
  <c r="C9" i="3"/>
  <c r="I28" i="15"/>
  <c r="I27" i="15"/>
  <c r="G116" i="3"/>
  <c r="H9" i="3"/>
  <c r="H37" i="3"/>
  <c r="H26" i="3"/>
  <c r="H55" i="3"/>
  <c r="H22" i="3"/>
  <c r="H68" i="3"/>
  <c r="H90" i="3"/>
  <c r="H62" i="3"/>
  <c r="H40" i="3"/>
  <c r="H81" i="3"/>
  <c r="H25" i="3"/>
  <c r="H83" i="3"/>
  <c r="H72" i="3"/>
  <c r="H59" i="3"/>
  <c r="H75" i="3"/>
  <c r="H93" i="3"/>
  <c r="H27" i="3"/>
  <c r="H34" i="3"/>
  <c r="H78" i="3"/>
  <c r="H89" i="3"/>
  <c r="H16" i="3"/>
  <c r="H20" i="3"/>
  <c r="H54" i="3"/>
  <c r="H52" i="3"/>
  <c r="H17" i="3"/>
  <c r="H85" i="3"/>
  <c r="H58" i="3"/>
  <c r="H96" i="3"/>
  <c r="H73" i="3"/>
  <c r="H84" i="3"/>
  <c r="H35" i="3"/>
  <c r="H48" i="3"/>
  <c r="H12" i="3"/>
  <c r="H21" i="3"/>
  <c r="H53" i="3"/>
  <c r="H64" i="3"/>
  <c r="H31" i="3"/>
  <c r="H50" i="3"/>
  <c r="H92" i="3"/>
  <c r="H65" i="3"/>
  <c r="H97" i="3"/>
  <c r="H60" i="3"/>
  <c r="H63" i="3"/>
  <c r="H67" i="3"/>
  <c r="H76" i="3"/>
  <c r="H71" i="3"/>
  <c r="H15" i="3"/>
  <c r="H116" i="3"/>
  <c r="H66" i="3"/>
  <c r="H36" i="3"/>
  <c r="H46" i="3"/>
  <c r="H18" i="3"/>
  <c r="H86" i="3"/>
  <c r="H30" i="3"/>
  <c r="H79" i="3"/>
  <c r="H13" i="3"/>
  <c r="H19" i="3"/>
  <c r="H57" i="3"/>
  <c r="H23" i="3"/>
  <c r="H88" i="3"/>
  <c r="H11" i="3"/>
  <c r="H49" i="3"/>
  <c r="H51" i="3"/>
  <c r="H61" i="3"/>
  <c r="H87" i="3"/>
  <c r="H28" i="3"/>
  <c r="H74" i="3"/>
  <c r="H80" i="3"/>
  <c r="H32" i="3"/>
  <c r="H56" i="3"/>
  <c r="H29" i="3"/>
  <c r="H24" i="3"/>
  <c r="H47" i="3"/>
  <c r="H45" i="3"/>
  <c r="H77" i="3"/>
  <c r="H41" i="3"/>
  <c r="H10" i="3"/>
  <c r="H39" i="3"/>
  <c r="H14" i="3"/>
  <c r="H95" i="3"/>
  <c r="H38" i="3"/>
  <c r="H44" i="3"/>
  <c r="H91" i="3"/>
  <c r="H70" i="3"/>
  <c r="H69" i="3"/>
  <c r="H33" i="3"/>
  <c r="H43" i="3"/>
  <c r="H94" i="3"/>
  <c r="H82" i="3"/>
  <c r="H42" i="3"/>
  <c r="C116" i="3"/>
  <c r="D9" i="3"/>
  <c r="E38" i="5"/>
  <c r="E26" i="5"/>
  <c r="D26" i="5"/>
  <c r="D41" i="3"/>
  <c r="D26" i="3"/>
  <c r="D89" i="3"/>
  <c r="D64" i="3"/>
  <c r="D71" i="3"/>
  <c r="D67" i="3"/>
  <c r="D52" i="3"/>
  <c r="D45" i="3"/>
  <c r="D101" i="3"/>
  <c r="D116" i="3"/>
  <c r="D20" i="3"/>
  <c r="D84" i="3"/>
  <c r="D103" i="3"/>
  <c r="D42" i="3"/>
  <c r="D19" i="3"/>
  <c r="D81" i="3"/>
  <c r="D38" i="3"/>
  <c r="G117" i="3"/>
  <c r="D63" i="3"/>
  <c r="D23" i="3"/>
  <c r="D55" i="3"/>
  <c r="D25" i="3"/>
  <c r="D111" i="3"/>
  <c r="D47" i="3"/>
  <c r="D59" i="3"/>
  <c r="D88" i="3"/>
  <c r="D106" i="3"/>
  <c r="D102" i="3"/>
  <c r="D46" i="3"/>
  <c r="D14" i="3"/>
  <c r="D75" i="3"/>
  <c r="D73" i="3"/>
  <c r="D27" i="3"/>
  <c r="D96" i="3"/>
  <c r="D61" i="3"/>
  <c r="D109" i="3"/>
  <c r="D99" i="3"/>
  <c r="D31" i="20"/>
  <c r="E31" i="20"/>
  <c r="D77" i="3"/>
  <c r="D11" i="3"/>
  <c r="D91" i="3"/>
  <c r="D80" i="3"/>
  <c r="D108" i="3"/>
  <c r="D112" i="3"/>
  <c r="D21" i="3"/>
  <c r="D24" i="3"/>
  <c r="D58" i="3"/>
  <c r="D44" i="3"/>
  <c r="D110" i="3"/>
  <c r="D68" i="3"/>
  <c r="D10" i="3"/>
  <c r="D100" i="3"/>
  <c r="D107" i="3"/>
  <c r="D79" i="3"/>
  <c r="D83" i="3"/>
  <c r="D54" i="3"/>
  <c r="D78" i="3"/>
  <c r="D90" i="3"/>
  <c r="D37" i="3"/>
  <c r="D12" i="3"/>
  <c r="D97" i="3"/>
  <c r="D69" i="3"/>
  <c r="D39" i="3"/>
  <c r="D76" i="3"/>
  <c r="D114" i="3"/>
  <c r="D13" i="3"/>
  <c r="D98" i="3"/>
  <c r="D62" i="3"/>
  <c r="D15" i="3"/>
  <c r="D56" i="3"/>
  <c r="D72" i="3"/>
  <c r="D22" i="3"/>
  <c r="D34" i="3"/>
  <c r="D105" i="3"/>
  <c r="D115" i="3"/>
  <c r="D43" i="3"/>
  <c r="D28" i="3"/>
  <c r="D35" i="3"/>
  <c r="D30" i="3"/>
  <c r="D104" i="3"/>
  <c r="D92" i="3"/>
  <c r="D113" i="3"/>
  <c r="D29" i="3"/>
  <c r="D70" i="3"/>
  <c r="D95" i="3"/>
  <c r="K27" i="23"/>
  <c r="I27" i="23"/>
  <c r="D51" i="3"/>
  <c r="D17" i="3"/>
  <c r="D85" i="3"/>
  <c r="D60" i="3"/>
  <c r="D18" i="3"/>
  <c r="D74" i="3"/>
  <c r="D87" i="3"/>
  <c r="D94" i="3"/>
  <c r="E27" i="23"/>
  <c r="H27" i="23"/>
  <c r="D40" i="3"/>
  <c r="C27" i="23"/>
  <c r="G27" i="23"/>
  <c r="D82" i="3"/>
  <c r="D27" i="23"/>
  <c r="D16" i="3"/>
  <c r="D36" i="3"/>
  <c r="F27" i="23"/>
  <c r="D50" i="3"/>
  <c r="D53" i="3"/>
  <c r="D57" i="3"/>
  <c r="J27" i="23"/>
  <c r="D86" i="3"/>
  <c r="D66" i="3"/>
  <c r="E55" i="5"/>
  <c r="D49" i="3"/>
  <c r="D33" i="3"/>
  <c r="D93" i="3"/>
  <c r="D65" i="3"/>
  <c r="D48" i="3"/>
  <c r="D32" i="3"/>
  <c r="D31" i="3"/>
  <c r="C33" i="20"/>
  <c r="D11" i="20"/>
  <c r="E56" i="5"/>
  <c r="E11" i="20"/>
  <c r="C29" i="22" l="1"/>
  <c r="C30" i="22" s="1"/>
  <c r="M25" i="22"/>
  <c r="G29" i="22"/>
  <c r="G30" i="22" s="1"/>
  <c r="M24" i="22"/>
  <c r="L20" i="22"/>
  <c r="L12" i="22"/>
  <c r="L21" i="22"/>
  <c r="L14" i="22"/>
  <c r="L17" i="22"/>
  <c r="L22" i="22"/>
  <c r="L27" i="22"/>
  <c r="L10" i="22"/>
  <c r="L25" i="22"/>
  <c r="L13" i="22"/>
  <c r="L15" i="22"/>
  <c r="L18" i="22"/>
  <c r="L11" i="22"/>
  <c r="L19" i="22"/>
  <c r="L24" i="22"/>
  <c r="L29" i="22"/>
  <c r="A5" i="14"/>
  <c r="A5" i="16"/>
  <c r="A6" i="3"/>
  <c r="A5" i="4"/>
  <c r="M23" i="22" l="1"/>
  <c r="M28" i="22" s="1"/>
  <c r="L28" i="22" s="1"/>
  <c r="L23" i="22"/>
  <c r="L9" i="22"/>
  <c r="L16" i="22"/>
  <c r="M26" i="22" l="1"/>
  <c r="M30" i="22" s="1"/>
  <c r="D26" i="20" s="1"/>
  <c r="E26" i="20" s="1"/>
  <c r="L26" i="22" l="1"/>
  <c r="L30" i="22" s="1"/>
  <c r="E46" i="5"/>
  <c r="E24" i="5" s="1"/>
  <c r="E52" i="5" s="1"/>
  <c r="E53" i="5" s="1"/>
  <c r="E10" i="20" s="1"/>
  <c r="D10" i="20" l="1"/>
  <c r="E49" i="5"/>
  <c r="D9" i="20" s="1"/>
  <c r="E50" i="5" l="1"/>
  <c r="E9"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 Tungalag</author>
  </authors>
  <commentList>
    <comment ref="C14" authorId="0" shapeId="0" xr:uid="{00000000-0006-0000-0100-000001000000}">
      <text>
        <r>
          <rPr>
            <sz val="9"/>
            <color indexed="81"/>
            <rFont val="Tahoma"/>
            <family val="2"/>
          </rPr>
          <t>Зөвхөн итгэлцлийн үйлчилгээний тусгай зөвшөөрөлтэй, итгэлцлээр эх үүсвэр татан төвлөрүүлсэн ББСБ-ууд харилцагчдийн тоог оруулна.</t>
        </r>
      </text>
    </comment>
    <comment ref="C24" authorId="0" shapeId="0" xr:uid="{00000000-0006-0000-0100-000002000000}">
      <text>
        <r>
          <rPr>
            <sz val="9"/>
            <color indexed="81"/>
            <rFont val="Tahoma"/>
            <family val="2"/>
          </rPr>
          <t>Хуулийн этгээдийн тоог хасаж оруулна уу.</t>
        </r>
      </text>
    </comment>
    <comment ref="C29" authorId="0" shapeId="0" xr:uid="{00000000-0006-0000-0100-000003000000}">
      <text>
        <r>
          <rPr>
            <sz val="9"/>
            <color indexed="81"/>
            <rFont val="Tahoma"/>
            <family val="2"/>
          </rPr>
          <t>Хуулийн этгээдийн тоог хасаж оруулна уу.</t>
        </r>
      </text>
    </comment>
    <comment ref="C52" authorId="0" shapeId="0" xr:uid="{00000000-0006-0000-0100-000004000000}">
      <text>
        <r>
          <rPr>
            <sz val="9"/>
            <color indexed="81"/>
            <rFont val="Tahoma"/>
            <family val="2"/>
          </rPr>
          <t>Зөвхөн сүүлийн 3 жилийн татварын өмнөх эерэг ашгийн арифметик дунджийг оруулна. Алдагдалтай ажилласан тохиолдолд утга нөхөх шаардлагагүй. Жишээ нь: Сүүлийн 2 жил ашигтай 1 жил алдагдалтай бол сүүлийн 2 жилийн нийлбэрийг 2-т хувааж, гарсан дүнг оруулна.</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J8" authorId="0" shapeId="0" xr:uid="{00000000-0006-0000-1800-000001000000}">
      <text>
        <r>
          <rPr>
            <sz val="9"/>
            <color indexed="81"/>
            <rFont val="Tahoma"/>
            <family val="2"/>
          </rPr>
          <t>Огноог СС/ӨӨ/ОООО гэсэн дарааллаар оруулна</t>
        </r>
      </text>
    </comment>
    <comment ref="K8" authorId="0" shapeId="0" xr:uid="{00000000-0006-0000-1800-000002000000}">
      <text>
        <r>
          <rPr>
            <sz val="9"/>
            <color indexed="81"/>
            <rFont val="Tahoma"/>
            <family val="2"/>
          </rPr>
          <t>Огноог СС/ӨӨ/ОООО гэсэн дарааллаар оруулна</t>
        </r>
      </text>
    </comment>
    <comment ref="L8" authorId="0" shapeId="0" xr:uid="{00000000-0006-0000-1800-000003000000}">
      <text>
        <r>
          <rPr>
            <sz val="9"/>
            <color indexed="81"/>
            <rFont val="Tahoma"/>
            <family val="2"/>
          </rPr>
          <t>Огноог СС/ӨӨ/ОООО гэсэн дарааллаар оруулна</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Tungalag</author>
  </authors>
  <commentList>
    <comment ref="A27" authorId="0" shapeId="0" xr:uid="{00000000-0006-0000-0500-000001000000}">
      <text>
        <r>
          <rPr>
            <sz val="9"/>
            <color indexed="81"/>
            <rFont val="Tahoma"/>
            <family val="2"/>
          </rPr>
          <t>Валют арилжааны гүйлгээ хийсэн нийт харилцагчдийн тоог оны эхнээс өссөн дүнгээр оруулна уу.</t>
        </r>
      </text>
    </comment>
    <comment ref="A28" authorId="0" shapeId="0" xr:uid="{00000000-0006-0000-0500-000002000000}">
      <text>
        <r>
          <rPr>
            <sz val="9"/>
            <color indexed="81"/>
            <rFont val="Tahoma"/>
            <family val="2"/>
          </rPr>
          <t>Итгэлцлийн үйлчилгээгээр татан төвлөрүүлсэн дүнгийн нийт итгэмжлэгчдийг оруулна уу.</t>
        </r>
      </text>
    </comment>
    <comment ref="A29" authorId="0" shapeId="0" xr:uid="{00000000-0006-0000-0500-000003000000}">
      <text>
        <r>
          <rPr>
            <sz val="9"/>
            <color indexed="81"/>
            <rFont val="Tahoma"/>
            <family val="2"/>
          </rPr>
          <t>Итгэмжлэлийн гэрээний нийт дүнг ойлгоно.</t>
        </r>
      </text>
    </comment>
    <comment ref="A32" authorId="0" shapeId="0" xr:uid="{00000000-0006-0000-0500-000004000000}">
      <text>
        <r>
          <rPr>
            <sz val="9"/>
            <color indexed="81"/>
            <rFont val="Tahoma"/>
            <family val="2"/>
          </rPr>
          <t xml:space="preserve">Аппликэйшний нийт харилцагчдийн тоог ойлгоно. </t>
        </r>
      </text>
    </comment>
    <comment ref="A33" authorId="0" shapeId="0" xr:uid="{00000000-0006-0000-0500-000005000000}">
      <text>
        <r>
          <rPr>
            <sz val="9"/>
            <color indexed="81"/>
            <rFont val="Tahoma"/>
            <family val="2"/>
          </rPr>
          <t>Зөвхөн гэрээ байгуулсан аппликэйшний харилцагчдийн тоог оруулна уу.</t>
        </r>
      </text>
    </comment>
    <comment ref="A34" authorId="0" shapeId="0" xr:uid="{00000000-0006-0000-0500-000006000000}">
      <text>
        <r>
          <rPr>
            <sz val="9"/>
            <color indexed="81"/>
            <rFont val="Tahoma"/>
            <family val="2"/>
          </rPr>
          <t>Аппликэйшн болон browser ашиглан олгосон буюу онлайнаар олгосон зээлийн дүн, зээлдэгчдийн тоог ойлгоно.</t>
        </r>
      </text>
    </comment>
    <comment ref="A35" authorId="0" shapeId="0" xr:uid="{00000000-0006-0000-0500-000007000000}">
      <text>
        <r>
          <rPr>
            <sz val="9"/>
            <color indexed="81"/>
            <rFont val="Tahoma"/>
            <family val="2"/>
          </rPr>
          <t>Цахим хэтэвчинд үлдэгдэлтэй нийт харилцагчдийн тоог ойлгоно.</t>
        </r>
      </text>
    </comment>
    <comment ref="A36" authorId="0" shapeId="0" xr:uid="{00000000-0006-0000-0500-000008000000}">
      <text>
        <r>
          <rPr>
            <sz val="9"/>
            <color indexed="81"/>
            <rFont val="Tahoma"/>
            <family val="2"/>
          </rPr>
          <t>Бусад үйлчилгээний харилцагчдийн тоог оруулна уу.</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 Tungalag</author>
  </authors>
  <commentList>
    <comment ref="D13" authorId="0" shapeId="0" xr:uid="{00000000-0006-0000-0800-000001000000}">
      <text>
        <r>
          <rPr>
            <sz val="9"/>
            <color indexed="81"/>
            <rFont val="Tahoma"/>
            <family val="2"/>
          </rPr>
          <t>Forex тайланд валютаарх дүнг оруулна уу.</t>
        </r>
      </text>
    </comment>
    <comment ref="H13" authorId="0" shapeId="0" xr:uid="{00000000-0006-0000-0800-000002000000}">
      <text>
        <r>
          <rPr>
            <sz val="9"/>
            <color indexed="81"/>
            <rFont val="Tahoma"/>
            <family val="2"/>
          </rPr>
          <t>Forex тайланд валютаарх дүнг оруулна уу.</t>
        </r>
      </text>
    </comment>
    <comment ref="D15" authorId="0" shapeId="0" xr:uid="{00000000-0006-0000-0800-000003000000}">
      <text>
        <r>
          <rPr>
            <sz val="9"/>
            <color indexed="81"/>
            <rFont val="Tahoma"/>
            <family val="2"/>
          </rPr>
          <t>Forex тайланд валютаарх дүнг оруулна уу.</t>
        </r>
      </text>
    </comment>
    <comment ref="D17" authorId="0" shapeId="0" xr:uid="{00000000-0006-0000-0800-000004000000}">
      <text>
        <r>
          <rPr>
            <sz val="9"/>
            <color indexed="81"/>
            <rFont val="Tahoma"/>
            <family val="2"/>
          </rPr>
          <t>Forex тайланд валютаарх дүнг оруулна уу.</t>
        </r>
      </text>
    </comment>
    <comment ref="D20" authorId="0" shapeId="0" xr:uid="{00000000-0006-0000-0800-000005000000}">
      <text>
        <r>
          <rPr>
            <sz val="9"/>
            <color indexed="81"/>
            <rFont val="Tahoma"/>
            <family val="2"/>
          </rPr>
          <t>Forex тайланд валютаарх дүнг оруулна уу.</t>
        </r>
      </text>
    </comment>
    <comment ref="H21" authorId="0" shapeId="0" xr:uid="{00000000-0006-0000-0800-000006000000}">
      <text>
        <r>
          <rPr>
            <sz val="9"/>
            <color indexed="81"/>
            <rFont val="Tahoma"/>
            <family val="2"/>
          </rPr>
          <t>Forex тайланд валютаарх дүнг оруулна уу.</t>
        </r>
      </text>
    </comment>
    <comment ref="D22" authorId="0" shapeId="0" xr:uid="{00000000-0006-0000-0800-000007000000}">
      <text>
        <r>
          <rPr>
            <sz val="9"/>
            <color indexed="81"/>
            <rFont val="Tahoma"/>
            <family val="2"/>
          </rPr>
          <t>Forex тайланд валютаарх дүнг оруулна уу.</t>
        </r>
      </text>
    </comment>
    <comment ref="H22" authorId="0" shapeId="0" xr:uid="{00000000-0006-0000-0800-000008000000}">
      <text>
        <r>
          <rPr>
            <sz val="9"/>
            <color indexed="81"/>
            <rFont val="Tahoma"/>
            <family val="2"/>
          </rPr>
          <t>Forex тайланд валютаарх дүнг оруулна уу.</t>
        </r>
      </text>
    </comment>
    <comment ref="D25" authorId="0" shapeId="0" xr:uid="{00000000-0006-0000-0800-000009000000}">
      <text>
        <r>
          <rPr>
            <sz val="9"/>
            <color indexed="81"/>
            <rFont val="Tahoma"/>
            <family val="2"/>
          </rPr>
          <t>Forex тайланд валютаарх дүнг оруулна уу.</t>
        </r>
      </text>
    </comment>
    <comment ref="D27" authorId="0" shapeId="0" xr:uid="{00000000-0006-0000-0800-00000A000000}">
      <text>
        <r>
          <rPr>
            <sz val="9"/>
            <color indexed="81"/>
            <rFont val="Tahoma"/>
            <family val="2"/>
          </rPr>
          <t>Forex тайланд валютаарх дүнг оруулна уу.</t>
        </r>
      </text>
    </comment>
    <comment ref="H28" authorId="0" shapeId="0" xr:uid="{00000000-0006-0000-0800-00000B000000}">
      <text>
        <r>
          <rPr>
            <sz val="9"/>
            <color indexed="81"/>
            <rFont val="Tahoma"/>
            <family val="2"/>
          </rPr>
          <t>Forex тайланд валютаарх дүнг оруулна уу.</t>
        </r>
      </text>
    </comment>
    <comment ref="D29" authorId="0" shapeId="0" xr:uid="{00000000-0006-0000-0800-00000C000000}">
      <text>
        <r>
          <rPr>
            <sz val="9"/>
            <color indexed="81"/>
            <rFont val="Tahoma"/>
            <family val="2"/>
          </rPr>
          <t>Forex тайланд валютаарх дүнг оруулна уу.</t>
        </r>
      </text>
    </comment>
    <comment ref="H29" authorId="0" shapeId="0" xr:uid="{00000000-0006-0000-0800-00000D000000}">
      <text>
        <r>
          <rPr>
            <sz val="9"/>
            <color indexed="81"/>
            <rFont val="Tahoma"/>
            <family val="2"/>
          </rPr>
          <t>Forex тайланд валютаарх дүнг оруулна уу.</t>
        </r>
      </text>
    </comment>
    <comment ref="D30" authorId="0" shapeId="0" xr:uid="{00000000-0006-0000-0800-00000E000000}">
      <text>
        <r>
          <rPr>
            <sz val="9"/>
            <color indexed="81"/>
            <rFont val="Tahoma"/>
            <family val="2"/>
          </rPr>
          <t>Forex тайланд валютаарх дүнг оруулна уу.</t>
        </r>
      </text>
    </comment>
    <comment ref="D32" authorId="0" shapeId="0" xr:uid="{00000000-0006-0000-0800-00000F000000}">
      <text>
        <r>
          <rPr>
            <sz val="9"/>
            <color indexed="81"/>
            <rFont val="Tahoma"/>
            <family val="2"/>
          </rPr>
          <t>Forex тайланд валютаарх дүнг оруулна уу.</t>
        </r>
      </text>
    </comment>
    <comment ref="D33" authorId="0" shapeId="0" xr:uid="{00000000-0006-0000-0800-000010000000}">
      <text>
        <r>
          <rPr>
            <sz val="9"/>
            <color indexed="81"/>
            <rFont val="Tahoma"/>
            <family val="2"/>
          </rPr>
          <t>Forex тайланд валютаарх дүнг оруулна уу.</t>
        </r>
      </text>
    </comment>
    <comment ref="H35" authorId="0" shapeId="0" xr:uid="{00000000-0006-0000-0800-000011000000}">
      <text>
        <r>
          <rPr>
            <sz val="9"/>
            <color indexed="81"/>
            <rFont val="Tahoma"/>
            <family val="2"/>
          </rPr>
          <t>Forex тайланд валютаарх дүнг оруулна уу.</t>
        </r>
      </text>
    </comment>
    <comment ref="H36" authorId="0" shapeId="0" xr:uid="{00000000-0006-0000-0800-000012000000}">
      <text>
        <r>
          <rPr>
            <sz val="9"/>
            <color indexed="81"/>
            <rFont val="Tahoma"/>
            <family val="2"/>
          </rPr>
          <t>Forex тайланд валютаарх дүнг оруулна уу.</t>
        </r>
      </text>
    </comment>
    <comment ref="H42" authorId="0" shapeId="0" xr:uid="{00000000-0006-0000-0800-000013000000}">
      <text>
        <r>
          <rPr>
            <sz val="9"/>
            <color indexed="81"/>
            <rFont val="Tahoma"/>
            <family val="2"/>
          </rPr>
          <t>Forex тайланд валютаарх дүнг оруулна уу.</t>
        </r>
      </text>
    </comment>
    <comment ref="H43" authorId="0" shapeId="0" xr:uid="{00000000-0006-0000-0800-000014000000}">
      <text>
        <r>
          <rPr>
            <sz val="9"/>
            <color indexed="81"/>
            <rFont val="Tahoma"/>
            <family val="2"/>
          </rPr>
          <t>Forex тайланд валютаарх дүнг оруулна уу.</t>
        </r>
      </text>
    </comment>
    <comment ref="H47" authorId="0" shapeId="0" xr:uid="{00000000-0006-0000-0800-000015000000}">
      <text>
        <r>
          <rPr>
            <sz val="9"/>
            <color indexed="81"/>
            <rFont val="Tahoma"/>
            <family val="2"/>
          </rPr>
          <t>Forex тайланд валютаарх дүнг оруулна уу.</t>
        </r>
      </text>
    </comment>
    <comment ref="H48" authorId="0" shapeId="0" xr:uid="{00000000-0006-0000-0800-000016000000}">
      <text>
        <r>
          <rPr>
            <sz val="9"/>
            <color indexed="81"/>
            <rFont val="Tahoma"/>
            <family val="2"/>
          </rPr>
          <t>Forex тайланд валютаарх дүнг оруулна уу.</t>
        </r>
      </text>
    </comment>
    <comment ref="H50" authorId="0" shapeId="0" xr:uid="{00000000-0006-0000-0800-000017000000}">
      <text>
        <r>
          <rPr>
            <sz val="9"/>
            <color indexed="81"/>
            <rFont val="Tahoma"/>
            <family val="2"/>
          </rPr>
          <t>Forex тайланд валютаарх дүнг оруулна уу.</t>
        </r>
      </text>
    </comment>
    <comment ref="H51" authorId="0" shapeId="0" xr:uid="{00000000-0006-0000-0800-000018000000}">
      <text>
        <r>
          <rPr>
            <sz val="9"/>
            <color indexed="81"/>
            <rFont val="Tahoma"/>
            <family val="2"/>
          </rPr>
          <t>Forex тайланд валютаарх дүнг оруулна уу.</t>
        </r>
      </text>
    </comment>
    <comment ref="H54" authorId="0" shapeId="0" xr:uid="{00000000-0006-0000-0800-000019000000}">
      <text>
        <r>
          <rPr>
            <sz val="9"/>
            <color indexed="81"/>
            <rFont val="Tahoma"/>
            <family val="2"/>
          </rPr>
          <t>Forex тайланд валютаарх дүнг оруулна уу.</t>
        </r>
      </text>
    </comment>
    <comment ref="H55" authorId="0" shapeId="0" xr:uid="{00000000-0006-0000-0800-00001A000000}">
      <text>
        <r>
          <rPr>
            <sz val="9"/>
            <color indexed="81"/>
            <rFont val="Tahoma"/>
            <family val="2"/>
          </rPr>
          <t>Forex тайланд валютаарх дүнг оруулна уу.</t>
        </r>
      </text>
    </comment>
    <comment ref="H57" authorId="0" shapeId="0" xr:uid="{00000000-0006-0000-0800-00001B000000}">
      <text>
        <r>
          <rPr>
            <sz val="9"/>
            <color indexed="81"/>
            <rFont val="Tahoma"/>
            <family val="2"/>
          </rPr>
          <t>Forex тайланд валютаарх дүнг оруулна уу.</t>
        </r>
      </text>
    </comment>
    <comment ref="H58" authorId="0" shapeId="0" xr:uid="{00000000-0006-0000-0800-00001C000000}">
      <text>
        <r>
          <rPr>
            <sz val="9"/>
            <color indexed="81"/>
            <rFont val="Tahoma"/>
            <family val="2"/>
          </rPr>
          <t>Forex тайланд валютаарх дүнг оруулна уу.</t>
        </r>
      </text>
    </comment>
    <comment ref="D62" authorId="0" shapeId="0" xr:uid="{00000000-0006-0000-0800-00001D000000}">
      <text>
        <r>
          <rPr>
            <sz val="9"/>
            <color indexed="81"/>
            <rFont val="Tahoma"/>
            <family val="2"/>
          </rPr>
          <t>Forex тайланд валютаарх дүнг оруулна уу.</t>
        </r>
      </text>
    </comment>
    <comment ref="H62" authorId="0" shapeId="0" xr:uid="{00000000-0006-0000-0800-00001E000000}">
      <text>
        <r>
          <rPr>
            <sz val="9"/>
            <color indexed="81"/>
            <rFont val="Tahoma"/>
            <family val="2"/>
          </rPr>
          <t>Forex тайланд валютаарх дүнг оруулна уу.</t>
        </r>
      </text>
    </comment>
    <comment ref="D63" authorId="0" shapeId="0" xr:uid="{00000000-0006-0000-0800-00001F000000}">
      <text>
        <r>
          <rPr>
            <sz val="9"/>
            <color indexed="81"/>
            <rFont val="Tahoma"/>
            <family val="2"/>
          </rPr>
          <t>Forex тайланд валютаарх дүнг оруулна уу.</t>
        </r>
      </text>
    </comment>
    <comment ref="D64" authorId="0" shapeId="0" xr:uid="{00000000-0006-0000-0800-000020000000}">
      <text>
        <r>
          <rPr>
            <sz val="9"/>
            <color indexed="81"/>
            <rFont val="Tahoma"/>
            <family val="2"/>
          </rPr>
          <t>Forex тайланд валютаарх дүнг оруулна уу.</t>
        </r>
      </text>
    </comment>
    <comment ref="D65" authorId="0" shapeId="0" xr:uid="{00000000-0006-0000-0800-000021000000}">
      <text>
        <r>
          <rPr>
            <sz val="9"/>
            <color indexed="81"/>
            <rFont val="Tahoma"/>
            <family val="2"/>
          </rPr>
          <t>Forex тайланд валютаарх дүнг оруулна уу.</t>
        </r>
      </text>
    </comment>
    <comment ref="H65" authorId="0" shapeId="0" xr:uid="{00000000-0006-0000-0800-000022000000}">
      <text>
        <r>
          <rPr>
            <sz val="9"/>
            <color indexed="81"/>
            <rFont val="Tahoma"/>
            <family val="2"/>
          </rPr>
          <t>Forex тайланд валютаарх дүнг оруулна уу.</t>
        </r>
      </text>
    </comment>
    <comment ref="D66" authorId="0" shapeId="0" xr:uid="{00000000-0006-0000-0800-000023000000}">
      <text>
        <r>
          <rPr>
            <sz val="9"/>
            <color indexed="81"/>
            <rFont val="Tahoma"/>
            <family val="2"/>
          </rPr>
          <t>Forex тайланд валютаарх дүнг оруулна уу.</t>
        </r>
      </text>
    </comment>
    <comment ref="D67" authorId="0" shapeId="0" xr:uid="{00000000-0006-0000-0800-000024000000}">
      <text>
        <r>
          <rPr>
            <sz val="9"/>
            <color indexed="81"/>
            <rFont val="Tahoma"/>
            <family val="2"/>
          </rPr>
          <t>Forex тайланд валютаарх дүнг оруулна уу.</t>
        </r>
      </text>
    </comment>
    <comment ref="D68" authorId="0" shapeId="0" xr:uid="{00000000-0006-0000-0800-000025000000}">
      <text>
        <r>
          <rPr>
            <sz val="9"/>
            <color indexed="81"/>
            <rFont val="Tahoma"/>
            <family val="2"/>
          </rPr>
          <t>Forex тайланд валютаарх дүнг оруулна уу.</t>
        </r>
      </text>
    </comment>
    <comment ref="H68" authorId="0" shapeId="0" xr:uid="{00000000-0006-0000-0800-000026000000}">
      <text>
        <r>
          <rPr>
            <sz val="9"/>
            <color indexed="81"/>
            <rFont val="Tahoma"/>
            <family val="2"/>
          </rPr>
          <t>Forex тайланд валютаарх дүнг оруулна уу.</t>
        </r>
      </text>
    </comment>
    <comment ref="H71" authorId="0" shapeId="0" xr:uid="{00000000-0006-0000-0800-000027000000}">
      <text>
        <r>
          <rPr>
            <sz val="9"/>
            <color indexed="81"/>
            <rFont val="Tahoma"/>
            <family val="2"/>
          </rPr>
          <t>Forex тайланд валютаарх дүнг оруулна уу.</t>
        </r>
      </text>
    </comment>
    <comment ref="H74" authorId="0" shapeId="0" xr:uid="{00000000-0006-0000-0800-000028000000}">
      <text>
        <r>
          <rPr>
            <sz val="9"/>
            <color indexed="81"/>
            <rFont val="Tahoma"/>
            <family val="2"/>
          </rPr>
          <t>Forex тайланд валютаарх дүнг оруулна уу.</t>
        </r>
      </text>
    </comment>
    <comment ref="H77" authorId="0" shapeId="0" xr:uid="{00000000-0006-0000-0800-000029000000}">
      <text>
        <r>
          <rPr>
            <sz val="9"/>
            <color indexed="81"/>
            <rFont val="Tahoma"/>
            <family val="2"/>
          </rPr>
          <t>Forex тайланд валютаарх дүнг оруулна уу.</t>
        </r>
      </text>
    </comment>
    <comment ref="D78" authorId="0" shapeId="0" xr:uid="{00000000-0006-0000-0800-00002A000000}">
      <text>
        <r>
          <rPr>
            <sz val="9"/>
            <color indexed="81"/>
            <rFont val="Tahoma"/>
            <family val="2"/>
          </rPr>
          <t>Forex тайланд валютаарх дүнг оруулна уу.</t>
        </r>
      </text>
    </comment>
    <comment ref="D79" authorId="0" shapeId="0" xr:uid="{00000000-0006-0000-0800-00002B000000}">
      <text>
        <r>
          <rPr>
            <sz val="9"/>
            <color indexed="81"/>
            <rFont val="Tahoma"/>
            <family val="2"/>
          </rPr>
          <t>Forex тайланд валютаарх дүнг оруулна уу.</t>
        </r>
      </text>
    </comment>
    <comment ref="D80" authorId="0" shapeId="0" xr:uid="{00000000-0006-0000-0800-00002C000000}">
      <text>
        <r>
          <rPr>
            <sz val="9"/>
            <color indexed="81"/>
            <rFont val="Tahoma"/>
            <family val="2"/>
          </rPr>
          <t>Forex тайланд валютаарх дүнг оруулна уу.</t>
        </r>
      </text>
    </comment>
    <comment ref="D81" authorId="0" shapeId="0" xr:uid="{00000000-0006-0000-0800-00002D000000}">
      <text>
        <r>
          <rPr>
            <sz val="9"/>
            <color indexed="81"/>
            <rFont val="Tahoma"/>
            <family val="2"/>
          </rPr>
          <t>Forex тайланд валютаарх дүнг оруулна уу.</t>
        </r>
      </text>
    </comment>
    <comment ref="D82" authorId="0" shapeId="0" xr:uid="{00000000-0006-0000-0800-00002E000000}">
      <text>
        <r>
          <rPr>
            <sz val="9"/>
            <color indexed="81"/>
            <rFont val="Tahoma"/>
            <family val="2"/>
          </rPr>
          <t>Forex тайланд валютаарх дүнг оруулна уу.</t>
        </r>
      </text>
    </comment>
    <comment ref="H82" authorId="0" shapeId="0" xr:uid="{00000000-0006-0000-0800-00002F000000}">
      <text>
        <r>
          <rPr>
            <sz val="9"/>
            <color indexed="81"/>
            <rFont val="Tahoma"/>
            <family val="2"/>
          </rPr>
          <t>Forex тайланд валютаарх дүнг оруулна уу.</t>
        </r>
      </text>
    </comment>
    <comment ref="D83" authorId="0" shapeId="0" xr:uid="{00000000-0006-0000-0800-000030000000}">
      <text>
        <r>
          <rPr>
            <sz val="9"/>
            <color indexed="81"/>
            <rFont val="Tahoma"/>
            <family val="2"/>
          </rPr>
          <t>Forex тайланд валютаарх дүнг оруулна уу.</t>
        </r>
      </text>
    </comment>
    <comment ref="D84" authorId="0" shapeId="0" xr:uid="{00000000-0006-0000-0800-000031000000}">
      <text>
        <r>
          <rPr>
            <sz val="9"/>
            <color indexed="81"/>
            <rFont val="Tahoma"/>
            <family val="2"/>
          </rPr>
          <t>Forex тайланд валютаарх дүнг оруулна уу.</t>
        </r>
      </text>
    </comment>
    <comment ref="H85" authorId="0" shapeId="0" xr:uid="{00000000-0006-0000-0800-000032000000}">
      <text>
        <r>
          <rPr>
            <sz val="9"/>
            <color indexed="81"/>
            <rFont val="Tahoma"/>
            <family val="2"/>
          </rPr>
          <t>Forex тайланд валютаарх дүнг оруулна уу.</t>
        </r>
      </text>
    </comment>
    <comment ref="H88" authorId="0" shapeId="0" xr:uid="{00000000-0006-0000-0800-000033000000}">
      <text>
        <r>
          <rPr>
            <sz val="9"/>
            <color indexed="81"/>
            <rFont val="Tahoma"/>
            <family val="2"/>
          </rPr>
          <t>Forex тайланд валютаарх дүнг оруулна уу.</t>
        </r>
      </text>
    </comment>
    <comment ref="H91" authorId="0" shapeId="0" xr:uid="{00000000-0006-0000-0800-000034000000}">
      <text>
        <r>
          <rPr>
            <sz val="9"/>
            <color indexed="81"/>
            <rFont val="Tahoma"/>
            <family val="2"/>
          </rPr>
          <t>Forex тайланд валютаарх дүнг оруулна уу.</t>
        </r>
      </text>
    </comment>
    <comment ref="D95" authorId="0" shapeId="0" xr:uid="{00000000-0006-0000-0800-000035000000}">
      <text>
        <r>
          <rPr>
            <sz val="9"/>
            <color indexed="81"/>
            <rFont val="Tahoma"/>
            <family val="2"/>
          </rPr>
          <t>Forex тайланд валютаарх дүнг оруулна уу.</t>
        </r>
      </text>
    </comment>
    <comment ref="H95" authorId="0" shapeId="0" xr:uid="{00000000-0006-0000-0800-000036000000}">
      <text>
        <r>
          <rPr>
            <sz val="9"/>
            <color indexed="81"/>
            <rFont val="Tahoma"/>
            <family val="2"/>
          </rPr>
          <t>Forex тайланд валютаарх дүнг оруулна уу.</t>
        </r>
      </text>
    </comment>
    <comment ref="D96" authorId="0" shapeId="0" xr:uid="{00000000-0006-0000-0800-000037000000}">
      <text>
        <r>
          <rPr>
            <sz val="9"/>
            <color indexed="81"/>
            <rFont val="Tahoma"/>
            <family val="2"/>
          </rPr>
          <t>Forex тайланд валютаарх дүнг оруулна уу.</t>
        </r>
      </text>
    </comment>
    <comment ref="D97" authorId="0" shapeId="0" xr:uid="{00000000-0006-0000-0800-000038000000}">
      <text>
        <r>
          <rPr>
            <sz val="9"/>
            <color indexed="81"/>
            <rFont val="Tahoma"/>
            <family val="2"/>
          </rPr>
          <t>Forex тайланд валютаарх дүнг оруулна уу.</t>
        </r>
      </text>
    </comment>
    <comment ref="D98" authorId="0" shapeId="0" xr:uid="{00000000-0006-0000-0800-000039000000}">
      <text>
        <r>
          <rPr>
            <sz val="9"/>
            <color indexed="81"/>
            <rFont val="Tahoma"/>
            <family val="2"/>
          </rPr>
          <t>Forex тайланд валютаарх дүнг оруулна уу.</t>
        </r>
      </text>
    </comment>
    <comment ref="H98" authorId="0" shapeId="0" xr:uid="{00000000-0006-0000-0800-00003A000000}">
      <text>
        <r>
          <rPr>
            <sz val="9"/>
            <color indexed="81"/>
            <rFont val="Tahoma"/>
            <family val="2"/>
          </rPr>
          <t>Forex тайланд валютаарх дүнг оруулна уу.</t>
        </r>
      </text>
    </comment>
    <comment ref="D99" authorId="0" shapeId="0" xr:uid="{00000000-0006-0000-0800-00003B000000}">
      <text>
        <r>
          <rPr>
            <sz val="9"/>
            <color indexed="81"/>
            <rFont val="Tahoma"/>
            <family val="2"/>
          </rPr>
          <t>Forex тайланд валютаарх дүнг оруулна уу.</t>
        </r>
      </text>
    </comment>
    <comment ref="D100" authorId="0" shapeId="0" xr:uid="{00000000-0006-0000-0800-00003C000000}">
      <text>
        <r>
          <rPr>
            <sz val="9"/>
            <color indexed="81"/>
            <rFont val="Tahoma"/>
            <family val="2"/>
          </rPr>
          <t>Forex тайланд валютаарх дүнг оруулна уу.</t>
        </r>
      </text>
    </comment>
    <comment ref="D101" authorId="0" shapeId="0" xr:uid="{00000000-0006-0000-0800-00003D000000}">
      <text>
        <r>
          <rPr>
            <sz val="9"/>
            <color indexed="81"/>
            <rFont val="Tahoma"/>
            <family val="2"/>
          </rPr>
          <t>Forex тайланд валютаарх дүнг оруулна уу.</t>
        </r>
      </text>
    </comment>
    <comment ref="H101" authorId="0" shapeId="0" xr:uid="{00000000-0006-0000-0800-00003E000000}">
      <text>
        <r>
          <rPr>
            <sz val="9"/>
            <color indexed="81"/>
            <rFont val="Tahoma"/>
            <family val="2"/>
          </rPr>
          <t>Forex тайланд валютаарх дүнг оруулна уу.</t>
        </r>
      </text>
    </comment>
    <comment ref="H104" authorId="0" shapeId="0" xr:uid="{00000000-0006-0000-0800-00003F000000}">
      <text>
        <r>
          <rPr>
            <sz val="9"/>
            <color indexed="81"/>
            <rFont val="Tahoma"/>
            <family val="2"/>
          </rPr>
          <t>Forex тайланд валютаарх дүнг оруулна уу.</t>
        </r>
      </text>
    </comment>
    <comment ref="H108" authorId="0" shapeId="0" xr:uid="{00000000-0006-0000-0800-000040000000}">
      <text>
        <r>
          <rPr>
            <sz val="9"/>
            <color indexed="81"/>
            <rFont val="Tahoma"/>
            <family val="2"/>
          </rPr>
          <t>Forex тайланд валютаарх дүнг оруулна уу.</t>
        </r>
      </text>
    </comment>
    <comment ref="H110" authorId="0" shapeId="0" xr:uid="{00000000-0006-0000-0800-000041000000}">
      <text>
        <r>
          <rPr>
            <sz val="9"/>
            <color indexed="81"/>
            <rFont val="Tahoma"/>
            <family val="2"/>
          </rPr>
          <t>Forex тайланд валютаарх дүнг оруулна уу.</t>
        </r>
      </text>
    </comment>
    <comment ref="D111" authorId="0" shapeId="0" xr:uid="{00000000-0006-0000-0800-000042000000}">
      <text>
        <r>
          <rPr>
            <sz val="9"/>
            <color indexed="81"/>
            <rFont val="Tahoma"/>
            <family val="2"/>
          </rPr>
          <t>Forex тайланд валютаарх дүнг оруулна уу.</t>
        </r>
      </text>
    </comment>
    <comment ref="D112" authorId="0" shapeId="0" xr:uid="{00000000-0006-0000-0800-000043000000}">
      <text>
        <r>
          <rPr>
            <sz val="9"/>
            <color indexed="81"/>
            <rFont val="Tahoma"/>
            <family val="2"/>
          </rPr>
          <t>Forex тайланд валютаарх дүнг оруулна уу.</t>
        </r>
      </text>
    </comment>
    <comment ref="H112" authorId="0" shapeId="0" xr:uid="{00000000-0006-0000-0800-000044000000}">
      <text>
        <r>
          <rPr>
            <sz val="9"/>
            <color indexed="81"/>
            <rFont val="Tahoma"/>
            <family val="2"/>
          </rPr>
          <t>Forex тайланд валютаарх дүнг оруулна уу.</t>
        </r>
      </text>
    </comment>
    <comment ref="D113" authorId="0" shapeId="0" xr:uid="{00000000-0006-0000-0800-000045000000}">
      <text>
        <r>
          <rPr>
            <sz val="9"/>
            <color indexed="81"/>
            <rFont val="Tahoma"/>
            <family val="2"/>
          </rPr>
          <t>Forex тайланд валютаарх дүнг оруулна уу.</t>
        </r>
      </text>
    </comment>
    <comment ref="D114" authorId="0" shapeId="0" xr:uid="{00000000-0006-0000-0800-000046000000}">
      <text>
        <r>
          <rPr>
            <sz val="9"/>
            <color indexed="81"/>
            <rFont val="Tahoma"/>
            <family val="2"/>
          </rPr>
          <t>Forex тайланд валютаарх дүнг оруулна уу.</t>
        </r>
      </text>
    </comment>
    <comment ref="D115" authorId="0" shapeId="0" xr:uid="{00000000-0006-0000-0800-000047000000}">
      <text>
        <r>
          <rPr>
            <sz val="9"/>
            <color indexed="81"/>
            <rFont val="Tahoma"/>
            <family val="2"/>
          </rPr>
          <t>Forex тайланд валютаарх дүнг оруулна уу.</t>
        </r>
      </text>
    </comment>
    <comment ref="D116" authorId="0" shapeId="0" xr:uid="{00000000-0006-0000-0800-000048000000}">
      <text>
        <r>
          <rPr>
            <sz val="9"/>
            <color indexed="81"/>
            <rFont val="Tahoma"/>
            <family val="2"/>
          </rPr>
          <t>Forex тайланд валютаарх дүнг оруулна уу.</t>
        </r>
      </text>
    </comment>
    <comment ref="D117" authorId="0" shapeId="0" xr:uid="{00000000-0006-0000-0800-000049000000}">
      <text>
        <r>
          <rPr>
            <sz val="9"/>
            <color indexed="81"/>
            <rFont val="Tahoma"/>
            <family val="2"/>
          </rPr>
          <t>Forex тайланд валютаарх дүнг оруулна уу.</t>
        </r>
      </text>
    </comment>
    <comment ref="D127" authorId="0" shapeId="0" xr:uid="{00000000-0006-0000-0800-00004A000000}">
      <text>
        <r>
          <rPr>
            <sz val="9"/>
            <color indexed="81"/>
            <rFont val="Tahoma"/>
            <family val="2"/>
          </rPr>
          <t>Forex тайланд валютаарх дүнг оруулна уу.</t>
        </r>
      </text>
    </comment>
    <comment ref="D128" authorId="0" shapeId="0" xr:uid="{00000000-0006-0000-0800-00004B000000}">
      <text>
        <r>
          <rPr>
            <sz val="9"/>
            <color indexed="81"/>
            <rFont val="Tahoma"/>
            <family val="2"/>
          </rPr>
          <t>Forex тайланд валютаарх дүнг оруулна уу.</t>
        </r>
      </text>
    </comment>
    <comment ref="D129" authorId="0" shapeId="0" xr:uid="{00000000-0006-0000-0800-00004C000000}">
      <text>
        <r>
          <rPr>
            <sz val="9"/>
            <color indexed="81"/>
            <rFont val="Tahoma"/>
            <family val="2"/>
          </rPr>
          <t>Forex тайланд валютаарх дүнг оруулна уу.</t>
        </r>
      </text>
    </comment>
    <comment ref="D130" authorId="0" shapeId="0" xr:uid="{00000000-0006-0000-0800-00004D000000}">
      <text>
        <r>
          <rPr>
            <sz val="9"/>
            <color indexed="81"/>
            <rFont val="Tahoma"/>
            <family val="2"/>
          </rPr>
          <t>Forex тайланд валютаарх дүнг оруулна уу.</t>
        </r>
      </text>
    </comment>
    <comment ref="D131" authorId="0" shapeId="0" xr:uid="{00000000-0006-0000-0800-00004E000000}">
      <text>
        <r>
          <rPr>
            <sz val="9"/>
            <color indexed="81"/>
            <rFont val="Tahoma"/>
            <family val="2"/>
          </rPr>
          <t>Forex тайланд валютаарх дүнг оруулна уу.</t>
        </r>
      </text>
    </comment>
    <comment ref="D132" authorId="0" shapeId="0" xr:uid="{00000000-0006-0000-0800-00004F000000}">
      <text>
        <r>
          <rPr>
            <sz val="9"/>
            <color indexed="81"/>
            <rFont val="Tahoma"/>
            <family val="2"/>
          </rPr>
          <t>Forex тайланд валютаарх дүнг оруулна уу.</t>
        </r>
      </text>
    </comment>
    <comment ref="D133" authorId="0" shapeId="0" xr:uid="{00000000-0006-0000-0800-000050000000}">
      <text>
        <r>
          <rPr>
            <sz val="9"/>
            <color indexed="81"/>
            <rFont val="Tahoma"/>
            <family val="2"/>
          </rPr>
          <t>Forex тайланд валютаарх дүнг оруулна уу.</t>
        </r>
      </text>
    </comment>
    <comment ref="D158" authorId="0" shapeId="0" xr:uid="{00000000-0006-0000-0800-000051000000}">
      <text>
        <r>
          <rPr>
            <sz val="9"/>
            <color indexed="81"/>
            <rFont val="Tahoma"/>
            <family val="2"/>
          </rPr>
          <t>Forex тайланд валютаарх дүнг оруулна уу.</t>
        </r>
      </text>
    </comment>
    <comment ref="D161" authorId="0" shapeId="0" xr:uid="{00000000-0006-0000-0800-000052000000}">
      <text>
        <r>
          <rPr>
            <sz val="9"/>
            <color indexed="81"/>
            <rFont val="Tahoma"/>
            <family val="2"/>
          </rPr>
          <t>Forex тайланд валютаарх дүнг оруулна уу.</t>
        </r>
      </text>
    </comment>
    <comment ref="D165" authorId="0" shapeId="0" xr:uid="{00000000-0006-0000-0800-000053000000}">
      <text>
        <r>
          <rPr>
            <sz val="9"/>
            <color indexed="81"/>
            <rFont val="Tahoma"/>
            <family val="2"/>
          </rPr>
          <t>Forex тайланд валютаарх дүнг оруулна уу.</t>
        </r>
      </text>
    </comment>
    <comment ref="D168" authorId="0" shapeId="0" xr:uid="{00000000-0006-0000-0800-000054000000}">
      <text>
        <r>
          <rPr>
            <sz val="9"/>
            <color indexed="81"/>
            <rFont val="Tahoma"/>
            <family val="2"/>
          </rPr>
          <t>Forex тайланд валютаарх дүнг оруулна уу.</t>
        </r>
      </text>
    </comment>
    <comment ref="D171" authorId="0" shapeId="0" xr:uid="{00000000-0006-0000-0800-000055000000}">
      <text>
        <r>
          <rPr>
            <sz val="9"/>
            <color indexed="81"/>
            <rFont val="Tahoma"/>
            <family val="2"/>
          </rPr>
          <t>Forex тайланд валютаарх дүнг оруулна уу.</t>
        </r>
      </text>
    </comment>
    <comment ref="D190" authorId="0" shapeId="0" xr:uid="{00000000-0006-0000-0800-000056000000}">
      <text>
        <r>
          <rPr>
            <sz val="9"/>
            <color indexed="81"/>
            <rFont val="Tahoma"/>
            <family val="2"/>
          </rPr>
          <t>Forex тайланд валютаарх дүнг оруулна уу.</t>
        </r>
      </text>
    </comment>
    <comment ref="D193" authorId="0" shapeId="0" xr:uid="{00000000-0006-0000-0800-000057000000}">
      <text>
        <r>
          <rPr>
            <sz val="9"/>
            <color indexed="81"/>
            <rFont val="Tahoma"/>
            <family val="2"/>
          </rPr>
          <t>Forex тайланд валютаарх дүнг оруулна уу.</t>
        </r>
      </text>
    </comment>
    <comment ref="D196" authorId="0" shapeId="0" xr:uid="{00000000-0006-0000-0800-000058000000}">
      <text>
        <r>
          <rPr>
            <sz val="9"/>
            <color indexed="81"/>
            <rFont val="Tahoma"/>
            <family val="2"/>
          </rPr>
          <t>Forex тайланд валютаарх дүнг оруулна уу.</t>
        </r>
      </text>
    </comment>
    <comment ref="D199" authorId="0" shapeId="0" xr:uid="{00000000-0006-0000-0800-000059000000}">
      <text>
        <r>
          <rPr>
            <sz val="9"/>
            <color indexed="81"/>
            <rFont val="Tahoma"/>
            <family val="2"/>
          </rPr>
          <t>Forex тайланд валютаарх дүнг оруулна уу.</t>
        </r>
      </text>
    </comment>
    <comment ref="D202" authorId="0" shapeId="0" xr:uid="{00000000-0006-0000-0800-00005A000000}">
      <text>
        <r>
          <rPr>
            <sz val="9"/>
            <color indexed="81"/>
            <rFont val="Tahoma"/>
            <family val="2"/>
          </rPr>
          <t>Forex тайланд валютаарх дүнг оруулна уу.</t>
        </r>
      </text>
    </comment>
    <comment ref="D206" authorId="0" shapeId="0" xr:uid="{00000000-0006-0000-0800-00005B000000}">
      <text>
        <r>
          <rPr>
            <sz val="9"/>
            <color indexed="81"/>
            <rFont val="Tahoma"/>
            <family val="2"/>
          </rPr>
          <t>Forex тайланд валютаарх дүнг оруулна уу.</t>
        </r>
      </text>
    </comment>
    <comment ref="D209" authorId="0" shapeId="0" xr:uid="{00000000-0006-0000-0800-00005C000000}">
      <text>
        <r>
          <rPr>
            <sz val="9"/>
            <color indexed="81"/>
            <rFont val="Tahoma"/>
            <family val="2"/>
          </rPr>
          <t>Forex тайланд валютаарх дүнг оруулна уу.</t>
        </r>
      </text>
    </comment>
    <comment ref="D213" authorId="0" shapeId="0" xr:uid="{00000000-0006-0000-0800-00005D000000}">
      <text>
        <r>
          <rPr>
            <sz val="9"/>
            <color indexed="81"/>
            <rFont val="Tahoma"/>
            <family val="2"/>
          </rPr>
          <t>Forex тайланд валютаарх дүнг оруулна уу.</t>
        </r>
      </text>
    </comment>
    <comment ref="D216" authorId="0" shapeId="0" xr:uid="{00000000-0006-0000-0800-00005E000000}">
      <text>
        <r>
          <rPr>
            <sz val="9"/>
            <color indexed="81"/>
            <rFont val="Tahoma"/>
            <family val="2"/>
          </rPr>
          <t>Forex тайланд валютаарх дүнг оруулна уу.</t>
        </r>
      </text>
    </comment>
    <comment ref="D219" authorId="0" shapeId="0" xr:uid="{00000000-0006-0000-0800-00005F000000}">
      <text>
        <r>
          <rPr>
            <sz val="9"/>
            <color indexed="81"/>
            <rFont val="Tahoma"/>
            <family val="2"/>
          </rPr>
          <t>Forex тайланд валютаарх дүнг оруулна уу.</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B.Tungalag</author>
  </authors>
  <commentList>
    <comment ref="C7" authorId="0" shapeId="0" xr:uid="{00000000-0006-0000-0D00-000001000000}">
      <text>
        <r>
          <rPr>
            <sz val="9"/>
            <color indexed="81"/>
            <rFont val="Times New Roman"/>
            <family val="1"/>
          </rPr>
          <t>Гадаад валютаарх дүнгээ шивэхдээ мянгачилж оруулна уу.</t>
        </r>
      </text>
    </comment>
    <comment ref="A23" authorId="0" shapeId="0" xr:uid="{00000000-0006-0000-0D00-000002000000}">
      <text>
        <r>
          <rPr>
            <sz val="9"/>
            <color indexed="81"/>
            <rFont val="Times New Roman"/>
            <family val="1"/>
          </rPr>
          <t>Журмын 6.5-д заасны дагуу зөвхөн гадаад валютаар гаргасан дүнгээ оруулна уу.</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Tungalag B</author>
    <author>Munkhjavkhlan M</author>
  </authors>
  <commentList>
    <comment ref="D6" authorId="0" shapeId="0" xr:uid="{00000000-0006-0000-1000-000001000000}">
      <text>
        <r>
          <rPr>
            <sz val="9"/>
            <color indexed="81"/>
            <rFont val="Tahoma"/>
            <family val="2"/>
          </rPr>
          <t>Аль нь болохыг сонгох</t>
        </r>
      </text>
    </comment>
    <comment ref="G6" authorId="1" shapeId="0" xr:uid="{00000000-0006-0000-1000-000002000000}">
      <text>
        <r>
          <rPr>
            <sz val="9"/>
            <color indexed="81"/>
            <rFont val="Tahoma"/>
            <family val="2"/>
          </rPr>
          <t>Аль нь болохыг сонгох</t>
        </r>
      </text>
    </comment>
    <comment ref="H6" authorId="1" shapeId="0" xr:uid="{00000000-0006-0000-1000-000003000000}">
      <text>
        <r>
          <rPr>
            <sz val="9"/>
            <color indexed="81"/>
            <rFont val="Tahoma"/>
            <family val="2"/>
          </rPr>
          <t>Огноог СС/ӨӨ/ОООО гэсэн дарааллаар оруулна</t>
        </r>
      </text>
    </comment>
    <comment ref="I6" authorId="1" shapeId="0" xr:uid="{00000000-0006-0000-1000-000004000000}">
      <text>
        <r>
          <rPr>
            <sz val="9"/>
            <color indexed="81"/>
            <rFont val="Tahoma"/>
            <family val="2"/>
          </rPr>
          <t>Огноог СС/ӨӨ/ОООО гэсэн дарааллаар оруулна</t>
        </r>
      </text>
    </comment>
    <comment ref="J6" authorId="1" shapeId="0" xr:uid="{00000000-0006-0000-1000-000005000000}">
      <text>
        <r>
          <rPr>
            <sz val="9"/>
            <color indexed="81"/>
            <rFont val="Tahoma"/>
            <family val="2"/>
          </rPr>
          <t>Огноог СС/ӨӨ/ОООО гэсэн дарааллаар оруулна</t>
        </r>
      </text>
    </comment>
    <comment ref="K6" authorId="0" shapeId="0" xr:uid="{00000000-0006-0000-1000-000006000000}">
      <text>
        <r>
          <rPr>
            <sz val="9"/>
            <color indexed="81"/>
            <rFont val="Tahoma"/>
            <family val="2"/>
          </rPr>
          <t>Аль нь болохыг сонгох</t>
        </r>
      </text>
    </comment>
    <comment ref="N6" authorId="0" shapeId="0" xr:uid="{00000000-0006-0000-1000-000007000000}">
      <text>
        <r>
          <rPr>
            <sz val="9"/>
            <color indexed="81"/>
            <rFont val="Tahoma"/>
            <family val="2"/>
          </rPr>
          <t>Сар бүр төлдөг нийт зээлийн хэмжээг ойлгоно.</t>
        </r>
        <r>
          <rPr>
            <sz val="9"/>
            <color indexed="81"/>
            <rFont val="Tahoma"/>
            <family val="2"/>
          </rPr>
          <t xml:space="preserve">
</t>
        </r>
      </text>
    </comment>
    <comment ref="R6" authorId="1" shapeId="0" xr:uid="{00000000-0006-0000-1000-000008000000}">
      <text>
        <r>
          <rPr>
            <sz val="9"/>
            <color indexed="81"/>
            <rFont val="Tahoma"/>
            <family val="2"/>
          </rPr>
          <t>Аль нь болохыг сонгох</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G6" authorId="0" shapeId="0" xr:uid="{00000000-0006-0000-1100-000001000000}">
      <text>
        <r>
          <rPr>
            <sz val="9"/>
            <color indexed="81"/>
            <rFont val="Tahoma"/>
            <family val="2"/>
          </rPr>
          <t>Аль нь болохыг сонгох</t>
        </r>
      </text>
    </comment>
    <comment ref="H6" authorId="0" shapeId="0" xr:uid="{00000000-0006-0000-1100-000002000000}">
      <text>
        <r>
          <rPr>
            <sz val="9"/>
            <color indexed="81"/>
            <rFont val="Tahoma"/>
            <family val="2"/>
          </rPr>
          <t>Огноог СС/ӨӨ/ОООО гэсэн дарааллаар оруулна</t>
        </r>
      </text>
    </comment>
    <comment ref="I6" authorId="0" shapeId="0" xr:uid="{00000000-0006-0000-1100-000003000000}">
      <text>
        <r>
          <rPr>
            <sz val="9"/>
            <color indexed="81"/>
            <rFont val="Tahoma"/>
            <family val="2"/>
          </rPr>
          <t>Огноог СС/ӨӨ/ОООО гэсэн дарааллаар оруулна</t>
        </r>
      </text>
    </comment>
    <comment ref="J6" authorId="0" shapeId="0" xr:uid="{00000000-0006-0000-1100-000004000000}">
      <text>
        <r>
          <rPr>
            <sz val="9"/>
            <color indexed="81"/>
            <rFont val="Tahoma"/>
            <family val="2"/>
          </rPr>
          <t>Огноог СС/ӨӨ/ОООО гэсэн дарааллаар оруулна</t>
        </r>
      </text>
    </comment>
    <comment ref="O6" authorId="0" shapeId="0" xr:uid="{00000000-0006-0000-1100-000005000000}">
      <text>
        <r>
          <rPr>
            <sz val="9"/>
            <color indexed="81"/>
            <rFont val="Tahoma"/>
            <family val="2"/>
          </rPr>
          <t>Аль нь болохыг сонгох</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F6" authorId="0" shapeId="0" xr:uid="{00000000-0006-0000-1200-000001000000}">
      <text>
        <r>
          <rPr>
            <sz val="9"/>
            <color indexed="81"/>
            <rFont val="Tahoma"/>
            <family val="2"/>
          </rPr>
          <t>Огноог СС/ӨӨ/ОООО гэсэн дарааллаар оруулна</t>
        </r>
      </text>
    </comment>
    <comment ref="G6" authorId="0" shapeId="0" xr:uid="{00000000-0006-0000-1200-000002000000}">
      <text>
        <r>
          <rPr>
            <sz val="9"/>
            <color indexed="81"/>
            <rFont val="Tahoma"/>
            <family val="2"/>
          </rPr>
          <t>Огноог СС/ӨӨ/ОООО гэсэн дарааллаар оруулна</t>
        </r>
      </text>
    </comment>
    <comment ref="H6" authorId="0" shapeId="0" xr:uid="{00000000-0006-0000-1200-000003000000}">
      <text>
        <r>
          <rPr>
            <sz val="9"/>
            <color indexed="81"/>
            <rFont val="Tahoma"/>
            <family val="2"/>
          </rPr>
          <t>Огноог СС/ӨӨ/ОООО гэсэн дарааллаар оруулна</t>
        </r>
      </text>
    </comment>
    <comment ref="I6" authorId="0" shapeId="0" xr:uid="{00000000-0006-0000-1200-000004000000}">
      <text>
        <r>
          <rPr>
            <sz val="9"/>
            <color indexed="81"/>
            <rFont val="Tahoma"/>
            <family val="2"/>
          </rPr>
          <t>Тохирох утгыг сонгох</t>
        </r>
      </text>
    </comment>
    <comment ref="J6" authorId="0" shapeId="0" xr:uid="{00000000-0006-0000-1200-000005000000}">
      <text>
        <r>
          <rPr>
            <sz val="9"/>
            <color indexed="81"/>
            <rFont val="Tahoma"/>
            <family val="2"/>
          </rPr>
          <t>Тохирох утгыг барьцаа хөрөнгийн нэр төрлөөр нөхөх</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G6" authorId="0" shapeId="0" xr:uid="{00000000-0006-0000-1600-000001000000}">
      <text>
        <r>
          <rPr>
            <sz val="9"/>
            <color indexed="81"/>
            <rFont val="Tahoma"/>
            <family val="2"/>
          </rPr>
          <t>Огноог СС/ӨӨ/ОООО гэсэн дарааллаар оруулна</t>
        </r>
      </text>
    </comment>
    <comment ref="H6" authorId="0" shapeId="0" xr:uid="{00000000-0006-0000-1600-000002000000}">
      <text>
        <r>
          <rPr>
            <sz val="9"/>
            <color indexed="81"/>
            <rFont val="Tahoma"/>
            <family val="2"/>
          </rPr>
          <t>Огноог СС/ӨӨ/ОООО гэсэн дарааллаар оруулна</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G6" authorId="0" shapeId="0" xr:uid="{00000000-0006-0000-1700-000001000000}">
      <text>
        <r>
          <rPr>
            <sz val="9"/>
            <color indexed="81"/>
            <rFont val="Tahoma"/>
            <family val="2"/>
          </rPr>
          <t>Огноог СС/ӨӨ/ОООО гэсэн дарааллаар оруулна</t>
        </r>
      </text>
    </comment>
    <comment ref="H6" authorId="0" shapeId="0" xr:uid="{00000000-0006-0000-1700-000002000000}">
      <text>
        <r>
          <rPr>
            <sz val="9"/>
            <color indexed="81"/>
            <rFont val="Tahoma"/>
            <family val="2"/>
          </rPr>
          <t>Огноог СС/ӨӨ/ОООО гэсэн дарааллаар оруулна</t>
        </r>
      </text>
    </comment>
    <comment ref="I6" authorId="0" shapeId="0" xr:uid="{00000000-0006-0000-1700-000003000000}">
      <text>
        <r>
          <rPr>
            <sz val="9"/>
            <color indexed="81"/>
            <rFont val="Tahoma"/>
            <family val="2"/>
          </rPr>
          <t>Огноог СС/ӨӨ/ОООО гэсэн дарааллаар оруулна</t>
        </r>
      </text>
    </comment>
  </commentList>
</comments>
</file>

<file path=xl/sharedStrings.xml><?xml version="1.0" encoding="utf-8"?>
<sst xmlns="http://schemas.openxmlformats.org/spreadsheetml/2006/main" count="2016" uniqueCount="1290">
  <si>
    <t>СТАТИСТИК МЭДЭЭЛЭЛ</t>
  </si>
  <si>
    <t>БАНК БУС САНХҮҮГИЙН БАЙГУУЛЛАГА</t>
  </si>
  <si>
    <t>Д/д</t>
  </si>
  <si>
    <t>ДҮН</t>
  </si>
  <si>
    <t>Улаанбаатарт</t>
  </si>
  <si>
    <t>I</t>
  </si>
  <si>
    <t>ХАРИЛЦАГЧДЫН МЭДЭЭЛЭЛ</t>
  </si>
  <si>
    <t>Орон нутагт</t>
  </si>
  <si>
    <t>Үүнээс: Эмэгтэй</t>
  </si>
  <si>
    <t>Тийм</t>
  </si>
  <si>
    <t xml:space="preserve">              Хуулийн этгээд</t>
  </si>
  <si>
    <t>Үгүй</t>
  </si>
  <si>
    <t xml:space="preserve">Хэвийн </t>
  </si>
  <si>
    <t xml:space="preserve">                    -Хэвийн бус</t>
  </si>
  <si>
    <t xml:space="preserve">                    -Эргэлзээтэй</t>
  </si>
  <si>
    <t xml:space="preserve">                   - Муу</t>
  </si>
  <si>
    <r>
      <rPr>
        <b/>
        <sz val="10"/>
        <color indexed="8"/>
        <rFont val="Times New Roman"/>
        <family val="1"/>
      </rPr>
      <t>Зээлдэгчдийн насжилт</t>
    </r>
    <r>
      <rPr>
        <b/>
        <i/>
        <sz val="10"/>
        <color indexed="8"/>
        <rFont val="Times New Roman"/>
        <family val="1"/>
      </rPr>
      <t xml:space="preserve"> /тоогоор/</t>
    </r>
  </si>
  <si>
    <t xml:space="preserve">                  18-35 насны</t>
  </si>
  <si>
    <t xml:space="preserve">                  36-45 насны</t>
  </si>
  <si>
    <t xml:space="preserve">                  46-55 насны</t>
  </si>
  <si>
    <t xml:space="preserve">                  55-аас дээш</t>
  </si>
  <si>
    <r>
      <rPr>
        <b/>
        <sz val="10"/>
        <color indexed="8"/>
        <rFont val="Times New Roman"/>
        <family val="1"/>
      </rPr>
      <t xml:space="preserve">Зээлдэгчдийн боловсрол </t>
    </r>
    <r>
      <rPr>
        <b/>
        <i/>
        <sz val="10"/>
        <color indexed="8"/>
        <rFont val="Times New Roman"/>
        <family val="1"/>
      </rPr>
      <t>/тоогоор/</t>
    </r>
  </si>
  <si>
    <t xml:space="preserve">              -Дээд</t>
  </si>
  <si>
    <t xml:space="preserve">              -Тусгай дунд</t>
  </si>
  <si>
    <t xml:space="preserve">              -Бүрэн дунд</t>
  </si>
  <si>
    <t xml:space="preserve">              -Дунд</t>
  </si>
  <si>
    <t xml:space="preserve">               -Бага</t>
  </si>
  <si>
    <t>II</t>
  </si>
  <si>
    <t>ББСБ-ЫН МЭДЭЭЛЭЛ</t>
  </si>
  <si>
    <t>Нийт ажилтнуудын тоо</t>
  </si>
  <si>
    <t>Үүнээс: Эмэгтэй ажилтны тоо</t>
  </si>
  <si>
    <t>Зээл</t>
  </si>
  <si>
    <t xml:space="preserve">Санхүүгийн программтай эсэх  </t>
  </si>
  <si>
    <t>Өмнөх оны мөн үеийн нийт хөрөнгө /мянган төгрөгөөр/</t>
  </si>
  <si>
    <t>Монголбанкны СМА-нд хүргүүлсэн гүйлгээний тоо</t>
  </si>
  <si>
    <t>Монголбанкны СМА-нд хүргүүлсэн гүйлгээний дүн /оны эхнээс өссөн дүнгээр/</t>
  </si>
  <si>
    <t>ТАМГА</t>
  </si>
  <si>
    <t xml:space="preserve">             ТАЙЛАНГ ҮНЭН ЗӨВ ГАРГАСАН:</t>
  </si>
  <si>
    <t>Программын нэр</t>
  </si>
  <si>
    <t>Өмнөх оны мөн үеийн өөрийн хөрөнгө хөрөнгө /мянган төгрөгөөр/</t>
  </si>
  <si>
    <t>Санхүүгийн программыг нийлүүлсэн компанийн нэр</t>
  </si>
  <si>
    <t>ББСБ-ын утас</t>
  </si>
  <si>
    <t xml:space="preserve">              Нийт итгэмжлэгчдийн тоо</t>
  </si>
  <si>
    <t xml:space="preserve">              Нийт өрийн бичиг авсан харилцагчдийн тоо</t>
  </si>
  <si>
    <t>ГҮЙЛГЭЭ ҮЛДЭГДЛИЙН ТАЙЛАН ТЭНЦЭЛ</t>
  </si>
  <si>
    <t>(төгрөгөөр)</t>
  </si>
  <si>
    <t>АКТИВ</t>
  </si>
  <si>
    <t>Дансны дугаар</t>
  </si>
  <si>
    <t>ПАССИВ</t>
  </si>
  <si>
    <t>ЭРГЭЛТИЙН ХӨРӨНГӨ</t>
  </si>
  <si>
    <t>ӨР ТӨЛБӨР</t>
  </si>
  <si>
    <t>МӨНГӨН ХӨРӨНГӨ</t>
  </si>
  <si>
    <t>САНХҮҮГИЙН ЭХ ҮҮСВЭР</t>
  </si>
  <si>
    <t>Бэлэн мөнгө</t>
  </si>
  <si>
    <t>Итгэлцлийн үйлчилгээний өглөг</t>
  </si>
  <si>
    <t>Касс дахь бэлэн мөнгө /төгрөг/</t>
  </si>
  <si>
    <t>Итгэлцлийн үйлчилгээний өглөг /төгрөг/</t>
  </si>
  <si>
    <t>Касс дахь бэлэн мөнгө /гадаад валют/</t>
  </si>
  <si>
    <t>Итгэлцлийн үйлчилгээний өглөг /гадаад валют/</t>
  </si>
  <si>
    <t>Замд яваа мөнгө /төгрөг/</t>
  </si>
  <si>
    <t>ДОТООД ГАДААДЫН БАНК, САНХҮҮГИЙН БАЙГУУЛЛАГААС АВСАН ЗЭЭЛ</t>
  </si>
  <si>
    <t>Замд яваа мөнгө /гадаад валют/</t>
  </si>
  <si>
    <t>ДОТООДЫН БАНК, САНХҮҮГИЙН БАЙГУУЛЛАГААС АВСАН ЗЭЭЛ</t>
  </si>
  <si>
    <t>Тоолж шалгаагүй бэлэн мөнгө /төгрөг/</t>
  </si>
  <si>
    <t>Банкны байгууллагаас авсан зээл</t>
  </si>
  <si>
    <t>Тоолж шалгаагүй бэлэн мөнгө /гадаад валют/</t>
  </si>
  <si>
    <t>Банкны байгууллагаас авсан  зээл /төгрөг/</t>
  </si>
  <si>
    <t>Дотоодын банк санхүүгийн байгууллагад байршуулсан харилцах</t>
  </si>
  <si>
    <t>Банкны байгууллагаас авсан богино хугацаат /1 жил хүртэл/ зээл</t>
  </si>
  <si>
    <t>Банк дахь харилцах /төгрөг/</t>
  </si>
  <si>
    <t>Банкны байгууллагаас авсан урт хугацаат /1 жилээс дээш/ зээл</t>
  </si>
  <si>
    <t>Банк дахь харилцах /гадаад валют/</t>
  </si>
  <si>
    <t>Банкны байгууллагаас авсан зээл /гадаад валют/</t>
  </si>
  <si>
    <t>Бусад санхүүгийн байгууллага дахь харилцах /төгрөг/</t>
  </si>
  <si>
    <t>Бусад санхүүгийн байгууллага дахь харилцах /гадаад валют/</t>
  </si>
  <si>
    <t>Дотоодын банк санхүүгийн байгууллагад байршуулсан хадгаламж</t>
  </si>
  <si>
    <t>Бусад санхүүгийн байгууллагаас авсан зээл</t>
  </si>
  <si>
    <t>Банк дахь хадгаламж /төгрөг/</t>
  </si>
  <si>
    <t>Бусад санхүүгийн байгууллагаас авсан зээл /төгрөг/</t>
  </si>
  <si>
    <t>Банк дахь хадгаламж /гадаад валют/</t>
  </si>
  <si>
    <t>Санхүүгийн байгууллагаас авсан богино хугацаат /1 жил хүртэл/ зээл</t>
  </si>
  <si>
    <t>Бусад санхүүгийн байгууллага дахь хадгаламж /төгрөг/</t>
  </si>
  <si>
    <t>Санхүүгийн байгууллагаас авсан урт хугацаат /1 жилээс дээш/ зээл</t>
  </si>
  <si>
    <t>Бусад санхүүгийн байгууллага дахь хадгаламж /гадаад валют/</t>
  </si>
  <si>
    <t>Бусад санхүүгийн байгууллагаас авсан зээл /гадаад валют/</t>
  </si>
  <si>
    <t>Гадаадын банк санхүүгийн байгууллагад байршуулсан харилцах</t>
  </si>
  <si>
    <t>Банк дахь харилцах</t>
  </si>
  <si>
    <t>Бусад санхүүгийн байгуллага дахь харилцах</t>
  </si>
  <si>
    <t>Банкны байгууллагаас авсан зээлийн хугацаа хэтрэлт</t>
  </si>
  <si>
    <t>Гадаадын банк санхүүгийн байгууллагад байршуулсан хадгаламж</t>
  </si>
  <si>
    <t>Банкны байгууллагаас авсан зээлийн хугацаа хэтрэлт /төгрөг/</t>
  </si>
  <si>
    <t>Банк дахь хадгаламж</t>
  </si>
  <si>
    <t>Бусад санхүүгийн байгууллага дахь хадгаламж</t>
  </si>
  <si>
    <t>БОГИНО ХУГАЦААТ ХӨРӨНГӨ ОРУУЛАЛТ</t>
  </si>
  <si>
    <t>Банкны байгууллагаас авсан зээлийн хугацаа хэтрэлт /гадаад валют/</t>
  </si>
  <si>
    <t>Арилжааны үнэт цаас</t>
  </si>
  <si>
    <t>Засгийн газрын үнэт цаас</t>
  </si>
  <si>
    <t>Төв банкны үнэт цаас</t>
  </si>
  <si>
    <t>Бусад санхүүгийн байгууллагаас авсан зээлийн хугацаа хэтрэлт</t>
  </si>
  <si>
    <t>Хувьцаа</t>
  </si>
  <si>
    <t>Бусад санхүүгийн байгууллагаас авсан зээлийн хугацаа хэтрэлт /төгрөг/</t>
  </si>
  <si>
    <t>Өрийн бичиг</t>
  </si>
  <si>
    <t>Бусад үнэт цаас</t>
  </si>
  <si>
    <t>Хөрөнгө оруулалтын үнэт цаас</t>
  </si>
  <si>
    <t>Бусад санхүүгийн байгууллагаас авсан зээлийн хугацаа хэтрэлт /гадаад валют/</t>
  </si>
  <si>
    <t>ГАДААДЫН БАНК, САНХҮҮГИЙН БАЙГУУЛЛАГААС АВСАН ЗЭЭЛ</t>
  </si>
  <si>
    <t>Гадаадын банк, санхүүгийн байгууллагаас авсан зээл</t>
  </si>
  <si>
    <t>Үнэт цаасны хорогдуулаагүй нэмэгдэл, хямдруулалт</t>
  </si>
  <si>
    <t>Үнэт цаасны хорогдуулаагүй нэмэгдэл</t>
  </si>
  <si>
    <t>Үнэт цаасны хорогдуулаагүй хямдруулалт</t>
  </si>
  <si>
    <t>Санхүүгийн байгууллагаас авсан зээл /гадаад валют/</t>
  </si>
  <si>
    <t>Үнэт цаасны эрсдэлийн сан</t>
  </si>
  <si>
    <t>Хөрөнгө оруулалтын үнэт цаасны эрсдэлийн сан</t>
  </si>
  <si>
    <t>ЗЭЭЛ (ЦЭВРЭЭР)</t>
  </si>
  <si>
    <t>Гадаадын банк, санхүүгийн байгууллагаас авсан зээлийн хугацаа хэтрэлт /гадаад валют/</t>
  </si>
  <si>
    <t>Хэвийн зээл /төгрөг/</t>
  </si>
  <si>
    <t>Улсын байгууллага</t>
  </si>
  <si>
    <t>Банкны байгууллагаас авсан богино хугацаат /1 жил хүртэл/ зээлийн хугацаа хэтрэлт</t>
  </si>
  <si>
    <t>Хувийн сектор</t>
  </si>
  <si>
    <t>Банкны байгууллагаас авсан урт хугацаат /1 жилээс дээш/ зээлийн хугацаа хэтрэлт</t>
  </si>
  <si>
    <t>Бусад санхүүгийн байгууллага</t>
  </si>
  <si>
    <t>Санхүүгийн байгууллагаас авсан зээлийн хугацаа хэтрэлт /гадаад валют/</t>
  </si>
  <si>
    <t>Иргэд</t>
  </si>
  <si>
    <t>Санхүүгийн байгууллагаас авсан богино хугацаат /1 жил хүртэл/ зээлийн хугацаа хэтрэлт</t>
  </si>
  <si>
    <t>Гадаадын оршин суугч</t>
  </si>
  <si>
    <t>Санхүүгийн байгууллагаас авсан урт хугацаат /1 жилээс дээш/ зээлийн хугацаа хэтрэлт</t>
  </si>
  <si>
    <t>Гадаадын оршин суугч бус</t>
  </si>
  <si>
    <t>БУСАД ЭХ ҮҮСВЭР</t>
  </si>
  <si>
    <t>Бусад</t>
  </si>
  <si>
    <t>Зээлийн батлан даалтанд байршуулсан эх үүсвэр</t>
  </si>
  <si>
    <t>Хэвийн зээл /гадаад валют/</t>
  </si>
  <si>
    <t>Зээлийн батлан даалтанд байршуулсан эх үүсвэр /төгрөг/</t>
  </si>
  <si>
    <t>Зээлийн батлан даалтанд байршуулсан эх үүсвэр /гадаад валют/</t>
  </si>
  <si>
    <t>Мөнгөн гуйвуулгын үйлчилгээний өглөг</t>
  </si>
  <si>
    <t>Мөнгөн гуйвуулгын  өглөг /төгрөг/</t>
  </si>
  <si>
    <t>Мөнгөн гуйвуулгын өглөг /гадаад валют/</t>
  </si>
  <si>
    <t>Төлбөр тооцооны үйлчилгээний өглөг</t>
  </si>
  <si>
    <t>Төлбөр тооцооны үйлчилгээний өглөг /төгрөг/</t>
  </si>
  <si>
    <t>Төлбөр тооцооны үйлчилгээний өглөг /гадаад валют/</t>
  </si>
  <si>
    <t>Факторингийн үйлчилгээний өглөг</t>
  </si>
  <si>
    <t>Факторингийн үйлчилгээний өглөг /төгрөг/</t>
  </si>
  <si>
    <t>Факторингийн үйлчилгээний өглөг /гадаад валют/</t>
  </si>
  <si>
    <t xml:space="preserve">Гадаад валютын арилжааны эх үүсвэр </t>
  </si>
  <si>
    <t>Гадаад валютын арилжааны эх үүсвэр /төгрөг/</t>
  </si>
  <si>
    <t>Гадаад валютын арилжааны эх үүсвэр /гадаад валют/</t>
  </si>
  <si>
    <t>ББСБ-ААС ГАРГАСАН ӨРИЙН БИЧИГ</t>
  </si>
  <si>
    <t>ББСБ-аас гаргасан өрийн бичиг /төгрөг/</t>
  </si>
  <si>
    <t>ББСБ-аас гаргасан өрийн бичиг /гадаад валют/</t>
  </si>
  <si>
    <t>ТӨСЛИЙН ЗЭЭЛИЙН САНХҮҮЖИЛТ</t>
  </si>
  <si>
    <t>Богино хугацаат санхүүжилт /1 жил хүртэл/</t>
  </si>
  <si>
    <t>Бусад санхүүгийн байгуллага</t>
  </si>
  <si>
    <t>Засгийн газрын санхүүжилт</t>
  </si>
  <si>
    <t>Засгийн газрын санхүүжилт /төгрөг/</t>
  </si>
  <si>
    <t>Засгийн газрын санхүүжилт /гадаад валют/</t>
  </si>
  <si>
    <t>Гадаадын санхүүжилт</t>
  </si>
  <si>
    <t>Гадаадын санхүүжилт /төгрөг/</t>
  </si>
  <si>
    <t>Чанаргүй зээл</t>
  </si>
  <si>
    <t>Гадаадын санхүүжилт /гадаад валют/</t>
  </si>
  <si>
    <t>Хэвийн бус зээл /төгрөг/</t>
  </si>
  <si>
    <t>Дотоодын санхүүжилт</t>
  </si>
  <si>
    <t>Дотоодын санхүүжилт /төгрөг/</t>
  </si>
  <si>
    <t>Дотоодын санхүүжилт /гадаад валют/</t>
  </si>
  <si>
    <t xml:space="preserve">Бусад </t>
  </si>
  <si>
    <t>Бусад /төгрөг/</t>
  </si>
  <si>
    <t>Бусад /гадаад валют/</t>
  </si>
  <si>
    <t>Урт хугацаат санхүүжилт /1 жилээс дээш/</t>
  </si>
  <si>
    <t>Хэвийн бус зээл /гадаад валют/</t>
  </si>
  <si>
    <t>Эргэлзээтэй зээл /төгрөг/</t>
  </si>
  <si>
    <t>БУСАД ӨР ТӨЛБӨР</t>
  </si>
  <si>
    <t>ХУРИМТЛУУЛЖ ТООЦСОН ХҮҮГИЙН ӨГЛӨГ</t>
  </si>
  <si>
    <t>Хуримтлуулж тооцсон зээлийн хүүгийн өглөг /төгрөг/</t>
  </si>
  <si>
    <t>Хуримтлуулж тооцсон зээлийн хүүгийн өглөг /гадаад валют/</t>
  </si>
  <si>
    <t>Хуримтлуулж тооцсон үнэт цаасны хүүгийн өглөг /төгрөг/</t>
  </si>
  <si>
    <t>Эргэлзээтэй зээл /гадаад валют/</t>
  </si>
  <si>
    <t>Хуримтлуулж тооцсон үнэт цаасны хүүгийн өглөг /гадаад валют/</t>
  </si>
  <si>
    <t>Хуримтлуулж тооцсон бусад хүүгийн өглөг /төгрөг/</t>
  </si>
  <si>
    <t>Хуримтлуулж тооцсон бусад хүүгийн өглөг /гадаад валют/</t>
  </si>
  <si>
    <t>БУСАД ПАССИВ</t>
  </si>
  <si>
    <t>Салбар хоорондын тооцооны өглөг</t>
  </si>
  <si>
    <t>Цалингийн өглөг</t>
  </si>
  <si>
    <t>Татварын өглөг</t>
  </si>
  <si>
    <t>Нийгмийн даатгалын шимтгэлийн өглөг</t>
  </si>
  <si>
    <t>Муу зээл /төгрөг/</t>
  </si>
  <si>
    <t>Эрүүл мэндийн даатгалын шимтгэлийн өглөг</t>
  </si>
  <si>
    <t>Ногдол ашгийн өглөг</t>
  </si>
  <si>
    <t>Бусад өглөг</t>
  </si>
  <si>
    <t>САНХҮҮГИЙН ҮҮСМЭЛ ХЭРЭГСЭЛ /ДЕРВАТИВ/-ИЙН ӨГЛӨГ</t>
  </si>
  <si>
    <t xml:space="preserve">Гадаад валютын </t>
  </si>
  <si>
    <t>Своп арилжаа</t>
  </si>
  <si>
    <t>Форвард арилжаа</t>
  </si>
  <si>
    <t>Опшин арилжаа</t>
  </si>
  <si>
    <t>Муу зээл /гадаад валют/</t>
  </si>
  <si>
    <t>Фьючерс арилжаа</t>
  </si>
  <si>
    <t>Үнэт цаасны</t>
  </si>
  <si>
    <t>ЭЗДИЙН ӨМЧ</t>
  </si>
  <si>
    <t>ХУВЬЦААТ КАПИТАЛ</t>
  </si>
  <si>
    <t>Зээлийн эрсдэлийн сан</t>
  </si>
  <si>
    <t>Энгийн хувьцаа</t>
  </si>
  <si>
    <t>Давуу эрхтэй хувьцаа</t>
  </si>
  <si>
    <t>САНХҮҮГИЙН ТҮРЭЭСИЙН ТООЦООНЫ АВЛАГА (ЦЭВРЭЭР)</t>
  </si>
  <si>
    <t>Халаасны хувьцаа</t>
  </si>
  <si>
    <t>Хэвийн санхүүгийн түрээсийн тооцооны  авлага</t>
  </si>
  <si>
    <t>БУСАД ӨМЧ</t>
  </si>
  <si>
    <t>Санхүүгийн түрээсийн тооцоогоор үүссэн авлага /төгрөг/</t>
  </si>
  <si>
    <t>Нэмж төлөгдсөн капитал</t>
  </si>
  <si>
    <t>Санхүүгийн түрээсийн тооцоогоор үүссэн авлага /гадаад валют/</t>
  </si>
  <si>
    <t>Дахин үнэлгээний нэмэгдэл</t>
  </si>
  <si>
    <t>Хандивын капитал</t>
  </si>
  <si>
    <t>САНГУУД</t>
  </si>
  <si>
    <t>Нөөцийн сан</t>
  </si>
  <si>
    <t>Чанаргүй санхүүгийн түрээсийн тооцооны авлага</t>
  </si>
  <si>
    <t>Нийгмийн хөгжлийн сан</t>
  </si>
  <si>
    <t>Хэвийн бус санхүүгийн түрээсийн тооцооны авлага</t>
  </si>
  <si>
    <t>ХУРИМТЛАГДСАН АШИГ АЛДАГДАЛ</t>
  </si>
  <si>
    <t xml:space="preserve">Тухайн жилийн ашиг </t>
  </si>
  <si>
    <t>Тухайн жилийн алдагдал</t>
  </si>
  <si>
    <t>Эргэлзээтэй санхүүгийн түрээсийн тооцооны авлага</t>
  </si>
  <si>
    <t>Хуримтлагдсан ашиг</t>
  </si>
  <si>
    <t>Хуримтлагдсан алдагдал</t>
  </si>
  <si>
    <t>ХОЁРДОГЧ ӨГЛӨГ</t>
  </si>
  <si>
    <t>Муу санхүүгийн түрээсийн тооцооны авлага</t>
  </si>
  <si>
    <t xml:space="preserve">Хоёрдогч өглөг </t>
  </si>
  <si>
    <t>ОРЛОГО</t>
  </si>
  <si>
    <t>Үндсэн үйл ажиллгааны орлого</t>
  </si>
  <si>
    <t>Санхүүгийн түрээсийн авлагын эрсдэлийн сан</t>
  </si>
  <si>
    <t>Хүүгийн орлого</t>
  </si>
  <si>
    <t>Хугацаандаа байгаа зээлийн хүүгийн орлого</t>
  </si>
  <si>
    <t>ФАКТОРИНГИЙН ҮЙЛЧИЛГЭЭ АВЛАГА (ЦЭВРЭЭР)</t>
  </si>
  <si>
    <t>Хэвийн факторингийн тооцооны авлага</t>
  </si>
  <si>
    <t>Факторингийн тооцоогоор үүссэн авлага /төгрөг/</t>
  </si>
  <si>
    <t>Иргэдийн</t>
  </si>
  <si>
    <t>Факторингийн тооцоогоор үүссэн авлага /гадаад валют/</t>
  </si>
  <si>
    <t>Чанаргүй факторингийн тооцооны авлага</t>
  </si>
  <si>
    <t>Хугацаа хэтэрсэн зээлийн хүүгийн орлого</t>
  </si>
  <si>
    <t>Хэвийн бус факторингийн тооцооны авлага</t>
  </si>
  <si>
    <t>Эргэлзээтэй факторингийн тооцооны авлага</t>
  </si>
  <si>
    <t>Муу факторингийн тооцооны авлага</t>
  </si>
  <si>
    <t>Үнэт цаасны хүүгийн орлого</t>
  </si>
  <si>
    <t>Факторингийн авлагын эрсдэлийн сан</t>
  </si>
  <si>
    <t xml:space="preserve">ӨМЧЛӨХ БУСАД ҮЛ ХӨДЛӨХ БОЛОН ӨМЧЛӨХ БУСАД ХӨРӨНГӨ </t>
  </si>
  <si>
    <t>Өмчлөх бусад үл хөдлөх хөрөнгө (цэврээр)</t>
  </si>
  <si>
    <t>Хэвийн өмчлөх бусад үл хөдлөх хөрөнгө</t>
  </si>
  <si>
    <t>Бусад хүүгийн орлого</t>
  </si>
  <si>
    <t>Хугацаандаа байгаа санхүүгийн түрээсийн хүүгийн орлого</t>
  </si>
  <si>
    <t>Чанаргүй өмчлөх бусад үл хөдлөх хөрөнгө</t>
  </si>
  <si>
    <t>Хугацаандаа байгаа факторингийн үйлчилгээний хүүгийн орлого</t>
  </si>
  <si>
    <t>Хэвийн бус өмчлөх бусад үл хөдлөх хөрөнгө</t>
  </si>
  <si>
    <t>Хугацаа хэтэрсэн санхүүгийн түрээсийн хүүгийн орлого</t>
  </si>
  <si>
    <t>Эргэлзээтэй өмчлөх бусад үл хөдлөх хөрөнгө</t>
  </si>
  <si>
    <t>Хугацаа хэтэрсэн факторингийн үйлчилгээний хүүгийн орлого</t>
  </si>
  <si>
    <t>Муу өмчлөх бусад үл хөдлөх хөрөнгө</t>
  </si>
  <si>
    <t>Банк дахь харилцах дансны хүүгийн орлого</t>
  </si>
  <si>
    <t>Өмчлөх бусад хөрөнгө</t>
  </si>
  <si>
    <t>Банк дахь хадгаламжийн хүүгийн орлого</t>
  </si>
  <si>
    <t>Хүүгийн орлогын буцаалт</t>
  </si>
  <si>
    <t>Өмчлөх бусад үл хөдлөх хөрөнгийн эрсдэлийн сан</t>
  </si>
  <si>
    <t>Хүүгийн бус орлого</t>
  </si>
  <si>
    <t>БУСАД ХӨРӨНГӨ</t>
  </si>
  <si>
    <t>Арилжааны орлого</t>
  </si>
  <si>
    <t>ХУРИМТЛУУЛЖ ТООЦСОН ХҮҮГИЙН АВЛАГА</t>
  </si>
  <si>
    <t>Гадаад валютын арилжааны орлого</t>
  </si>
  <si>
    <t>Хуримтлуулж тооцсон үнэт цаасны хүүгийн авлага</t>
  </si>
  <si>
    <t>Үнэт цаасны арилжааны орлого</t>
  </si>
  <si>
    <t>Хуримтлуулж тооцсон үнэт цаасны хүүгийн авлага /төгрөг/</t>
  </si>
  <si>
    <t>Ханш болон үнэлгээний тэгшитгэлийн орлого</t>
  </si>
  <si>
    <t>Хуримтлуулж тооцсон үнэт цаасны хүүгийн авлага /гадаад валют/</t>
  </si>
  <si>
    <t>Гадаад валютын ханшийн тэгшитгэлийн орлого</t>
  </si>
  <si>
    <t>Хуримтлуулж тооцсон зээлийн  хүүгийн авлага</t>
  </si>
  <si>
    <t>Үнэт цаасны үнэлгээний тэгшитгэлийн орлого</t>
  </si>
  <si>
    <t>Хуримтлуулж тооцсон зээлийн хүүгийн авлага /төгрөг/</t>
  </si>
  <si>
    <t>Санхүүгийн үйлчилгээний орлого</t>
  </si>
  <si>
    <t>Хуримтлуулж тооцсон зээлийн хүүгийн авлага /гадаад валют/</t>
  </si>
  <si>
    <t>Санхүүгийн түрээсийн орлого</t>
  </si>
  <si>
    <t xml:space="preserve"> Хуримтлуулж тооцсон санхүүгийн түрээсийн хүүгийн авлага</t>
  </si>
  <si>
    <t>Итгэлцлийн үйлчилгээний орлого</t>
  </si>
  <si>
    <t>Хуримтлуулж тооцсон санхүүгийн түрээсийн хүүгийн авлага /төгрөг/</t>
  </si>
  <si>
    <t>Мөнгөн гуйвуулгын орлого</t>
  </si>
  <si>
    <t>Хуримтлуулж тооцсон санхүүгийн түрээсийн хүүгийн авлага /гадаад валют/</t>
  </si>
  <si>
    <t>Картын үйлчилгээний орлого</t>
  </si>
  <si>
    <t>Хуримтлуулж тооцсон факторингийн үйлчилгээний  хүүгийн авлага</t>
  </si>
  <si>
    <t>Санхүүгийн зөвлөгөө, мэдээлэл өгөх үйлчилгээний орлого</t>
  </si>
  <si>
    <t>Хуримтлуулж тооцсон факторингийн үйлчилгээний авлага /төгрөг/</t>
  </si>
  <si>
    <t>Үйлчилгээний хураамж, шимтгэлийн орлого</t>
  </si>
  <si>
    <t>Хуримтлуулж тооцсон факторингийн үйлчилгээний авлага /гадаад валют/</t>
  </si>
  <si>
    <t>Хуримтлуулж тооцсон бусад хүүгийн авлага</t>
  </si>
  <si>
    <t>Үндсэн бус үйл ажиллагааны орлого</t>
  </si>
  <si>
    <t>Хуримтлуулж тооцсон бусад хүүгийн авлага /төгрөг/</t>
  </si>
  <si>
    <t>Алданги</t>
  </si>
  <si>
    <t>Хуримтлуулж тооцсон бусад хүүгийн авлага /гадаад валют/</t>
  </si>
  <si>
    <t>Үндсэн хөрөнгө борлуулсны орлого</t>
  </si>
  <si>
    <t>АВЛАГА (ЦЭВРЭЭР)</t>
  </si>
  <si>
    <t>Ногдол ашгийн орлого</t>
  </si>
  <si>
    <t>Хэвийн авлага</t>
  </si>
  <si>
    <t>Хандив</t>
  </si>
  <si>
    <t>Хэвийн авлага /төгрөг/</t>
  </si>
  <si>
    <t>Тэнцлийн гадуурх тооцооноос хийгдсэн төлөгдөлт</t>
  </si>
  <si>
    <t>Хэвийн авлага /гадаад валют/</t>
  </si>
  <si>
    <t>Ердийн бус орлого</t>
  </si>
  <si>
    <t>Чанаргүй авлага</t>
  </si>
  <si>
    <t>Хэвийн бус авлага</t>
  </si>
  <si>
    <t>Хэвийн бус авлага /төгрөг/</t>
  </si>
  <si>
    <t>Хэвийн бус авлага /гадаад валют/</t>
  </si>
  <si>
    <t>Эргэлзээтэй авлага</t>
  </si>
  <si>
    <t>Эргэлзээтэй авлага /төгрөг/</t>
  </si>
  <si>
    <t>Эргэлзээтэй авлага /гадаад валют/</t>
  </si>
  <si>
    <t>Муу авлага</t>
  </si>
  <si>
    <t>Муу авлага /төгрөг/</t>
  </si>
  <si>
    <t>Муу авлага /гадаад валют/</t>
  </si>
  <si>
    <t>Авлагын эрсдэлийн сан</t>
  </si>
  <si>
    <t>БУСАД АКТИВ</t>
  </si>
  <si>
    <t>Салбар хоорондын тооцооны авлага</t>
  </si>
  <si>
    <t>Урьдчилж төлсөн тооцоо</t>
  </si>
  <si>
    <t>Дараа тайлангийн тооцоо</t>
  </si>
  <si>
    <t>Материал, үнэ бүхий зүйл</t>
  </si>
  <si>
    <t>Валют хөрвүүлэх түр данс</t>
  </si>
  <si>
    <t>Илүүдэл, дутагдал</t>
  </si>
  <si>
    <t>САНХҮҮГИЙН ҮҮСМЭЛ ХЭРЭГСЭЛ /ДЕРИВАТИВ/-ИЙН АВЛАГА</t>
  </si>
  <si>
    <t>Гадаад валютын</t>
  </si>
  <si>
    <t xml:space="preserve">Үнэт цаасны </t>
  </si>
  <si>
    <t>ЭРГЭЛТИЙН БУС ХӨРӨНГӨ</t>
  </si>
  <si>
    <t>ҮНДСЭН БА БИЕТ БУС ХӨРӨНГӨ (ЦЭВРЭЭР)</t>
  </si>
  <si>
    <t>Үндсэн ба биет бус хөрөнгө</t>
  </si>
  <si>
    <t>Барилга байгууламж</t>
  </si>
  <si>
    <t>Техник хэрэгсэл</t>
  </si>
  <si>
    <t>Тавилга эд хогшил</t>
  </si>
  <si>
    <t>Дуусаагүй барилга /үндсэн хөрөнгийн санхүүжилт/</t>
  </si>
  <si>
    <t>Биет бус хөрөнгө</t>
  </si>
  <si>
    <t>Хуримтлагдсан элэгдэл</t>
  </si>
  <si>
    <t>Барилга байгууламжийн хуримтлагдсан элэгдэл</t>
  </si>
  <si>
    <t>Техник хэрэгслийн хуримтлагдсан элэгдэл</t>
  </si>
  <si>
    <t>Тавилга эд хогшлийн хуримтлагдсан элэгдэл</t>
  </si>
  <si>
    <t>ЗАРДАЛ</t>
  </si>
  <si>
    <t>Үндсэн үйл ажиллагааны зардал</t>
  </si>
  <si>
    <t>Хүүгийн зардал</t>
  </si>
  <si>
    <t>Банкны байгууллагаас авсан зээлийн хүүгийн зардал</t>
  </si>
  <si>
    <t>Бусад санхүүгийн байгууллагаас авсан зээлийн хүүгийн зардал</t>
  </si>
  <si>
    <t>Төслийн зээлийн санхүүжилтын хүүгийн зардал</t>
  </si>
  <si>
    <t>Өрийн бичгийн хүүгийн зардал</t>
  </si>
  <si>
    <t>Хүүгийн зардлын буцаалт</t>
  </si>
  <si>
    <t>Хүүгийн бус зардал</t>
  </si>
  <si>
    <t>Эрсдэлийн сангийн зардал</t>
  </si>
  <si>
    <t>Үнэт цаасны эрсдэлийн зардал</t>
  </si>
  <si>
    <t>Зээлийн эрсдэлийн зардал</t>
  </si>
  <si>
    <t>Санхүүгийн түрээсийн эрсдэлийн зардал</t>
  </si>
  <si>
    <t>Факторингийн үйлчилгээний эрсдэлийн зардал</t>
  </si>
  <si>
    <t>Өмчлөх бусад үл хөдлөх хөрөнгийн эрсдэлийн зардал</t>
  </si>
  <si>
    <t>Авлагын эрсдэлийн зардал</t>
  </si>
  <si>
    <t>Арилжаа болон ханшийн тэгшитгэлийн зардал</t>
  </si>
  <si>
    <t>Гадаад валютын арилжааны зардал</t>
  </si>
  <si>
    <t>Үнэт цаасны арилжааны зардал</t>
  </si>
  <si>
    <t>Гадаад валютын ханшийн тэгшитгэлийн зардал</t>
  </si>
  <si>
    <t>Үнэт цаасны үнэлгээний тэгшитгэлийн зардал</t>
  </si>
  <si>
    <t>Боловсон хүчний холбогдолтой зардал</t>
  </si>
  <si>
    <t>Ажилтнуудын цалин</t>
  </si>
  <si>
    <t>Ажилтнуудад олгосон нэмэгдэл цалин, урамшуулал</t>
  </si>
  <si>
    <t>Ажилтнуудад олгосон нөхөн олговор, хөнгөлөлт</t>
  </si>
  <si>
    <t>Ажилтнуудад олгосон тэтгэмж, нийгмийн халамж</t>
  </si>
  <si>
    <t>Гэрээгээр ажиллагсдын ажлын хөлс</t>
  </si>
  <si>
    <t>Нийгмийн даатгал, эрүүл мэндийн даатгалын шимтгэл</t>
  </si>
  <si>
    <t>Албан томилолт</t>
  </si>
  <si>
    <t>Сургалтын зардал</t>
  </si>
  <si>
    <t>Бусад зардал</t>
  </si>
  <si>
    <t>Үнэт цаас болон түүнтэй холбоотой авлагыг барагдуулахтай холбоотой гарсан зардал</t>
  </si>
  <si>
    <t>Зээл болон түүнтэй холбоотой авлагыг барагдуулахтай холбогдон гарсан зардал</t>
  </si>
  <si>
    <t>Санхүүгийн түрээс болон түүнтэй холбоотой авлагыг барагдуулахтай холбоотой гарсан зардал</t>
  </si>
  <si>
    <t>Факторинг болон түүнтэй холбоотой авлагыг барагдуулахтай холбогдон гарсан зардал</t>
  </si>
  <si>
    <t>Итгэлцлийн үйлчилгээ болон түүнтэй холбогдон гарсан зардал</t>
  </si>
  <si>
    <t>Аудитын төлбөр, мэргэжлийн үйлчилгээ</t>
  </si>
  <si>
    <t>Ногдол ашиг</t>
  </si>
  <si>
    <t>Даатгал</t>
  </si>
  <si>
    <t>Түрээс</t>
  </si>
  <si>
    <t>Зохицуулалт үйлчилгээний хураамж</t>
  </si>
  <si>
    <t>Ашиглалтын зардал /цахилгаан, уур, ус, дулаан, цэвэр, бохир ус/</t>
  </si>
  <si>
    <t>Элэгдэл хорогдол</t>
  </si>
  <si>
    <t>Үндсэн хөрөнгийн урсгал засвар, борлуулалтын үйл ажиллагааны зардал</t>
  </si>
  <si>
    <t>Харуул, хамгаалалтын зардал</t>
  </si>
  <si>
    <t>Харилцаа холбоо, интернет</t>
  </si>
  <si>
    <t>Шатахуун болон тээврийн зардал</t>
  </si>
  <si>
    <t>Сэлбэг хэрэгсэл, засвар үйлчилгээ</t>
  </si>
  <si>
    <t>Шимтгэлийн зардал</t>
  </si>
  <si>
    <t>Хөдөлмөр хамгаалал, галын аюулаас хамгаалах зардал</t>
  </si>
  <si>
    <t>Захиалгат хэвлэлийн зардал</t>
  </si>
  <si>
    <t>Автоматжуулалттай холбоотой урсгал зардал</t>
  </si>
  <si>
    <t>Зарлал, суталчилгаа, маркетингийн судалгаа зардал</t>
  </si>
  <si>
    <t>Бичиг хэргийн зардал</t>
  </si>
  <si>
    <t>Ариун цэврийн зардал</t>
  </si>
  <si>
    <t>Үл хөдлөх хөрөнгийн татвар</t>
  </si>
  <si>
    <t>Газар эдэлбэр</t>
  </si>
  <si>
    <t>Харилцагчдын сургалт, судалгааны зардал</t>
  </si>
  <si>
    <t>Хуулийн зөвлөгөө авах, өмгөөллийн үйлчилгээний зардал</t>
  </si>
  <si>
    <t>Үндсэн үйл ажиллагааны бусад зардал</t>
  </si>
  <si>
    <t>Үндсэн бус үйл ажиллагааны зардал</t>
  </si>
  <si>
    <t>Хөрөнгө данснаас хассаны гарз</t>
  </si>
  <si>
    <t>Зочин төлөөлөгчийн зардал</t>
  </si>
  <si>
    <t>Баяр ёслол</t>
  </si>
  <si>
    <t>Торгуулийн зардал</t>
  </si>
  <si>
    <t>Үндсэн бус үйл ажиллагааны бусад зардал</t>
  </si>
  <si>
    <t>Ердийн бус зардал</t>
  </si>
  <si>
    <t>Татварын албан татварын зардал</t>
  </si>
  <si>
    <t>Орлогын албан татварын зардал</t>
  </si>
  <si>
    <t>БАЛАНСЫН ДҮН</t>
  </si>
  <si>
    <t>ТЭНЦЛИЙН ГАДУУРХ ДАНС</t>
  </si>
  <si>
    <t xml:space="preserve">Дансны дугаар </t>
  </si>
  <si>
    <t>Тайлант үеийн ашиг, алдагдал</t>
  </si>
  <si>
    <t>Нийт орлого</t>
  </si>
  <si>
    <t xml:space="preserve">Хүлээж болзошгүй үүрэг </t>
  </si>
  <si>
    <t>Нийт зарлага</t>
  </si>
  <si>
    <t>Батлан даалт</t>
  </si>
  <si>
    <t>Зээлийн шугам</t>
  </si>
  <si>
    <t xml:space="preserve">Үнэ бүхий зүйл </t>
  </si>
  <si>
    <t>АЛБАН</t>
  </si>
  <si>
    <t>ХАНШ</t>
  </si>
  <si>
    <t>Зээлийн барьцаа хөрөнгө</t>
  </si>
  <si>
    <t>USD</t>
  </si>
  <si>
    <t>Хадгалсан үнэ бүхий зүйл</t>
  </si>
  <si>
    <t>EUR</t>
  </si>
  <si>
    <t>Борлуулсан үнэт цаас</t>
  </si>
  <si>
    <t>JPY</t>
  </si>
  <si>
    <t>Үнэт цаас, чекийн загвар</t>
  </si>
  <si>
    <t>CHF</t>
  </si>
  <si>
    <t>Хэрэглэж буй тэмдгүүд</t>
  </si>
  <si>
    <t>GBP</t>
  </si>
  <si>
    <t>Цахим карт</t>
  </si>
  <si>
    <t>CNY</t>
  </si>
  <si>
    <t>Нарийн бүртгэлтэй маягтууд</t>
  </si>
  <si>
    <t>RUB</t>
  </si>
  <si>
    <t>KRW</t>
  </si>
  <si>
    <t>Зээл болон бусад хөрөнгийн тооцоо</t>
  </si>
  <si>
    <t>Үнэт цаасны эрсдэлийн сангаас хаасан авлага</t>
  </si>
  <si>
    <t>Зээлийн эрсдэлийн сангаас хаасан зээл</t>
  </si>
  <si>
    <t>Факторингийн эрсдэлийн сангаас хаасан авлага</t>
  </si>
  <si>
    <t>Өмчлөх бусад үл хөдлөх хөрөнгийн хасагдуулгаар хассан хөрөнгө</t>
  </si>
  <si>
    <t>Авлагын эрсдэлийн сангаас хаасан авлага</t>
  </si>
  <si>
    <t>Хуримтлуулж тооцохыг зогсоосон үнэт цаасны хүү</t>
  </si>
  <si>
    <t>Хуримтлуулж тооцохыг зогсоосон зээлийн хүү</t>
  </si>
  <si>
    <t>Хуримтлуулж тооцохыг зогсоосон факторингийн хүү</t>
  </si>
  <si>
    <t>Орон байшингийн схемийн зураг төсөв</t>
  </si>
  <si>
    <t>ТАЙЛАНГ ҮНЭН ЗӨВ ГАРГАСАН:</t>
  </si>
  <si>
    <t>ХУРААНГУЙ ТАЙЛАН ТЭНЦЭЛ</t>
  </si>
  <si>
    <t>(мянган төгрөгөөр)</t>
  </si>
  <si>
    <t>ХӨРӨНГӨ</t>
  </si>
  <si>
    <t>Нийт хөрөнгөд эзлэх хувь</t>
  </si>
  <si>
    <t>ӨР ТӨЛБӨР БА ӨӨРИЙН ХӨРӨНГӨ</t>
  </si>
  <si>
    <t>1.ЭРГЭЛТИЙН ХӨРӨНГӨ</t>
  </si>
  <si>
    <t>1. ӨР ТӨЛБӨР</t>
  </si>
  <si>
    <t>Банкинд байршуулсан харилцах</t>
  </si>
  <si>
    <t>Итгэлцлийн үйлчилгээний өглөг /төгрөгөөр/</t>
  </si>
  <si>
    <t>Банкинд байршуулсан хадгаламж</t>
  </si>
  <si>
    <t>Итгэлцлийн үйлчилгээний өглөг /валютаар/</t>
  </si>
  <si>
    <t>Санхүүгийн байгууллагад байршуулсан харилцах</t>
  </si>
  <si>
    <t>ДОТООД, ГАДААДЫН БАНК, САНХҮҮГИЙН БАЙГУУЛЛАГАД ТӨЛӨХ ӨГЛӨГ</t>
  </si>
  <si>
    <t>Санхүүгийн байгууллагад байршуулсан хадгаламж</t>
  </si>
  <si>
    <t>Богино хугацаат зээл /1 жил хүртэлх/</t>
  </si>
  <si>
    <t>БОГИНО ХУГАЦААТ ХӨРӨНГӨ ОРУУЛАЛТ (ЦЭВРЭЭР)</t>
  </si>
  <si>
    <t xml:space="preserve">Дотоодын банк, санхүүгийн байгууллагаас авсан зээл </t>
  </si>
  <si>
    <t xml:space="preserve">               Зээл /төгрөгөөр/</t>
  </si>
  <si>
    <t xml:space="preserve">                Засгийн газрын </t>
  </si>
  <si>
    <t xml:space="preserve">               Зээл /валютаар/</t>
  </si>
  <si>
    <t xml:space="preserve">                Төв банкны </t>
  </si>
  <si>
    <t xml:space="preserve">                Хувьцаа</t>
  </si>
  <si>
    <t>Дотоодын банк, санхүүгийн байгууллагаас авсан зээлийн хугацаа хэтрэлт</t>
  </si>
  <si>
    <t xml:space="preserve">                Өрийн бичиг </t>
  </si>
  <si>
    <t xml:space="preserve">                Бусад </t>
  </si>
  <si>
    <t>Гадаадын банк, санхүүгийн байгууллагаас авсан зээлийн хугацаа хэтрэлт</t>
  </si>
  <si>
    <t xml:space="preserve"> Урт хугацаат  зээл /1 жилээс дээш/</t>
  </si>
  <si>
    <t xml:space="preserve">                Төв банкны</t>
  </si>
  <si>
    <t>Гадаадын банк, санхүүгийн байгууллагаас авсан зээл /валютаар/</t>
  </si>
  <si>
    <t>(Хөрөнгө оруулалтын үнэт цаасны эрсдлиийн сан)</t>
  </si>
  <si>
    <t xml:space="preserve">Нийт зээл </t>
  </si>
  <si>
    <t>Нийт зээл (төгрөгийн)</t>
  </si>
  <si>
    <t>Хэвийн</t>
  </si>
  <si>
    <t>Чанаргүй:</t>
  </si>
  <si>
    <t xml:space="preserve">Төлбөр тооцооны үйлчилгээний өглөг </t>
  </si>
  <si>
    <t xml:space="preserve">Хэвийн бус </t>
  </si>
  <si>
    <t>Эргэлзээтэй</t>
  </si>
  <si>
    <t>Гадаад валютын арилжааны эх үүсвэр</t>
  </si>
  <si>
    <t xml:space="preserve">Муу </t>
  </si>
  <si>
    <t>Нийт зээл (валютын)</t>
  </si>
  <si>
    <t>Өрийн бичиг /төгрөгөөр/</t>
  </si>
  <si>
    <t>Өрийн бичиг /валютаар/</t>
  </si>
  <si>
    <t>Богино хугацаат /1 жил хүртэлх/</t>
  </si>
  <si>
    <t>Хэвийн бус</t>
  </si>
  <si>
    <t>Засгийн газрын</t>
  </si>
  <si>
    <t xml:space="preserve">Эргэлзээтэй </t>
  </si>
  <si>
    <t xml:space="preserve">                төгрөгөөр</t>
  </si>
  <si>
    <t xml:space="preserve">                валютаар</t>
  </si>
  <si>
    <t>(Зээлийн эрсдлийн сан)</t>
  </si>
  <si>
    <t>Гадаадын</t>
  </si>
  <si>
    <t>Нийт санхүүгийн түрээсийн тооцооны авлага</t>
  </si>
  <si>
    <t>Нийт санхүүгийн түрээсийн тооцооны авлага (төгрөгийн)</t>
  </si>
  <si>
    <t>Дотоодын</t>
  </si>
  <si>
    <t>Урт хугацаат /1 жилээс дээш/</t>
  </si>
  <si>
    <t>Нийт санхүүгийн түрээсийн тооцооны авлага (валютын)</t>
  </si>
  <si>
    <t xml:space="preserve">        (Санхүүгийн түрээсийн эрсдлийн сан)</t>
  </si>
  <si>
    <t>ФАКТОРИНГИЙН ТООЦООНЫ АВЛГА (ЦЭВРЭЭР)</t>
  </si>
  <si>
    <t>Нийт факторингийн тооцооны авлага</t>
  </si>
  <si>
    <t>Нийт факторингийн тооцооны авлага (төгрөгийн)</t>
  </si>
  <si>
    <t xml:space="preserve">Чанаргүй </t>
  </si>
  <si>
    <t>Зээлийн</t>
  </si>
  <si>
    <t>Нийт факторингийн тооцооны авлага (валютын)</t>
  </si>
  <si>
    <t>(Факторингийн авлагын эрсдлийн сан)</t>
  </si>
  <si>
    <t>САНХҮҮГИЙН ҮҮСМЭЛ ХЭРЭГСЭЛ (ДЕРИВАТИВ)-ИЙН ӨГЛӨГ</t>
  </si>
  <si>
    <t>ӨМЧЛӨХ БУСАД ҮЛ ХӨДЛӨХ БОЛОН ӨМЧЛӨХ БУСАД ХӨРӨНГӨ (ЦЭВРЭЭР)</t>
  </si>
  <si>
    <t>2. ЭЗДИЙН ӨМЧ</t>
  </si>
  <si>
    <t>Өмчлөх бусад үл хөдлөх хөрөнгө</t>
  </si>
  <si>
    <t xml:space="preserve"> (ӨБҮХХ-ийн болзошгүй эрсдлийн сан)</t>
  </si>
  <si>
    <t>Халааасны хувьцаа</t>
  </si>
  <si>
    <t>Хуримтлуулж тооцсон хүүгийн авлага</t>
  </si>
  <si>
    <t>Санхүүгийн түрээсийн</t>
  </si>
  <si>
    <t xml:space="preserve">Хандивын капитал </t>
  </si>
  <si>
    <t>Факторингийн</t>
  </si>
  <si>
    <t>Авлага /цэврээр/</t>
  </si>
  <si>
    <t>Нийт авлага</t>
  </si>
  <si>
    <t>ХУРИМТЛАГДСАН АШИГ/АЛДАГДАЛ</t>
  </si>
  <si>
    <t>Нийт авлага (төгрөгийн)</t>
  </si>
  <si>
    <t>Тухайн үеийн ашиг/алдагдал</t>
  </si>
  <si>
    <t>Хуримтлагдсан ашиг/алдагдал</t>
  </si>
  <si>
    <t>Нийт авлага (валютын)</t>
  </si>
  <si>
    <t xml:space="preserve">Чанаргүй: </t>
  </si>
  <si>
    <t>(Авлагын эрсдлийн сан)</t>
  </si>
  <si>
    <t xml:space="preserve">     Бусад актив</t>
  </si>
  <si>
    <t>САНХҮҮГИЙН ҮҮСМЭЛ ХЭРЭГСЭЛ (ДЕРИВАТИВ)-ИЙН АВЛАГА</t>
  </si>
  <si>
    <t>2. ЭРГЭЛТИЙН БУС ХӨРӨНГӨ</t>
  </si>
  <si>
    <t>ҮНДСЭН (БИЕТ) БА БИЕТ БУС ХӨРӨНГӨ (ЦЭВРЭЭР)</t>
  </si>
  <si>
    <t>Үндсэн /биет/ ба биет бус хөрөнгө</t>
  </si>
  <si>
    <t>(Хуримтлагдсан элэгдэл)</t>
  </si>
  <si>
    <t>НИЙТ ХӨРӨНГИЙН ДҮН</t>
  </si>
  <si>
    <t xml:space="preserve">НИЙТ ӨР ТӨЛБӨР БА ЭЗДИЙН ӨМЧ </t>
  </si>
  <si>
    <t>ОРЛОГО ҮР ДҮНГИЙН ТАЙЛАН</t>
  </si>
  <si>
    <t>ҮЗҮҮЛЭЛТҮҮД</t>
  </si>
  <si>
    <t>Хувь</t>
  </si>
  <si>
    <t xml:space="preserve">ХҮҮГИЙН ОРЛОГО </t>
  </si>
  <si>
    <t xml:space="preserve">     Хугацаандаа байгаа зээлийн хүүгийн орлого </t>
  </si>
  <si>
    <t>1.1.1</t>
  </si>
  <si>
    <t>1.1.2</t>
  </si>
  <si>
    <t>1.1.3</t>
  </si>
  <si>
    <t>1.1.4</t>
  </si>
  <si>
    <t>1.1.5</t>
  </si>
  <si>
    <t>Гадаадын оршин суугч.</t>
  </si>
  <si>
    <t>1.1.6</t>
  </si>
  <si>
    <t>1.1.7</t>
  </si>
  <si>
    <t xml:space="preserve">     Хугацаа хэтэрсэн зээлийн хүүгийн орлого  </t>
  </si>
  <si>
    <t>1.2.1</t>
  </si>
  <si>
    <t>1.2.2</t>
  </si>
  <si>
    <t>1.2.3</t>
  </si>
  <si>
    <t>1.2.4</t>
  </si>
  <si>
    <t>1.2.5</t>
  </si>
  <si>
    <t>1.2.6</t>
  </si>
  <si>
    <t>1.2.7</t>
  </si>
  <si>
    <t xml:space="preserve">     Үнэт цаасны хүүгийн орлого </t>
  </si>
  <si>
    <t>1.3.1</t>
  </si>
  <si>
    <t>1.3.2</t>
  </si>
  <si>
    <t>1.3.3</t>
  </si>
  <si>
    <t>1.3.4</t>
  </si>
  <si>
    <t>1.3.5</t>
  </si>
  <si>
    <t xml:space="preserve">     Бусад хүүгийн орлого </t>
  </si>
  <si>
    <t>1.4.1</t>
  </si>
  <si>
    <t>1.4.2</t>
  </si>
  <si>
    <t xml:space="preserve">Хугацаандаа байгаа факторингийн үйлчилгээний хүүгийн орлого </t>
  </si>
  <si>
    <t>1.4.3</t>
  </si>
  <si>
    <t>1.4.4</t>
  </si>
  <si>
    <t xml:space="preserve">Хугацаа хэтэрсэн факторингийн үйлчилгээний хүүгийн орлого </t>
  </si>
  <si>
    <t>1.4.5</t>
  </si>
  <si>
    <t>Банкин дахь харилцах дансны хүүгийн орлого</t>
  </si>
  <si>
    <t>1.4.6</t>
  </si>
  <si>
    <t>Банкин дахь хадгаламжийн хүүгийн орлого</t>
  </si>
  <si>
    <t>1.4.7</t>
  </si>
  <si>
    <t>Хүүгийн орлогын буцаалт /сөрөг утгатай/</t>
  </si>
  <si>
    <t xml:space="preserve">ХҮҮГИЙН ЗАРДАЛ </t>
  </si>
  <si>
    <t xml:space="preserve">Банкны байгууллагаас авсан зээлийн хүүгийн зардал </t>
  </si>
  <si>
    <t xml:space="preserve">Бусад санхүүгийн байгууллагаас авсан зээлийн хүүгийн зардал </t>
  </si>
  <si>
    <t>Хүүгийн зардлын буцаалт /сөрөг утгатай/</t>
  </si>
  <si>
    <t>III</t>
  </si>
  <si>
    <t xml:space="preserve">ЦЭВЭР ХҮҮГИЙН ОРЛОГО  </t>
  </si>
  <si>
    <t>IV</t>
  </si>
  <si>
    <t xml:space="preserve">ХҮҮГИЙН БУС ОРЛОГО  </t>
  </si>
  <si>
    <t xml:space="preserve">     Арилжааны орлого </t>
  </si>
  <si>
    <t>4.1.1</t>
  </si>
  <si>
    <t>4.1.2</t>
  </si>
  <si>
    <t xml:space="preserve">Үнэт цаасны арилжааны орлого </t>
  </si>
  <si>
    <t xml:space="preserve">     Ханш болон үнэлгээний тэгшигтгэлийн орлого </t>
  </si>
  <si>
    <t>4.2.1</t>
  </si>
  <si>
    <t>4.2.2</t>
  </si>
  <si>
    <t xml:space="preserve">     Санхүүгийн үйлчилгээний орлого </t>
  </si>
  <si>
    <t>4.3.1</t>
  </si>
  <si>
    <t>4.3.2</t>
  </si>
  <si>
    <t>4.3.3</t>
  </si>
  <si>
    <t>4.3.4</t>
  </si>
  <si>
    <t>4.3.5</t>
  </si>
  <si>
    <t>4.3.6</t>
  </si>
  <si>
    <t>4.3.7</t>
  </si>
  <si>
    <t>V</t>
  </si>
  <si>
    <t xml:space="preserve">ХҮҮГИЙН БУС ЗАРДАЛ </t>
  </si>
  <si>
    <t xml:space="preserve">Арилжаа болон ханшийн тэгшитгэлийн зардал </t>
  </si>
  <si>
    <t>5.1.1</t>
  </si>
  <si>
    <t>5.1.2</t>
  </si>
  <si>
    <t>5.1.3</t>
  </si>
  <si>
    <t xml:space="preserve">Гадаад валютын ханшийн тэгшитгэлийн зардал </t>
  </si>
  <si>
    <t>5.1.4</t>
  </si>
  <si>
    <t xml:space="preserve">     Боловсон хүчний холбогдолтой зардал </t>
  </si>
  <si>
    <t>5.2.1</t>
  </si>
  <si>
    <t>5.2.2</t>
  </si>
  <si>
    <t>5.2.3</t>
  </si>
  <si>
    <t>5.2.4</t>
  </si>
  <si>
    <t>5.2.5</t>
  </si>
  <si>
    <t>5.2.6</t>
  </si>
  <si>
    <t>5.2.7</t>
  </si>
  <si>
    <t xml:space="preserve">Албан томилолт </t>
  </si>
  <si>
    <t>5.2.8</t>
  </si>
  <si>
    <t>5.2.9</t>
  </si>
  <si>
    <t xml:space="preserve">     Бусад зардал </t>
  </si>
  <si>
    <t>5.3.1</t>
  </si>
  <si>
    <t>5.3.2</t>
  </si>
  <si>
    <t>Зээл болон  түүнтэй холбоотой авлагыг барагдуулахтай холбогдон гарсан зардал</t>
  </si>
  <si>
    <t>5.3.3</t>
  </si>
  <si>
    <t>5.3.4</t>
  </si>
  <si>
    <t>5.3.5</t>
  </si>
  <si>
    <t>5.3.6</t>
  </si>
  <si>
    <t>5.3.7</t>
  </si>
  <si>
    <t>5.3.8</t>
  </si>
  <si>
    <t>5.3.9</t>
  </si>
  <si>
    <t>5.3.10</t>
  </si>
  <si>
    <t>Зохицуулалтын үйлчилгээний хураамж</t>
  </si>
  <si>
    <t>5.3.11</t>
  </si>
  <si>
    <t>Ашиглалтын зардал /цахилгаан, уур ус, дулаан, цэвэр, бохир ус/</t>
  </si>
  <si>
    <t>5.3.12</t>
  </si>
  <si>
    <t>Элэгдэл, хорогдол</t>
  </si>
  <si>
    <t>5.3.13</t>
  </si>
  <si>
    <t>Үндсэн хөрөнгийн урсгал засвар, борлуултын үйл ажиллагааны зардал</t>
  </si>
  <si>
    <t>5.3.14</t>
  </si>
  <si>
    <t>5.3.15</t>
  </si>
  <si>
    <t>5.3.16</t>
  </si>
  <si>
    <t>5.3.17</t>
  </si>
  <si>
    <t>5.3.18</t>
  </si>
  <si>
    <t>5.3.19</t>
  </si>
  <si>
    <t>5.3.20</t>
  </si>
  <si>
    <t>5.3.21</t>
  </si>
  <si>
    <t>5.3.22</t>
  </si>
  <si>
    <t>Зарлал, сурталчилгаа, маркетингийн судалгааны</t>
  </si>
  <si>
    <t>5.3.23</t>
  </si>
  <si>
    <t>5.3.24</t>
  </si>
  <si>
    <t>5.3.25</t>
  </si>
  <si>
    <t>5.3.26</t>
  </si>
  <si>
    <t>5.3.27</t>
  </si>
  <si>
    <t xml:space="preserve">Харилцагчдын сургалт, судалгааны </t>
  </si>
  <si>
    <t>5.3.28</t>
  </si>
  <si>
    <t>5.3.29</t>
  </si>
  <si>
    <t>VI</t>
  </si>
  <si>
    <t xml:space="preserve">ЦЭВЭР ХҮҮГИЙН БУС ОРЛОГО/ЗАРДЛЫН ДҮН </t>
  </si>
  <si>
    <t>VII</t>
  </si>
  <si>
    <t xml:space="preserve">ЭРСДЭЛИЙН САН БАЙГУУЛАХААС ӨМНӨХ ҮЙЛ АЖИЛЛАГААНЫ      АШИГ/АЛДАГДАЛ </t>
  </si>
  <si>
    <t>VIII</t>
  </si>
  <si>
    <t xml:space="preserve">БОЛЗОШГҮЙ ЭРСДЭЛИЙН ЗАРДАЛ </t>
  </si>
  <si>
    <t>Санхүүгийн түрээсийн эрсдлийн зардал</t>
  </si>
  <si>
    <t>IX</t>
  </si>
  <si>
    <t xml:space="preserve">ҮНДСЭН ҮЙЛ АЖИЛЛАГААНЫ АШИГ/АЛДАГДАЛ </t>
  </si>
  <si>
    <t>X</t>
  </si>
  <si>
    <t xml:space="preserve">ҮНДСЭН БУС ҮЙЛ АЖИЛЛАГААНЫ ОРЛОГО </t>
  </si>
  <si>
    <t>XI</t>
  </si>
  <si>
    <t xml:space="preserve">ҮНДСЭН БУС ҮЙЛ АЖИЛЛАГААНЫ ЗАРДАЛ </t>
  </si>
  <si>
    <t>XII</t>
  </si>
  <si>
    <t xml:space="preserve">ЕРДИЙН ҮЙЛ АЖИЛЛАГААНЫ АШИГ/АЛДАГДАЛ </t>
  </si>
  <si>
    <t>XIII</t>
  </si>
  <si>
    <t xml:space="preserve">ТАТВАР ТӨЛӨХИЙН ӨМНӨХ АШИГ/АЛДАГДАЛ  </t>
  </si>
  <si>
    <t>XIV</t>
  </si>
  <si>
    <t>ЦЭВЭР АШИГ /АЛДАГДАЛ</t>
  </si>
  <si>
    <t>НИЙТ ОРЛОГО:</t>
  </si>
  <si>
    <t>НИЙТ ЗАРЛАГА:</t>
  </si>
  <si>
    <t>ЦЭВЭР ОРЛОГО</t>
  </si>
  <si>
    <t>ӨӨРИЙН ХӨРӨНГӨ, НИЙТ ЭРСДЭЛЭЭР ЖИГНЭСЭН АКТИВЫН ЗОХИСТОЙ ХАРЬЦААНЫ ТАЙЛАН</t>
  </si>
  <si>
    <t>НИЙТ ДҮН</t>
  </si>
  <si>
    <t>А</t>
  </si>
  <si>
    <t>ӨӨРИЙН  ХӨРӨНГӨ /AI+AII/</t>
  </si>
  <si>
    <t xml:space="preserve">I. I зэрэглэлийн өөрийн хөрөнгө </t>
  </si>
  <si>
    <t xml:space="preserve">Энгийн хувьцаа   </t>
  </si>
  <si>
    <t>Энгийн хувьцаанаас нэмэгдэж төлөгдсөн капитал</t>
  </si>
  <si>
    <t xml:space="preserve">Нөөцийн сан </t>
  </si>
  <si>
    <t>Тохируулга*</t>
  </si>
  <si>
    <t>Дүн /тохируулга/</t>
  </si>
  <si>
    <t>II .II зэрэглэлийн өөрийн хөрөнгө /11+12+13+14/</t>
  </si>
  <si>
    <t xml:space="preserve">Хоёрдогч өглөг    </t>
  </si>
  <si>
    <t xml:space="preserve"> Б</t>
  </si>
  <si>
    <t>ЭРСДЛЭЭР ЖИГНЭСЭН АКТИВЫН ДҮН /БI+БII+А10/</t>
  </si>
  <si>
    <t>Эрсдэлийн түвшин</t>
  </si>
  <si>
    <t>Ня-бо тайлан тэнцлийн нийт актив</t>
  </si>
  <si>
    <t>Эрсдэлээр жигнэсэн</t>
  </si>
  <si>
    <t xml:space="preserve">  I . Активын дүн </t>
  </si>
  <si>
    <t>Касс дахь бэлэн мөнгө</t>
  </si>
  <si>
    <t>Замд яваа мөнгө</t>
  </si>
  <si>
    <t>Тоолж шалгаагүй бэлэн мөнгө</t>
  </si>
  <si>
    <t>Дотоодын банк, санхүүгийн байгууллага дахь харилцах, хадгаламж</t>
  </si>
  <si>
    <t>Гадаадын банк, санхүүгийн байгууллага дахь харилцах, хадгаламж</t>
  </si>
  <si>
    <t>Засгийн газрын үнэт цаас /цэврээр/</t>
  </si>
  <si>
    <t>Төв банкны үнэт цаас /цэврээр/</t>
  </si>
  <si>
    <t>Бусад үнэт цаас /цэврээр/</t>
  </si>
  <si>
    <t>Зээлийн өрийн үлдэгдэл /цэврээр/</t>
  </si>
  <si>
    <t xml:space="preserve">Санхүүгийн түрээсийн авлага  /цэврээр/ </t>
  </si>
  <si>
    <t xml:space="preserve">Факторингийн тооцооны авлага  /цэврээр/  </t>
  </si>
  <si>
    <t xml:space="preserve">Өмчлөх бусад үндсэн хөрөнгө  /цэврээр/ </t>
  </si>
  <si>
    <t xml:space="preserve">Үндсэн ба биет бус хөрөнгө  /цэврээр/ </t>
  </si>
  <si>
    <t xml:space="preserve">Бусад актив  /цэврээр/ </t>
  </si>
  <si>
    <t>II.Тэнцлийн гадуурх дансны дүн</t>
  </si>
  <si>
    <t>Хүлээж болзошгүй үүргүүд /төлбөрийн баталгаа, зээлийн шугам/</t>
  </si>
  <si>
    <t>Гадаад валютын эрсдэлийн үзүүлэлт</t>
  </si>
  <si>
    <t>Сүүлийн гурван жилийн эерэг ашгийн дундаж</t>
  </si>
  <si>
    <t>В</t>
  </si>
  <si>
    <t xml:space="preserve">НЭГДҮГЭЭР ЗЭРЭГЛЭЛИЙН ӨӨРИЙН ХӨРӨНГӨ, ЭРСДЛЭЭР ЖИГНЭСЭН НИЙТ АКТИВЫН ХАРЬЦАА </t>
  </si>
  <si>
    <t>10%-аас доошгүй</t>
  </si>
  <si>
    <t>Харьцаа тайлангаар</t>
  </si>
  <si>
    <t>Харьцааны биелэгдээгүй хувь</t>
  </si>
  <si>
    <t>Г</t>
  </si>
  <si>
    <t xml:space="preserve">ӨӨРИЙН ХӨРӨНГӨ, ЭРСДЛЭЭР ЖИГНЭСЭН НИЙТ АКТИВЫН ХАРЬЦАА </t>
  </si>
  <si>
    <t>20%-аас доошгүй</t>
  </si>
  <si>
    <t>Д</t>
  </si>
  <si>
    <t xml:space="preserve">НЭГДҮГЭЭР ЗЭРЭГЛЭЛИЙН ӨӨРИЙН ХӨРӨНГӨ, НИЙТ АКТИВЫН ХАРЬЦАА </t>
  </si>
  <si>
    <t>ТӨЛБӨР ТҮРГЭН ГҮЙЦЭТГЭХ ЧАДВАРЫН ТАЙЛАН</t>
  </si>
  <si>
    <t>ТӨГРӨГ</t>
  </si>
  <si>
    <t>ГАДААД ВАЛЮТ</t>
  </si>
  <si>
    <t>А. ТҮРГЭН БОРЛОГДОХ АКТИВ</t>
  </si>
  <si>
    <t>Банк, санхүүгийн байгууллагад байршуулсан харилцах</t>
  </si>
  <si>
    <t>Банк, санхүүгийн байгууллагад байршуулсан хадгаламж</t>
  </si>
  <si>
    <t>Б. БУСДААС ТАТАН ТӨВЛӨРҮҮЛСЭН ХӨРӨНГӨ</t>
  </si>
  <si>
    <t>Банк, санхүүгийн байгууллагаас авсан зээл</t>
  </si>
  <si>
    <t>Төслийн зээлийн санхүүжилтээр авсан зээл</t>
  </si>
  <si>
    <t>Зээлийн батлан даалтад байршуулсан эх үүсвэр</t>
  </si>
  <si>
    <t>Гадаад валют арилжааны эх үүсвэр</t>
  </si>
  <si>
    <t>Бусад эх үүсвэр</t>
  </si>
  <si>
    <t>Бусад пассив</t>
  </si>
  <si>
    <t>В. ТӨЛБӨР ТҮРГЭН ГҮЙЦЭТГЭХ ЧАДВАРЫН ХАРЬЦАА (8%-аас дээш)</t>
  </si>
  <si>
    <t>ГАДААД ВАЛЮТЫН ЭРСДЭЛИЙН ТАЙЛАН</t>
  </si>
  <si>
    <t>ВАЛЮТЫН ТӨРӨЛ</t>
  </si>
  <si>
    <t>Ам.доллар</t>
  </si>
  <si>
    <t>Төгрөг</t>
  </si>
  <si>
    <t>А. АКТИВ</t>
  </si>
  <si>
    <t xml:space="preserve">Бэлэн валют  </t>
  </si>
  <si>
    <t xml:space="preserve"> Банк, санхүүгийн байгуулага дахь гадаад валютын харилцах, хадгаламжийн данс  </t>
  </si>
  <si>
    <t xml:space="preserve"> Валютаар олгосон зээлийн өрийн үлдэгдэл  </t>
  </si>
  <si>
    <t xml:space="preserve"> Санхүүгийн түрээс /валютаар/  </t>
  </si>
  <si>
    <t xml:space="preserve"> Факторингийн авлага /валютаар/  </t>
  </si>
  <si>
    <t xml:space="preserve"> Бусад </t>
  </si>
  <si>
    <t>Б. ПАССИВ</t>
  </si>
  <si>
    <t xml:space="preserve">Итгэлцлийн үйлчилгээний өглөг  </t>
  </si>
  <si>
    <t xml:space="preserve"> Банк, санхүүгийн байгууллагаас авсан зээл  </t>
  </si>
  <si>
    <t>Төслийн зээлийн санхүүжилт</t>
  </si>
  <si>
    <t xml:space="preserve"> Бусад гадаад эх үүсвэр  </t>
  </si>
  <si>
    <t xml:space="preserve"> Бусад өр төлбөр </t>
  </si>
  <si>
    <t>В. ТЭНЦЛИЙН ГАДУУРХ ДАНСДЫН ҮЛДЭГДЭЛ</t>
  </si>
  <si>
    <t>Төлбөрийн  баталгаанууд</t>
  </si>
  <si>
    <t>Бусад хүлээж болзошгүй үүргүүд</t>
  </si>
  <si>
    <t>Г. ВАЛЮТЫН ДАНСНЫ ЦЭВЭР ЗӨРҮҮ</t>
  </si>
  <si>
    <t>I.   Тэнцлийн дансуудаар  (А-Б)</t>
  </si>
  <si>
    <t>II. Тэнцлийн гадуурх дансуудаар (В)</t>
  </si>
  <si>
    <t>Д. ӨӨРИЙН ХӨРӨНГӨ   (тухайн валютаар)</t>
  </si>
  <si>
    <t>Е. ВАЛЮТЫН ДАНСНЫ ЦЭВЭР ЗӨРҮҮ/ӨХ</t>
  </si>
  <si>
    <t>Байвал зохих хувь</t>
  </si>
  <si>
    <t xml:space="preserve"> +/-40%</t>
  </si>
  <si>
    <t>Монголбанкны албан ханш</t>
  </si>
  <si>
    <t>АКТИВЫН ЭРСДЭЛИЙН САНГИЙН ХҮРЭЛЦЭЭ, ХАНГАМЖИЙН СУДАЛГААНЫ ТАЙЛАН</t>
  </si>
  <si>
    <t>Хөрөнгийн ангилал</t>
  </si>
  <si>
    <t>Үлдэгдэл</t>
  </si>
  <si>
    <t>Эрсдлийн сангийн хувь</t>
  </si>
  <si>
    <t>Байгуулбал   зохих сан</t>
  </si>
  <si>
    <t>Байгуулсан сан</t>
  </si>
  <si>
    <t>А.</t>
  </si>
  <si>
    <t>Нийт зээл</t>
  </si>
  <si>
    <t>Хэвийн зээл</t>
  </si>
  <si>
    <t>Чанаргүй зээл:</t>
  </si>
  <si>
    <t xml:space="preserve">              а/ Хэвийн бус</t>
  </si>
  <si>
    <t xml:space="preserve">              б/ Эргэлзээтэй</t>
  </si>
  <si>
    <t xml:space="preserve">              в/ Муу</t>
  </si>
  <si>
    <t>Б.</t>
  </si>
  <si>
    <t>Нийт санхүүгийн түрээс</t>
  </si>
  <si>
    <t>Хэвийн санхүүгийн түрээс</t>
  </si>
  <si>
    <t>Чанаргүй санхүүгийн түрээс:</t>
  </si>
  <si>
    <t>В.</t>
  </si>
  <si>
    <t>Нийт факторинг</t>
  </si>
  <si>
    <t>Хэвийн факторинг</t>
  </si>
  <si>
    <t>Чанаргүй факторинг:</t>
  </si>
  <si>
    <t>Г.</t>
  </si>
  <si>
    <t>Чанаргүй авлага:</t>
  </si>
  <si>
    <t>Д.</t>
  </si>
  <si>
    <t>Үнэт цаас</t>
  </si>
  <si>
    <t>Е.</t>
  </si>
  <si>
    <t>Нийт ӨБҮХХ</t>
  </si>
  <si>
    <t>Хэвийн ӨБҮХХ</t>
  </si>
  <si>
    <t>Чанаргүй ӨБҮХХ. Үүнээс:</t>
  </si>
  <si>
    <t>Ё.</t>
  </si>
  <si>
    <t>Хүлээж болзошгүй үүргүүд /төлбөрийн баталгаа/</t>
  </si>
  <si>
    <t xml:space="preserve">         НИЙТ   </t>
  </si>
  <si>
    <t>ХӨРӨНГӨ, ЭХ ҮҮСВЭРИЙН ЭРГЭН ТӨЛӨГДӨХ ХУГАЦААНЫ ТАЙЛАН</t>
  </si>
  <si>
    <t>Хөрөнгө</t>
  </si>
  <si>
    <t>Хугацаагүй</t>
  </si>
  <si>
    <t>1 сар хүртэл</t>
  </si>
  <si>
    <t>1-3 сар</t>
  </si>
  <si>
    <t>3-6 сар</t>
  </si>
  <si>
    <t>6-12 сар</t>
  </si>
  <si>
    <t>1-3 жил</t>
  </si>
  <si>
    <t xml:space="preserve">3-5 жил </t>
  </si>
  <si>
    <t>5 жилээс дээш</t>
  </si>
  <si>
    <t>Нийт</t>
  </si>
  <si>
    <t>Хөрөнгө оруулалт</t>
  </si>
  <si>
    <t xml:space="preserve">Факторинг </t>
  </si>
  <si>
    <t>Авлага</t>
  </si>
  <si>
    <t>Бусад актив</t>
  </si>
  <si>
    <t>НИЙТ САНХҮҮГИЙН ХӨРӨНГӨ</t>
  </si>
  <si>
    <t>Өр төлбөр</t>
  </si>
  <si>
    <t>ББСБ-аас гаргасан өрийн бичиг</t>
  </si>
  <si>
    <t>Хоёрдогч өглөг</t>
  </si>
  <si>
    <t>НИЙТ САНХҮҮГИЙН ӨР ТӨЛБӨР</t>
  </si>
  <si>
    <t>Цэвэр зөрүү</t>
  </si>
  <si>
    <t>Цэвэр зөрүү (өссөн дүнгээр)</t>
  </si>
  <si>
    <t>Хөрөнгө, өр төлбөрийн зөрүүг нийт хөрөнгөд харьцуулсан харьцаа</t>
  </si>
  <si>
    <t>ББСБ-ЫН 40 ТОМ ЗЭЭЛДЭГЧИД ОЛГОСОН ЗЭЭЛ, ЗЭЭЛТЭЙ АДИЛТГАН ТООЦОХ БУСАД АКТИВ /САНХҮҮГИЙН ТҮРЭЭС, ФАКТОРИНГ/ ХӨРӨНГИЙН ТАЙЛАН</t>
  </si>
  <si>
    <t>№</t>
  </si>
  <si>
    <t>Зориулалт</t>
  </si>
  <si>
    <t>Олгосон огноо</t>
  </si>
  <si>
    <t>Төлөгдөх огноо</t>
  </si>
  <si>
    <t>Хугацаа сунгасан төлөгдөх огноо</t>
  </si>
  <si>
    <t>Барьцаа хөрөнгийн төрөл</t>
  </si>
  <si>
    <t>Барьцаа хөрөнгийн үнэлгээ</t>
  </si>
  <si>
    <t>Зээл, зээлтэй адилтган тооцох бусад хөрөнгө /актив/-ийн эцсийн үлдэгдэл</t>
  </si>
  <si>
    <t>Төгрөгийн зээл валютын зээлийн аль нь болох</t>
  </si>
  <si>
    <t>Хөрөнгө /актив/-ийн ангилал</t>
  </si>
  <si>
    <t>Өөрийн хөрөнгөд эзлэх хувь</t>
  </si>
  <si>
    <t>НИЙТ</t>
  </si>
  <si>
    <t>Хамгийн том зээлдэгч</t>
  </si>
  <si>
    <t>Барилга</t>
  </si>
  <si>
    <t>Уул уурхай</t>
  </si>
  <si>
    <t>Хугацаа хэтэрсэн</t>
  </si>
  <si>
    <t>Үйлдвэрлэл</t>
  </si>
  <si>
    <t>Үйлчилгээ</t>
  </si>
  <si>
    <t>Газар тариалан</t>
  </si>
  <si>
    <t>Муу</t>
  </si>
  <si>
    <t>Мал аж ахуй</t>
  </si>
  <si>
    <t>Орон сууц</t>
  </si>
  <si>
    <t>Цалин</t>
  </si>
  <si>
    <t>Тээврийн хэрэгсэл</t>
  </si>
  <si>
    <t>Өрхийн</t>
  </si>
  <si>
    <t>Сургалтын төлбөр</t>
  </si>
  <si>
    <t>Валют</t>
  </si>
  <si>
    <t>Хөдөө аж ахуй, ойн аж ахуй, загас барилт, ан агнуур</t>
  </si>
  <si>
    <t>Уул уурхай, олборлолт</t>
  </si>
  <si>
    <t>Боловсруулах үйлдвэрлэл</t>
  </si>
  <si>
    <t>Цахилгаан, хий, уур, агааржуулалтын хангамж</t>
  </si>
  <si>
    <t>Усан хангамж, бохир ус, хог хаягдлын менежмент болон цэвэрлэх үйл ажиллагаа</t>
  </si>
  <si>
    <t>Бөөний болон жижиглэн худалдаа</t>
  </si>
  <si>
    <t>Машин мотоциклийн засвар үйлчилгээ</t>
  </si>
  <si>
    <t>Тээвэр ба агуулахын үйл ажиллагаа</t>
  </si>
  <si>
    <t>Байр сууц болон хоол хүнсээр үйлчлэх үйл ажиллагаа</t>
  </si>
  <si>
    <t>Мэдээлэл холбоо</t>
  </si>
  <si>
    <t>Санхүүгийн болон даатгалын үйл ажиллагаа</t>
  </si>
  <si>
    <t>Үл хөдлөх хөрөнгийн үйл ажиллагаа</t>
  </si>
  <si>
    <t>Мэргэжлийн, шинжлэх ухаан болон техникийн үйл ажиллагаа</t>
  </si>
  <si>
    <t>Захиргааны болон дэмжлэг үзүүлэх үйл ажиллагаа</t>
  </si>
  <si>
    <t>Төрийн удирдлага ба батлан хамгаалах үйл ажиллагаа, албан журмын нийгмийн хамгаалал</t>
  </si>
  <si>
    <t>Боловсрол</t>
  </si>
  <si>
    <t>Хүний эрүүл мэнд, нийгмийн үйл ажиллагаа</t>
  </si>
  <si>
    <r>
      <t xml:space="preserve">                     </t>
    </r>
    <r>
      <rPr>
        <i/>
        <sz val="9"/>
        <color indexed="8"/>
        <rFont val="Times New Roman"/>
        <family val="1"/>
      </rPr>
      <t>Үүнээс:</t>
    </r>
    <r>
      <rPr>
        <sz val="9"/>
        <color indexed="8"/>
        <rFont val="Times New Roman"/>
        <family val="1"/>
      </rPr>
      <t xml:space="preserve"> Хэрэглээ, цалин, тэтгэвэр,  хадгаламж барьцаалсан зээл</t>
    </r>
  </si>
  <si>
    <t>ББСБ-ЫН ХУВЬЦАА ЭЗЭМШИГЧ, ТУЗ, ГҮЙЦЭТГЭХ ЗАХИРАЛ АЖИЛТАНД ОЛГОСОН ЗЭЭЛ, ЗЭЭЛТЭЙ АДИЛТГАН ТООЦОХ БУСАД АКТИВ /САНХҮҮГИЙН ТҮРЭЭС, ФАКТОРИНГ/ ХӨРӨНГИЙН ТАЙЛАН</t>
  </si>
  <si>
    <t>Зээлдэгчийн хамаарал</t>
  </si>
  <si>
    <r>
      <t xml:space="preserve">                     </t>
    </r>
    <r>
      <rPr>
        <sz val="9"/>
        <color indexed="8"/>
        <rFont val="Times New Roman"/>
        <family val="1"/>
      </rPr>
      <t>Үүнээс: Хэрэглээ, цалин, тэтгэвэр,  хадгаламж барьцаалсан зээл</t>
    </r>
  </si>
  <si>
    <t>Хувьцаа эзэмшигч</t>
  </si>
  <si>
    <t>ТУЗ гишүүн</t>
  </si>
  <si>
    <t>Гүйцэтгэх захирал</t>
  </si>
  <si>
    <t>Ажилтан</t>
  </si>
  <si>
    <t>Тэдгээрийн холбогдох этгээд</t>
  </si>
  <si>
    <t>БАНК, САНХҮҮГИЙН БАЙГУУЛЛАГА, ТӨСӨЛ ХӨТӨЛБӨР, БУСАД ЭХ ҮҮСВЭРЭЭС ТАТСАН ЗЭЭЛИЙН ТАЙЛАН</t>
  </si>
  <si>
    <t>Зээлийн эхний үлдэгдэл</t>
  </si>
  <si>
    <t>Авсан огноо</t>
  </si>
  <si>
    <t>Хугацаа сунгасан огноо</t>
  </si>
  <si>
    <t>Зээлийн ангилал</t>
  </si>
  <si>
    <t>Барьцаа хөрөнгө</t>
  </si>
  <si>
    <t>Зээлийн үлдэгдэл</t>
  </si>
  <si>
    <t>Хугацаа хэтэрсэн зээлийн өр</t>
  </si>
  <si>
    <t>Хамгийн том зээлдүүлэгч</t>
  </si>
  <si>
    <t>ЗЭЭЛ ОЛГОЛТ, ЭРГЭН ТӨЛӨЛТ, ЗЭЭЛИЙН ЗОРИУЛАЛТ, ХҮҮГИЙН СУДАЛГААНЫ ТАЙЛАН</t>
  </si>
  <si>
    <t>Зээлийн зориулалт</t>
  </si>
  <si>
    <t>Олгосон зээл</t>
  </si>
  <si>
    <t>Төлөгдсөн зээл</t>
  </si>
  <si>
    <t>Зээлийн эцсийн үлдэгдэл</t>
  </si>
  <si>
    <t>Хүүгийн хязгаар /сараар/</t>
  </si>
  <si>
    <t>Мөнгөн дүн</t>
  </si>
  <si>
    <t xml:space="preserve">тоо </t>
  </si>
  <si>
    <t>Дээд хүү</t>
  </si>
  <si>
    <t>Доод хүү</t>
  </si>
  <si>
    <t xml:space="preserve">1. Иргэнд олгосон зээл </t>
  </si>
  <si>
    <t>1.1 Хөдөө аж ахуй, ойн аж ахуй, загас барилт, ан агнуур</t>
  </si>
  <si>
    <t>1.2 Уул уурхай, олборлолт</t>
  </si>
  <si>
    <t>1.3 Боловсруулах үйлдвэрлэл</t>
  </si>
  <si>
    <t>1.4 Цахилгаан, хий, уур, агааржуулалтын хангамж</t>
  </si>
  <si>
    <t>1.5 Усан хангамж, бохир ус, хог хаягдлын менежмент болон цэвэрлэх үйл ажиллагаа</t>
  </si>
  <si>
    <t>1.6 Барилга</t>
  </si>
  <si>
    <t>1.7 Бөөний болон жижиглэн худалдаа</t>
  </si>
  <si>
    <t>1.8 Машин мотоциклийн засвар үйлчилгээ</t>
  </si>
  <si>
    <t>1.9 Тээвэр ба агуулахын үйл ажиллагаа</t>
  </si>
  <si>
    <t>1.10 Байр сууц болон хоол хүнсээр үйлчлэх үйл ажиллагаа</t>
  </si>
  <si>
    <t>1.11 Мэдээлэл холбоо</t>
  </si>
  <si>
    <t>1.12 Санхүүгийн болон даатгалын үйл ажиллагаа</t>
  </si>
  <si>
    <t>1.13 Үл хөдлөх хөрөнгийн үйл ажиллагаа</t>
  </si>
  <si>
    <t>1.14 Мэргэжлийн, шинжлэх ухаан болон техникийн үйл ажиллагаа</t>
  </si>
  <si>
    <t>1.15 Захиргааны болон дэмжлэг үзүүлэх үйл ажиллагаа</t>
  </si>
  <si>
    <t>1.16 Төрийн удирдлага ба батлан хамгаалах үйл ажиллагаа, албан журмын нийгмийн хамгаалал</t>
  </si>
  <si>
    <t>1.17 Боловсрол</t>
  </si>
  <si>
    <t>1.18 Хүний эрүүл мэнд, нийгмийн үйл ажиллагаа</t>
  </si>
  <si>
    <t>1.19 Бусад</t>
  </si>
  <si>
    <t xml:space="preserve">            Үүнээс: Хэрэглээ, цалин, тэтгэвэр,  хадгаламж барьцаалсан зээл</t>
  </si>
  <si>
    <t xml:space="preserve">2. Хуулийн этгээдэд олгосон зээл </t>
  </si>
  <si>
    <t>2.1 Хөдөө аж ахуй, ойн аж ахуй, загас барилт, ан агнуур</t>
  </si>
  <si>
    <t>2.2 Уул уурхай, олборлолт</t>
  </si>
  <si>
    <t>2.3 Боловсруулах үйлдвэрлэл</t>
  </si>
  <si>
    <t>2.4 Цахилгаан, хий, уур, агааржуулалтын хангамж</t>
  </si>
  <si>
    <t>2.5 Усан хангамж, бохир ус, хог хаягдлын менежмент болон цэвэрлэх үйл ажиллагаа</t>
  </si>
  <si>
    <t>2.6 Барилга</t>
  </si>
  <si>
    <t>2.7 Бөөний болон жижиглэн худалдаа</t>
  </si>
  <si>
    <t>2.8 Машин мотоциклийн засвар үйлчилгээ</t>
  </si>
  <si>
    <t>2.9 Тээвэр ба агуулахын үйл ажиллагаа</t>
  </si>
  <si>
    <t>2.10 Байр сууц болон хоол хүнсээр үйлчлэх үйл ажиллагаа</t>
  </si>
  <si>
    <t>2.11 Мэдээлэл холбоо</t>
  </si>
  <si>
    <t>2.12 Санхүүгийн болон даатгалын үйл ажиллагаа</t>
  </si>
  <si>
    <t>2.13 Үл хөдлөх хөрөнгийн үйл ажиллагаа</t>
  </si>
  <si>
    <t>2.14 Мэргэжлийн, шинжлэх ухаан болон техникийн үйл ажиллагаа</t>
  </si>
  <si>
    <t>2.15 Захиргааны болон дэмжлэг үзүүлэх үйл ажиллагаа</t>
  </si>
  <si>
    <t>2.16 Төрийн удирдлага ба батлан хамгаалах үйл ажиллагаа, албан журмын нийгмийн хамгаалал</t>
  </si>
  <si>
    <t>2.17 Боловсрол</t>
  </si>
  <si>
    <t>2.18 Хүний эрүүл мэнд, нийгмийн үйл ажиллагаа</t>
  </si>
  <si>
    <t>2.19 Бусад</t>
  </si>
  <si>
    <r>
      <t xml:space="preserve">                     </t>
    </r>
    <r>
      <rPr>
        <i/>
        <sz val="9"/>
        <color indexed="8"/>
        <rFont val="Times New Roman"/>
        <family val="1"/>
      </rPr>
      <t>Үүнээс:</t>
    </r>
    <r>
      <rPr>
        <sz val="9"/>
        <color indexed="8"/>
        <rFont val="Times New Roman"/>
        <family val="1"/>
      </rPr>
      <t xml:space="preserve">  Хэрэглээ, цалин, тэтгэвэр,хадгаламж барьцаалсан зээл</t>
    </r>
  </si>
  <si>
    <t>2. Бусад үйл ажиллагаанд Урлаг, үзвэр, тоглоом наадам , үйлчилгээний бусад үйл ажиллагаа, хүн хөлслөн ажиллуулдаг өрхийн үйл ажиллагаа; өрхийн өөрийн хэрэглээнд зориулан үйлдвэрлэсэн, хэмжээг нь тодорхойлох боломжгүй бүтээгдэхүүн, үйлчилгээ , Олон улсын байгууллага, суурин төлөөлөгчийн үйл ажиллагаа зэрэг салбаруудыг оруулна.Түүнчлэн, цалин, хэрэглээ, тэтгэвэр, хадгаламж барьцаалсан, картын зээлийг мөн бусад үйл ажиллагаанд оруулна.</t>
  </si>
  <si>
    <t>3. ЗЖДХ гэдэгт  тайлант улиралд олгосон зээлийн жигнэсэн дундаж хүүг ойлгоно.</t>
  </si>
  <si>
    <t>ИПОТЕКИЙН ЗЭЭЛИЙН ТАЙЛАН</t>
  </si>
  <si>
    <t>Эх үүсвэрийн төрөл</t>
  </si>
  <si>
    <t>A</t>
  </si>
  <si>
    <t>Төгрөгөөр олсон</t>
  </si>
  <si>
    <t>Валютаар олгосон</t>
  </si>
  <si>
    <t>Өөрийн эх үүсвэрээр</t>
  </si>
  <si>
    <t>Орон сууцны ипотекийн санхүүжилт (8±1%)</t>
  </si>
  <si>
    <t>Ипотекийн зээлийн дахин санхүүжилт</t>
  </si>
  <si>
    <t>ОССК-ийн санхүүжилт</t>
  </si>
  <si>
    <t>АХБ-ны санхүүжилт</t>
  </si>
  <si>
    <t>......... эх үүсвэрээр</t>
  </si>
  <si>
    <t>Эх үүсвэрийн код</t>
  </si>
  <si>
    <t>Б</t>
  </si>
  <si>
    <t xml:space="preserve"> </t>
  </si>
  <si>
    <t>Тайлант сард ипотекийн зээл хүссэн өргөдөл</t>
  </si>
  <si>
    <t>Өргөдлийн тоо</t>
  </si>
  <si>
    <t>Өргөдлөөр хүссэн зээлийн нийт дүн</t>
  </si>
  <si>
    <t>Ипотекийн зээлийн хэмжээ</t>
  </si>
  <si>
    <t>Сарын эхний үлдэгдэл</t>
  </si>
  <si>
    <t>Тайлант сард</t>
  </si>
  <si>
    <t>Шинээр олгосон зээл</t>
  </si>
  <si>
    <t>Хугацаанаас өмнө төлөгдсөн зээл</t>
  </si>
  <si>
    <t>Тайлангаас хасагдах гүйлгээ</t>
  </si>
  <si>
    <t>Дебет</t>
  </si>
  <si>
    <t>Кредит</t>
  </si>
  <si>
    <t>Сарын эцсийн үлдэгдэл /9=3+4+5+7-8/</t>
  </si>
  <si>
    <t>Зээлдэгчийн тоо</t>
  </si>
  <si>
    <t>Тайлант сард шинээр нэмэгдсэн</t>
  </si>
  <si>
    <t>Тайлан сарын эцэст</t>
  </si>
  <si>
    <t>Зээлийн хугацаа /сараар/</t>
  </si>
  <si>
    <t>Дээд</t>
  </si>
  <si>
    <t>Доод</t>
  </si>
  <si>
    <t>Жигнэсэн дундаж</t>
  </si>
  <si>
    <t>Тайлант сард шинээр олгосон</t>
  </si>
  <si>
    <t>Тайлант сарын эцэс дэх</t>
  </si>
  <si>
    <t>Тайлант сард олгосон зээлийн жилийн хүү /хувиар/</t>
  </si>
  <si>
    <t>Ипотекийн зээлийн барьцаа хөрөнгийн үнэлгээ</t>
  </si>
  <si>
    <t>Тайлант сард шинээр олгосон зээлийн</t>
  </si>
  <si>
    <t>Тайлант сарын эцэс дэх зээлийн</t>
  </si>
  <si>
    <t>Тайлант сард энэ ангилалд шилжсэн зээл</t>
  </si>
  <si>
    <t>Сарын эцсийн үлдэгдэл</t>
  </si>
  <si>
    <t>Үүнд:</t>
  </si>
  <si>
    <t>Mуу</t>
  </si>
  <si>
    <t>Барьцаа хөрөнгө нь банкны эзэмшилд шилжсэн хөрөнгийн дүн</t>
  </si>
  <si>
    <t>Тайлант сард шинээр шилжсэн</t>
  </si>
  <si>
    <t>Тайлант сарын эцсийн үлдэгдэл</t>
  </si>
  <si>
    <t>ҮНЭТ ЦААСНЫ ТӨВЛӨРЛИЙН ТАЙЛАН</t>
  </si>
  <si>
    <t>Нэр төрөл</t>
  </si>
  <si>
    <t>Худалдан авсан дүн</t>
  </si>
  <si>
    <t>Худалдан авсан огноо</t>
  </si>
  <si>
    <t>Зарсан огноо</t>
  </si>
  <si>
    <t>Тайлант үеийн үлдэгдэл</t>
  </si>
  <si>
    <t>Тухайн компанийн гаргасан хувьцааны нийт дүн</t>
  </si>
  <si>
    <t>Тухайн компанийн гаргасан хувьцааны 20%</t>
  </si>
  <si>
    <t>Хамгийн их эзэмшилийн дүн</t>
  </si>
  <si>
    <t>ӨРИЙН БИЧГИЙН  ТАЙЛАН</t>
  </si>
  <si>
    <t>Өрийн бичгийн өглөгийн дүн</t>
  </si>
  <si>
    <t>Гаргасан огноо</t>
  </si>
  <si>
    <t>Өрийн бичигт эзлэх хувь</t>
  </si>
  <si>
    <t>Хамгийн их</t>
  </si>
  <si>
    <t>ИТГЭЛЦЛИЙН ҮЙЛЧИЛГЭЭНИЙ ТӨВЛӨРЛИЙН ТАЙЛАН</t>
  </si>
  <si>
    <t>Өглөгийн дүн</t>
  </si>
  <si>
    <t>Хугацаа /жилээр/</t>
  </si>
  <si>
    <t>Эхэлсэн огноо</t>
  </si>
  <si>
    <t>ТЭНЦЛИЙН ГАДУУР БҮРТГЭЛТЭЙ ХҮЛЭЭЖ БОЛЗОШГҮЙ ҮҮРЭГ, ТӨЛБӨРИЙН БАТАЛГААНЫ СУДАЛГААНЫ ТАЙЛАН</t>
  </si>
  <si>
    <t>ААН-ын нэр</t>
  </si>
  <si>
    <t>Регистрийн дугаар</t>
  </si>
  <si>
    <t>Улсын бүртгэлийн дугаар</t>
  </si>
  <si>
    <t>Баталгааны зориулалт</t>
  </si>
  <si>
    <t>ААНБ захирлын нэр</t>
  </si>
  <si>
    <t>ББСБ-тай ямар холбоотой болох*</t>
  </si>
  <si>
    <t>Хугацаа</t>
  </si>
  <si>
    <t>Дүн</t>
  </si>
  <si>
    <t>Гаргасан</t>
  </si>
  <si>
    <t>Төлөгдөх</t>
  </si>
  <si>
    <t>Сунгасан</t>
  </si>
  <si>
    <t>ЦАХИМ ТӨЛБӨР ТООЦОО, МӨНГӨН ГУЙВУУЛГЫН ҮЙЛЧИЛГЭЭНИЙ ТАЙЛАН</t>
  </si>
  <si>
    <t xml:space="preserve">Валютын төрөл </t>
  </si>
  <si>
    <t>Цахим төлбөр тооцоо, мөнгөн гуйвуулгын үйлчилгээ /тайлант үеэр/</t>
  </si>
  <si>
    <t>Шилжүүлсэн</t>
  </si>
  <si>
    <t>Хүлээн авч олгосон</t>
  </si>
  <si>
    <t xml:space="preserve">Валютын дүн </t>
  </si>
  <si>
    <t>Гүйлгээний тоо</t>
  </si>
  <si>
    <t>Төгрөгт хөрвүүлсэн дүн</t>
  </si>
  <si>
    <t xml:space="preserve">EUR </t>
  </si>
  <si>
    <t xml:space="preserve">JPY </t>
  </si>
  <si>
    <t xml:space="preserve">RUB </t>
  </si>
  <si>
    <t>Бусад валют</t>
  </si>
  <si>
    <t>ЗОХИСТОЙ ХАРЬЦААНЫ ШАЛГУУР ҮЗҮҮЛЭЛТ</t>
  </si>
  <si>
    <t>ЗОХИСТОЙ ҮЗҮҮЛЭЛТ</t>
  </si>
  <si>
    <t>БАЙВАЛ ЗОХИХ</t>
  </si>
  <si>
    <t>ТАЙЛАНГААР</t>
  </si>
  <si>
    <t>ХАНГАСАН ЭСЭХ</t>
  </si>
  <si>
    <t>ӨӨРИЙН ХӨРӨНГИЙН ХҮРЭЛЦЭЭНИЙ ҮЗҮҮЛЭЛТ</t>
  </si>
  <si>
    <t xml:space="preserve">НЭГДҮГЭЭР ЗЭРЭГЛЭЛИЙН ӨӨРИЙН ХӨРӨНГӨ, ЭРСДЭЛЭЭР ЖИГНЭСЭН НИЙТ АКТИВЫН ХАРЬЦАА </t>
  </si>
  <si>
    <t xml:space="preserve">ӨӨРИЙН ХӨРӨНГӨ, ЭРСДЭЛЭЭР ЖИГНЭСЭН НИЙТ АКТИВЫН ХАРЬЦАА </t>
  </si>
  <si>
    <t>ТӨЛБӨР ТҮРГЭН ГҮЙЦЭТГЭХ ЧАДВАРЫН ХАРЬЦАА</t>
  </si>
  <si>
    <t>8%-аас дээш</t>
  </si>
  <si>
    <t>АКТИВ ХӨРӨНГИЙН ТӨВЛӨРЛИЙН ҮЗҮҮЛЭЛТ</t>
  </si>
  <si>
    <t>ХӨРӨНГӨ /АКТИВ/-ИЙН ЭРСДЭЛИЙН САНГИЙН ХҮРЭЛЦЭЭ (+илүү,- дутуу )</t>
  </si>
  <si>
    <t>НЭГ ЗЭЭЛДЭГЧ БОЛОН ХОЛБОГДОХ ЭТГЭЭДЭД ОЛГОСОН ЗЭЭЛ, ЗЭЭЛТЭЙ АДИЛТГАН ТООЦОХ БУСАД АКТИВ ХӨРӨНГӨ, ТӨЛБӨРИЙН БАТАЛГААНЫ ЗОХИСТОЙ ХАРЬЦАА</t>
  </si>
  <si>
    <t>30%-аас хэтрэхгүй</t>
  </si>
  <si>
    <t>ББСБ-ЫН ХУВЬЦАА ЭЗЭМШИГЧ, ТУЗ, ГҮЙЦЭТГЭХ ЗАХИРАЛ АЖИЛТАН, ХОЛБОГДОХ НЭГ ЭТГЭЭДЭД ОЛГОСОН ЗЭЭЛ, ЗЭЭЛТЭЙ АДИЛТГАН ТООЦОХ БУСАД АКТИВ ХӨРӨНГӨ, ТӨЛБӨРИЙН БАТАЛГААНЫ ЗОХИСТОЙ ХАРЬЦАА</t>
  </si>
  <si>
    <t>10%-аас хэтрэхгүй</t>
  </si>
  <si>
    <t>25%-аас хэтрэхгүй</t>
  </si>
  <si>
    <t>ҮНЭТ ЦААСНЫ ЭЗЭМШИЛ ӨӨРИЙН ХӨРӨНГИЙН ЗОХИСТОЙ ХАРЬЦАА</t>
  </si>
  <si>
    <t>50%-аас хэтрэхгүй</t>
  </si>
  <si>
    <t>КОМПАНИЙН ХУВЬЦАА, ӨӨРИЙН ХӨРӨНГИЙН ЗОХИСТОЙ ХАРЬЦАА</t>
  </si>
  <si>
    <t>20%-аас хэтрэхгүй</t>
  </si>
  <si>
    <t>КОМПАНИЙН ӨРИЙН БИЧИГ ӨӨРИЙН ХӨРӨНГИЙН ЗОХИСТОЙ ХАРЬЦАА</t>
  </si>
  <si>
    <t>ББСБ-ААС ГАРГАСАН ТӨЛБӨРИЙН БАТАЛГААНЫ ЗОХИСТОЙ ХАРЬЦАА</t>
  </si>
  <si>
    <t>70%-аас хэтрэхгүй</t>
  </si>
  <si>
    <t>ГАДААД ВАЛЮТЫН ХАНШИЙН ЭРСДЭЛ</t>
  </si>
  <si>
    <t>ГАДААД АКТИВ, ПАССИВЫН ЗӨРҮҮ ӨӨРИЙН ХӨРӨНГИЙН ЗОХИСТОЙ ХАРЬЦАА</t>
  </si>
  <si>
    <t>(+/-40%)</t>
  </si>
  <si>
    <t>ИТГЭЛЦЛИЙН ҮЙЛЧИЛГЭЭНИЙ ӨГЛӨГ ӨӨРИЙН ХӨРӨНГИЙН ЗОХИСТОЙ ХАРЬЦАА</t>
  </si>
  <si>
    <t>80%-аас хэтрэхгүй</t>
  </si>
  <si>
    <t>ҮНДСЭН ХӨРӨНГИЙН ҮЗҮҮЛЭЛТ</t>
  </si>
  <si>
    <t>ҮНДСЭН ХӨРӨНГИЙН ЗОХИСТОЙ ХАРЬЦАА</t>
  </si>
  <si>
    <t>15%-аас хэтрэхгүй</t>
  </si>
  <si>
    <t>ӨРИЙН БИЧГИЙН ЗОХИСТОЙ ХАРЬЦАА</t>
  </si>
  <si>
    <t>Ж.</t>
  </si>
  <si>
    <t>ӨГӨӨЖ</t>
  </si>
  <si>
    <t>ХӨРӨНГӨ /АКТИВ/-ИЙН ӨГӨӨЖ</t>
  </si>
  <si>
    <t>ӨӨРИЙН ХӨРӨНГИЙН ӨГӨӨЖ</t>
  </si>
  <si>
    <t>Илүү (+)
Дутуу (-)</t>
  </si>
  <si>
    <t>Зээлдэгчийн</t>
  </si>
  <si>
    <t>Нэр</t>
  </si>
  <si>
    <t>Регистр</t>
  </si>
  <si>
    <t>Ажил эрхлэлт</t>
  </si>
  <si>
    <t>Зээлийн хүү /сараар/</t>
  </si>
  <si>
    <t>Сарын орлогын хэмжээ</t>
  </si>
  <si>
    <t>Өр, орлогын хэмжээ</t>
  </si>
  <si>
    <t>Эзэмшигчийн</t>
  </si>
  <si>
    <t>ББСБ-ЫН ХУВЬЦАА ЭЗЭМШИГЧ, ТУЗ, ГҮЙЦЭТГЭХ ЗАХИРАЛ АЖИЛТАН ХОЛБОГДОХ ЭТГЭЭДЭД ОЛГОСОН ЗЭЭЛ, ЗЭЭЛТЭЙ АДИЛТГАН ТООЦОХ БУСАД АКТИВ ХӨРӨНГӨ, ТӨЛБӨРИЙН БАТАЛГААНЫ НИЙЛБЭР ДҮНГИЙН ЗОХИСТОЙ ХАРЬЦАА</t>
  </si>
  <si>
    <t>Итгэмжлэгчийн</t>
  </si>
  <si>
    <t>Өгөөж /жилээр/</t>
  </si>
  <si>
    <t>Чанаргүй</t>
  </si>
  <si>
    <t>ЗЖДХ /сараар/</t>
  </si>
  <si>
    <t>Хүү /сараар/</t>
  </si>
  <si>
    <t>Хугацаа /сараар/</t>
  </si>
  <si>
    <t>БУСАД ҮНЭТ ЦААС, ҮНЭТ ЦААСНЫ ЭЗЭМШЛИЙН ЗОХИСТОЙ ХАРЬЦАА</t>
  </si>
  <si>
    <t>БУСДААС ТАТАН ТӨВЛӨРҮҮЛСЭН ХӨРӨНГИЙН ҮЗҮҮЛЭЛТҮҮД</t>
  </si>
  <si>
    <t xml:space="preserve">            Бизнесийн зээл</t>
  </si>
  <si>
    <t xml:space="preserve">            Автомашины зээл</t>
  </si>
  <si>
    <t xml:space="preserve">            Үл хөдлөх эд хөрөнгийн зээл</t>
  </si>
  <si>
    <t xml:space="preserve">            Бусад зээл</t>
  </si>
  <si>
    <t>XXXXX</t>
  </si>
  <si>
    <t xml:space="preserve">Иргэнд олгосон зээл </t>
  </si>
  <si>
    <t xml:space="preserve">Хуулийн этгээдэд олгосон зээл </t>
  </si>
  <si>
    <t>1.Зээлийг эдийн засгийн үйл ажиллагааны салбараар ангилахад Сангийн сайд, Үндэсний статистикийн хорооны дарга нарын хамтарсан 2018 оны 12-р сарын 31-ний өдрийн 319/A/16 тоот тушаалаар баталсан “Эдийн засгийн бүх төрлийн үйл ажиллагааны салбарын ангилал”-ыг баримтална.</t>
  </si>
  <si>
    <t xml:space="preserve">              Эрэгтэй</t>
  </si>
  <si>
    <t>Автомашин</t>
  </si>
  <si>
    <t>Барьцаагүй</t>
  </si>
  <si>
    <t>БАНК БУС САНХҮҮГИЙН БАЙГУУЛЛАГЫН НЭР</t>
  </si>
  <si>
    <t>Аж ахуйн нэгжийн ажилтан</t>
  </si>
  <si>
    <t>Малчин</t>
  </si>
  <si>
    <t>Бусад үл хөдлөх хөрөнгө</t>
  </si>
  <si>
    <t>Оюутан</t>
  </si>
  <si>
    <t>Бусад хөдлөх хөрөнгө</t>
  </si>
  <si>
    <t>Төрийн албан хаагч</t>
  </si>
  <si>
    <t>Мөнгөн хадгаламж</t>
  </si>
  <si>
    <t>Тэтгэвэрт</t>
  </si>
  <si>
    <t>Хувиараа хөдөлмөр эрхлэгч</t>
  </si>
  <si>
    <t xml:space="preserve">Үнэт эдлэл барьцаалсан </t>
  </si>
  <si>
    <t>Хуулийн этгээд</t>
  </si>
  <si>
    <t>МОНГОЛЫН ХӨРӨНГИЙН БИРЖИЙН "I", "II" АНГИЛАЛЫН НЭГ КОМПАНИЙН ГАРГАСАН ХУВЬЦААНААС ХУДАЛДАЖ АВАХ ЗОХИСТОЙ ХАРЬЦАА</t>
  </si>
  <si>
    <t>ГҮЙЦЭТГЭХ ЗАХИРАЛ.................................................................//</t>
  </si>
  <si>
    <t>ЕРӨНХИЙ НЯГТЛАН БОДОГЧ....................................................//</t>
  </si>
  <si>
    <t>Валютаар олгосон зээлийн ханшийн зөрүү /олз (+), гарз (-)/</t>
  </si>
  <si>
    <t>4. XXXXX нүдийг бөглөхгүй.</t>
  </si>
  <si>
    <t>Өглөгийн эцсийн үлдэгдэл</t>
  </si>
  <si>
    <t>Сарын нийт зээлийн төлбөрийн хэмжээ</t>
  </si>
  <si>
    <t>1 сар хүртэлх хугацаатай олгосон зээл</t>
  </si>
  <si>
    <t>1-3 сарын хугацаатай олгосон зээл</t>
  </si>
  <si>
    <t>3-6 сарын хугацаатай олгосон зээл</t>
  </si>
  <si>
    <t>6-12 сарын хугацаатай олгосон зээл</t>
  </si>
  <si>
    <t>1-2.5 жилийн хугацаатай олгосон зээл</t>
  </si>
  <si>
    <t>2.6-5 жилийн хугацаатай олгосон зээл</t>
  </si>
  <si>
    <t>5-аас дээш жилийн хугацаатай олгосон зээл</t>
  </si>
  <si>
    <t xml:space="preserve">            Хэрэглээнд зориулсан зээл</t>
  </si>
  <si>
    <t xml:space="preserve"> Жишээ: (=20+200 ) эсвэл ( =A1+A2) бичилт оруулахыг хориглоно.</t>
  </si>
  <si>
    <t>3. Нүдэнд (cell) аливаа бодолт хийж болохгүй зөвхөн гараас анхны утга оруулахыг анхаарна уу.</t>
  </si>
  <si>
    <t>1. Мастер файлыг нэрлэхдээ NBFI-ын араас үсэг тавихгүй. XXXXXXX-ын оронд зөвхөн регистрын дугаар оруулна уу.</t>
  </si>
  <si>
    <t>2. Огноо: СС/ӨӨ/OOOO жишээ: 12/31/2019 (гагцхүү ташуу зураасаар тусгаарлана)</t>
  </si>
  <si>
    <t>Тайлан оруулсан ажилтны гар утасны дугаар:</t>
  </si>
  <si>
    <t>20 сая төгрөгөөс дээш бэлэн мөнгөний гүйлгээний тоо</t>
  </si>
  <si>
    <t>Сэжигтэй гүйлгээний тоо</t>
  </si>
  <si>
    <t>20 сая төгрөгөөс дээш бэлэн мөнгөний гүйлгээний дүн /төгрөгөөр/</t>
  </si>
  <si>
    <t>Сэжигтэй гүйлгээний дүн /төгрөгөөр/</t>
  </si>
  <si>
    <t>Гадаад валютаар илэрхийлэгдэх актив хөрөнгөгүй, гадаад валютаар бусдаас санхүүгийн эх үүсвэр татан төвлөрүүлээгүй банк бус санхүүгийн байгууллагад хамаарахгүй.</t>
  </si>
  <si>
    <r>
      <t xml:space="preserve">Гадаад валютаар илэрхийлэгдэх актив хөрөнгөтэй, гадаад валютаар бусдаас санхүүгийн эх үүсвэр татан төвлөрүүлсэн ББСБ-ууд </t>
    </r>
    <r>
      <rPr>
        <sz val="10"/>
        <color indexed="10"/>
        <rFont val="Times New Roman"/>
        <family val="1"/>
      </rPr>
      <t xml:space="preserve">валют бүрээр салгаж </t>
    </r>
    <r>
      <rPr>
        <sz val="10"/>
        <color indexed="8"/>
        <rFont val="Times New Roman"/>
        <family val="1"/>
      </rPr>
      <t>бичнэ үү.</t>
    </r>
  </si>
  <si>
    <t>МАСТЕР ФАЙЛД УТГА ОРУУЛАХДАА АНХААРАХ ЗҮЙЛС: /БҮХ ТАЙЛАНД ХАМААРНА/</t>
  </si>
  <si>
    <t>1.Зээлийг эдийн засгийн үйл ажиллагааны салбараар ангилахад Сангийн сайд, Үндэсний статистикийн хорооны дарга нарын хамтарсан 2018 оны 12-р сарын 31-ний өдрийн 319/A/16 тоот тушаалаар баталсан “Эдийн засгийн бүх төрлийн үйл ажиллагааны салбарын ангилал”-ыг баримтална.
Бусад үйл ажиллагаанд Урлаг, үзвэр, тоглоом наадам , үйлчилгээний бусад үйл ажиллагаа, хүн хөлслөн ажиллуулдаг өрхийн үйл ажиллагаа; өрхийн өөрийн хэрэглээнд зориулан үйлдвэрлэсэн, хэмжээг нь тодорхойлох боломжгүй бүтээгдэхүүн, үйлчилгээ , Олон улсын байгууллага, суурин төлөөлөгчийн үйл ажиллагаа зэрэг салбаруудыг оруулна.Түүнчлэн, цалин, хэрэглээ, тэтгэвэр, хадгаламж барьцаалсан, картын зээлийг мөн бусад үйл ажиллагаанд оруулна.</t>
  </si>
  <si>
    <r>
      <t>2. Нүдэнд (cell) аливаа бодолт хийж болохгүй. /</t>
    </r>
    <r>
      <rPr>
        <sz val="9"/>
        <color indexed="10"/>
        <rFont val="Times New Roman"/>
        <family val="1"/>
      </rPr>
      <t>(=20+200 ) эсвэл ( =A1+A2) бичилт оруулахыг хориглоно</t>
    </r>
    <r>
      <rPr>
        <sz val="9"/>
        <color indexed="8"/>
        <rFont val="Times New Roman"/>
        <family val="1"/>
      </rPr>
      <t>/, оруулах тоон утгын нарийвчлал нь зуу (0.99)-ны нарийвчлалаас хэтрэхгүй /</t>
    </r>
    <r>
      <rPr>
        <sz val="9"/>
        <color indexed="10"/>
        <rFont val="Times New Roman"/>
        <family val="1"/>
      </rPr>
      <t>зөв 200,265.23 | буруу 200,236.256</t>
    </r>
    <r>
      <rPr>
        <sz val="9"/>
        <color indexed="8"/>
        <rFont val="Times New Roman"/>
        <family val="1"/>
      </rPr>
      <t>/ байхыг анхаарна уу.</t>
    </r>
  </si>
  <si>
    <t>Нийт хөрөнгө болон өр төлбөрийг хугацааны ангилалаар шивнэ үү</t>
  </si>
  <si>
    <r>
      <t>Нүдэнд (cell) аливаа бодолт хийж болохгүй. /</t>
    </r>
    <r>
      <rPr>
        <sz val="10"/>
        <color indexed="10"/>
        <rFont val="Times New Roman"/>
        <family val="1"/>
      </rPr>
      <t>(=20+200 ) эсвэл ( =A1+A2) бичилт оруулахыг хориглоно</t>
    </r>
    <r>
      <rPr>
        <sz val="10"/>
        <color indexed="8"/>
        <rFont val="Times New Roman"/>
        <family val="1"/>
      </rPr>
      <t>/, оруулах тоон утгын нарийвчлал нь зуу (0.99)-ны нарийвчлалаас хэтрэхгүй /</t>
    </r>
    <r>
      <rPr>
        <sz val="10"/>
        <color indexed="10"/>
        <rFont val="Times New Roman"/>
        <family val="1"/>
      </rPr>
      <t>зөв 200,265.23 | буруу 200,236.256</t>
    </r>
    <r>
      <rPr>
        <sz val="10"/>
        <color indexed="8"/>
        <rFont val="Times New Roman"/>
        <family val="1"/>
      </rPr>
      <t>/ байхыг анхаарна уу.</t>
    </r>
  </si>
  <si>
    <t>-Статистик мэдээлэл /STATISTIC/</t>
  </si>
  <si>
    <t>-Гүйлгээ үлдэгдлийн тайлан /BALANCE/ </t>
  </si>
  <si>
    <t>-Гадаад валютын эрсдэлийн тайлан /FOREX/</t>
  </si>
  <si>
    <t xml:space="preserve">-Хөрөнгө эх үүсвэрийн эргэн төлөгдөх хугацааны тайлан /ALM/ </t>
  </si>
  <si>
    <t>Хаалттай өрийн бичиг гаргасан бол:</t>
  </si>
  <si>
    <t>-Өрийн бичгийн  тайлан /BOND/</t>
  </si>
  <si>
    <t>Бусдаас эх үүсвэр татсан бол:</t>
  </si>
  <si>
    <t>- Банк, санхүүгийн байгууллага, төсөл хөтөлбөр, бусад эх үүсвэрээс татсан зээлийн тайлан /SOURCE/</t>
  </si>
  <si>
    <t>Зээлийн үйл ажиллагааны тусгай зөвшөөрөлтэй бол:</t>
  </si>
  <si>
    <t>-ББСБ-ын 40 том зээлдэгчид олгосон зээл, зээлтэй адилтган тооцох бусад актив /санхүүгийн түрээс, факторинг/ хөрөнгийн тайлан /ТОР40/</t>
  </si>
  <si>
    <t>-ББСБ-ын хувьцаа эзэмшигч, ТУЗ, гүйцэтгэх захирал ажилтанд олгосон зээл, зээлтэй адилтган тооцох бусад актив /санхүүгийн түрээс, факторинг/ хөрөнгийн тайлан /INSIDER/</t>
  </si>
  <si>
    <t>-Зээл олголт, эргэн төлөлт, зээлийн зориулалт, хүүгийн судалгааны тайлан /PROVIDE/</t>
  </si>
  <si>
    <t>-Ипотекийн зээлийн тайлан /IPOTEC/</t>
  </si>
  <si>
    <t>Гадаад валют арилжааны тусгай зөвшөөрөлтэй бол:</t>
  </si>
  <si>
    <t>Итгэлцлийн үйл ажиллагааны тусгай зөвшөөрөлтэй бол:</t>
  </si>
  <si>
    <t>Цахим төлбөр тооцоо, мөнгөн гуйвуулгын үйлчилгээний тусгай зөвшөөрөлтэй бол:</t>
  </si>
  <si>
    <t>Богино хугацаат санхүүгийн хэрэгсэлд хөрөнгө оруулалт хийх тусгай зөвшөөрөлтэй бол:</t>
  </si>
  <si>
    <r>
      <t>-</t>
    </r>
    <r>
      <rPr>
        <sz val="10"/>
        <color indexed="8"/>
        <rFont val="Times New Roman"/>
        <family val="1"/>
      </rPr>
      <t>Тэнцлийн гадуур бүртгэлтэй хүлээж болзошгүй үүрэг, төлбөрийн баталгааны судалгааны тайлан</t>
    </r>
  </si>
  <si>
    <r>
      <t>-</t>
    </r>
    <r>
      <rPr>
        <sz val="10"/>
        <color indexed="8"/>
        <rFont val="Times New Roman"/>
        <family val="1"/>
      </rPr>
      <t>Итгэлцлийн үйлчилгээний төвлөрлийн тайлан /TRUST/</t>
    </r>
  </si>
  <si>
    <r>
      <t>-</t>
    </r>
    <r>
      <rPr>
        <sz val="10"/>
        <color indexed="8"/>
        <rFont val="Times New Roman"/>
        <family val="1"/>
      </rPr>
      <t>Цахим төлбөр тооцоо, мөнгөн гуйвуулгын үйлчилгээний тайлан /MONEY TRANSFER/</t>
    </r>
  </si>
  <si>
    <t xml:space="preserve">Холбоо барих </t>
  </si>
  <si>
    <t>3. Зээл хугацааны ангиллаар</t>
  </si>
  <si>
    <t>4. Зээл ангиллаар</t>
  </si>
  <si>
    <t>ЗААВАЛ НӨХӨХ ТАЙЛАНГУУД:</t>
  </si>
  <si>
    <t>5. Тайланд сөрөг утгатай дүн оруулахгүй!!!</t>
  </si>
  <si>
    <t>6. Copy, Paste хийхдээ "values" буюу томъёогүй форматаар хуулна уу.</t>
  </si>
  <si>
    <t>7. Зээлдэгчийн насжилт, боловсролын тооноос хуулийн этгээдийн тоог хасаж, үнэн зөв бөглөнө үү.</t>
  </si>
  <si>
    <t>АЛДААТАЙ ТАЙЛАН ИЛГЭЭСЭН ТОХИОЛДОЛД ЗӨРЧЛИЙН ТУХАЙ ХУУЛЬД ЗААСНЫ ДАГУУ АРГА ХЭМЖЭЭ АВАХЫГ АНХААРНА УУ!!!</t>
  </si>
  <si>
    <t>8. ББСБ-ын НББ-ийг хөтлөх үлгэрчилсэн зааврыг энд дарж үзнэ үү.</t>
  </si>
  <si>
    <t xml:space="preserve">            Бизнесийн үйл ажиллагаанд зориулсан зээл</t>
  </si>
  <si>
    <t xml:space="preserve">            Автомашин худалдан авахад зориулсан зээл</t>
  </si>
  <si>
    <t xml:space="preserve">            Үл хөдлөх эд хөрөнгөд худалдан авахад 
            зориулсан зээл</t>
  </si>
  <si>
    <t xml:space="preserve">            Үүнээс: Аппликэйшнээр олгосон зээл</t>
  </si>
  <si>
    <t xml:space="preserve">            НИЙТ</t>
  </si>
  <si>
    <r>
      <t xml:space="preserve">Тайланг мастерфайлаар ирүүлэхдээ цахим шуудангаар буюу mail-ээр илгээлгүй вебээр ирүүлэх товчийг даран тайлан хүлээн авах DCS системд нэвтрэн орж, ачааллах товчийг дарж шивсэн мастерфайлаа сонгон илгээнэ үү. Ингэснээр тайланг алдаагүй зөв илгээсэн эсэхийг шууд харах боломжтой. Хэрэв алдаа гарсан бол төлөв гэсэн баганын доорх </t>
    </r>
    <r>
      <rPr>
        <sz val="10"/>
        <color indexed="10"/>
        <rFont val="Times New Roman"/>
        <family val="1"/>
      </rPr>
      <t>"илгээгдээгүй"</t>
    </r>
    <r>
      <rPr>
        <sz val="10"/>
        <color indexed="8"/>
        <rFont val="Times New Roman"/>
        <family val="1"/>
      </rPr>
      <t xml:space="preserve"> гэсэн хэсэгт дарж тухайн гарсан алдааг дэлгэрэнгүй байдлаар харна уу. </t>
    </r>
  </si>
  <si>
    <t>-Үнэт цаасны төвлөрлийн тайлан /SECURITIES/</t>
  </si>
  <si>
    <t>4. Нүдэнд оруулах тоон утгын нарийвчлал нь зуу (0.99)-ны нарийвчлалаас хэтрэхгүй. Жишээ: зөв 200,265.23 | буруу 200,265.234</t>
  </si>
  <si>
    <t>Овог, нэр</t>
  </si>
  <si>
    <t>Анхаарал хандуулах</t>
  </si>
  <si>
    <t>Сүүлийн 3 жилийн татварын өмнөх эерэг ашгийн дундаж дүн /мянган төгрөгөөр/</t>
  </si>
  <si>
    <t>Анхаарал хандуулах зээл /төгрөг/</t>
  </si>
  <si>
    <t>Анхаарал хандуулах зээл /гадаад валют/</t>
  </si>
  <si>
    <t>Анхаарал хандуулах санхүүгийн түрээсийн тооцооны авлага</t>
  </si>
  <si>
    <t>Анхаарал хандуулах факторингийн тооцооны авлага</t>
  </si>
  <si>
    <t>Анхаарал хандуулах авлага</t>
  </si>
  <si>
    <t>Анхаарал хандуулах өмчлөх бусад үл хөдлөх хөрөнгө</t>
  </si>
  <si>
    <t>Анхаарал хандуулах авлага /төгрөг/</t>
  </si>
  <si>
    <t>Анхаарал хандуулах авлага /гадаад валют/</t>
  </si>
  <si>
    <t>Анхаарал хандуулах зээл</t>
  </si>
  <si>
    <t>Анхаарал хандуулах санхүүгийн түрээс</t>
  </si>
  <si>
    <t>Анхаарал хандуулах факторинг</t>
  </si>
  <si>
    <t>Анхаарал хандуулах ӨБҮХХ</t>
  </si>
  <si>
    <t>Анхаарал хандуулах болон чанаргүйд ангилагдсан ипотекийн зээл</t>
  </si>
  <si>
    <t>9. Тайланг хэвлэхдээ, хэвлэх хэсгээ идэвхжүүлээд, ctrl+P дараад, Settings хэсгээс Print selection хэсгийг сонгоод, Print дарна уу.</t>
  </si>
  <si>
    <t>Аппликэйшний нэр</t>
  </si>
  <si>
    <t>Аппликэйшнээр үзүүлдэг үйлчилгээнүүд</t>
  </si>
  <si>
    <t>Өөр аппликэйшн, вэбтэй холбогдсон эсэх</t>
  </si>
  <si>
    <t>Цахим хэтэвчтэй эсэх</t>
  </si>
  <si>
    <t>АППЛИКЭЙШНИЙ МЭДЭЭЛЭЛ</t>
  </si>
  <si>
    <t>Төрөл</t>
  </si>
  <si>
    <t>Тоо</t>
  </si>
  <si>
    <t>Шинэ хэрэглэгч</t>
  </si>
  <si>
    <t>Нийт бүртгэлтэй хэрэглэгч</t>
  </si>
  <si>
    <t>Нийт бүртгэлгүй хэрэглэгч</t>
  </si>
  <si>
    <t>Идэвхтэй хэрэглэгч</t>
  </si>
  <si>
    <t>Нийт хэрэглэгч</t>
  </si>
  <si>
    <t>Төлөөлөгч</t>
  </si>
  <si>
    <t>Цахим мөнгө хүлээн авагч</t>
  </si>
  <si>
    <t>Гүйлгээний дүн</t>
  </si>
  <si>
    <t>Цахим мөнгөн хүлээн авагч</t>
  </si>
  <si>
    <t>Бараа, үйлчилгээний төлбөр хүлээн авах</t>
  </si>
  <si>
    <t>Цахим мөнгө шилжүүлэх</t>
  </si>
  <si>
    <t>Цахим мөнгийг мөнгөн хөрөнгөнд хөрвүүлэх</t>
  </si>
  <si>
    <t>Мөнгөн хөрөнгийг цахим мөнгөнд хөрвүүлэх</t>
  </si>
  <si>
    <t>Хэрэглэгч</t>
  </si>
  <si>
    <t>Цахим мөнгийг бусад оролцогчийн данс руу шилжүүлэх</t>
  </si>
  <si>
    <t>Бусад оролцогчийн данснаас цахим мөнгөний данс руу шилжүүлэх</t>
  </si>
  <si>
    <t>Цахим мөнгийг бэлэн мөнгөнд хөрвүүлэх</t>
  </si>
  <si>
    <t>Бэлэн мөнгийг цахим мөнгөнд хөрвүүлэх</t>
  </si>
  <si>
    <t>Эргэлтэнд гарсан нийт цахим мөнгө</t>
  </si>
  <si>
    <t>Баталгааны дансны үлдэгдэл</t>
  </si>
  <si>
    <t>Сар</t>
  </si>
  <si>
    <t>ББСБ-ын оролцогчдийн жендерийн судалгаа</t>
  </si>
  <si>
    <t xml:space="preserve">Нийт </t>
  </si>
  <si>
    <t>Эр</t>
  </si>
  <si>
    <t>Эм</t>
  </si>
  <si>
    <t>Зээлдэгчдийн тоо</t>
  </si>
  <si>
    <t>18-35 насны</t>
  </si>
  <si>
    <t>36-45 насны</t>
  </si>
  <si>
    <t>46-55 насны</t>
  </si>
  <si>
    <t>55-аас дээш</t>
  </si>
  <si>
    <t>Тусгай дунд</t>
  </si>
  <si>
    <t>Бүрэн дунд</t>
  </si>
  <si>
    <t>Дунд</t>
  </si>
  <si>
    <t>Бага</t>
  </si>
  <si>
    <t>Үүнээс гэрээ байгуулсан</t>
  </si>
  <si>
    <t>1. Сэргээгдэх эрчим хүч</t>
  </si>
  <si>
    <t>2. Бага бохирдуулагч эрчим хүч</t>
  </si>
  <si>
    <t>3. Эрчим хүчний хэмнэлт</t>
  </si>
  <si>
    <t>4. Ногоон барилга</t>
  </si>
  <si>
    <t>5. Бохирдлоос сэргийлэх, бууруулах үйл ажиллагаа</t>
  </si>
  <si>
    <t>6. Тогтвортой ус, хаягдлын хэрэглээ</t>
  </si>
  <si>
    <t>7. Тогтвортой хөдөө аж ахуй, газар ашиглалт, ой болон эко аялал жуулчлал</t>
  </si>
  <si>
    <t xml:space="preserve"> Нийт</t>
  </si>
  <si>
    <t>Эхний үлдэгдэл</t>
  </si>
  <si>
    <t>Зээлийн дүн</t>
  </si>
  <si>
    <t xml:space="preserve">Олгосон </t>
  </si>
  <si>
    <t>Төлөгдсөн</t>
  </si>
  <si>
    <t>Эцсийн үлдэгдэл</t>
  </si>
  <si>
    <t>НОГООН ЗЭЭЛИЙН ТАЙЛАН</t>
  </si>
  <si>
    <t>ЖЕНДЕРИЙН ТАЙЛАН</t>
  </si>
  <si>
    <t>XXX</t>
  </si>
  <si>
    <t>ББСБ-ын цахим шуудан /e-mail хаяг/</t>
  </si>
  <si>
    <t>ЦАХИМ МӨНГӨНИЙ ТАЙЛАН</t>
  </si>
  <si>
    <t xml:space="preserve">Аппликэйшн ашиглан олгосон зээлийн </t>
  </si>
  <si>
    <t>Үүнээс эмэгтэй гүйцэтгэх захиралтай хуулийн этгээдийн</t>
  </si>
  <si>
    <t>Бусад харилцагч</t>
  </si>
  <si>
    <t>Аппликэйшн</t>
  </si>
  <si>
    <t>Уламжлалт</t>
  </si>
  <si>
    <t>Итгэлцэл</t>
  </si>
  <si>
    <t>Бонд</t>
  </si>
  <si>
    <t>Нээлттэй</t>
  </si>
  <si>
    <t>Хаалттай</t>
  </si>
  <si>
    <t>төгрөг</t>
  </si>
  <si>
    <t>валют</t>
  </si>
  <si>
    <t>Нийт харилцагчдийн</t>
  </si>
  <si>
    <t>Нийт валют арилжааны харилцагчдийн</t>
  </si>
  <si>
    <t>Нийт итгэмжлэгчдийн</t>
  </si>
  <si>
    <t>Итгэлцлийн гэрээний</t>
  </si>
  <si>
    <t>Нийт өрийн бичиг авсан харилцагчдийн</t>
  </si>
  <si>
    <t>Факторингийн харилцагчдийн</t>
  </si>
  <si>
    <t>Нийт аппликэйшний харилцагчдийн</t>
  </si>
  <si>
    <t>Цахим хэтэвчтэй харилцагчдийн</t>
  </si>
  <si>
    <t>Зээлдэгчдийн насжилт</t>
  </si>
  <si>
    <t>Зээлдэгчдийн боловсрол</t>
  </si>
  <si>
    <t>БҮТЭЭГДЭХҮҮН ҮЙЛЧИЛГЭЭНИЙ ЕРӨНХИЙ МЭДЭЭЛЭЛ</t>
  </si>
  <si>
    <t>Улирлын нийт дүн</t>
  </si>
  <si>
    <t xml:space="preserve">http://toc.mn/post/116 </t>
  </si>
  <si>
    <t>Аппликэйшнтэй эсэх</t>
  </si>
  <si>
    <t>Онлайн үйлчилгээний мэдээлэл</t>
  </si>
  <si>
    <t>Вэб хуудас /web page/-тай эсэх</t>
  </si>
  <si>
    <t>Вэб хуудсаар дамжуулан зээл олгодог эсэх</t>
  </si>
  <si>
    <t>Вэб хуудас /web page/-ны URL</t>
  </si>
  <si>
    <t>дээд хүү/өгөөж</t>
  </si>
  <si>
    <t>дээд хэмжээ</t>
  </si>
  <si>
    <t>доод хэмжээ</t>
  </si>
  <si>
    <t>доод хүү/өгөөж</t>
  </si>
  <si>
    <t>Зээл/Итгэлцэл/Өрийн бичгийн ДҮН</t>
  </si>
  <si>
    <t>Зээл/Итгэлцэл/Өрийн бичгийн ХҮҮ/ӨГӨӨЖ</t>
  </si>
  <si>
    <t>Зээл/Итгэлцэл/Өрийн бичгийн ШИМТГЭЛ</t>
  </si>
  <si>
    <t>Зээл/Итгэлцэл/Өрийн бичгийн ХУРААМЖ</t>
  </si>
  <si>
    <t>Бүтээгдэхүүн үйлчилгээний мэдээлэл</t>
  </si>
  <si>
    <t>Ногоон зээлийн ангилал</t>
  </si>
  <si>
    <t>/төгрөгөөр/</t>
  </si>
  <si>
    <t>Дээрх 8 ангилал нь Монгол Улсын ногоон таксономийн 8 ерөнхий чиглэл бөгөөд дээрх ангилалуудын дэлгэрэнгүй  /аль ангилалд ямар зээл оруулах гэх мэт/ мэдээлэлтэй Greenloan_info-ээс эсхүл ЭНД дарж танилцана уу!</t>
  </si>
  <si>
    <t>Зээлдүүлэгчийн</t>
  </si>
  <si>
    <t>Зээл, зээлтэй адилтган тооцох бусад хөрөнгө /актив/-ийн гэрээ байгуулсан /анх олгосон/ дүн</t>
  </si>
  <si>
    <t>8. Карбон бага ялгаруулдаг тээвэр</t>
  </si>
  <si>
    <t xml:space="preserve">Үүнээс: 0-5 хүртэлх жилийн ашиглалтын жилтэй тээвэр </t>
  </si>
  <si>
    <t xml:space="preserve">5-10 хүртэлх жилийн ашиглалтын жилтэй тээвэр </t>
  </si>
  <si>
    <t xml:space="preserve">10-аас дээш жилийн ашиглалтын жилтэй тээвэр </t>
  </si>
  <si>
    <t>Зээлдэгчдийн тоо /үлдэгдэлтэй зээлдэгчдийн тоо/</t>
  </si>
  <si>
    <t>Нийт харилцагчдын тоо /үлдэгдэлтэй харилцагчдын тоо/</t>
  </si>
  <si>
    <r>
      <t>ББСБ-уудын нийт харилцагчдийн тоог хүйсээр ангилсан тайлан. 
Цагаан нүдний утгуудыг бүрэн бөглөнө үү.
"</t>
    </r>
    <r>
      <rPr>
        <b/>
        <sz val="10"/>
        <color indexed="8"/>
        <rFont val="Times New Roman"/>
        <family val="1"/>
      </rPr>
      <t>Дүн</t>
    </r>
    <r>
      <rPr>
        <sz val="10"/>
        <color indexed="8"/>
        <rFont val="Times New Roman"/>
        <family val="1"/>
      </rPr>
      <t>" баганад холбогдох зээл болон бусад үйлчилгээний дүнг төгрөгөөр, "</t>
    </r>
    <r>
      <rPr>
        <b/>
        <sz val="10"/>
        <color indexed="8"/>
        <rFont val="Times New Roman"/>
        <family val="1"/>
      </rPr>
      <t>Тоо</t>
    </r>
    <r>
      <rPr>
        <sz val="10"/>
        <color indexed="8"/>
        <rFont val="Times New Roman"/>
        <family val="1"/>
      </rPr>
      <t>" баганад зээл болон бусад үйлчилгээний зээлдэгч, харилцагчдийн тоог оруулна уу.
Зээлдэгчдийн тоог насжилт болон боловсролоор ангилахдаа хуулийн этгээдийн тоог хасаж оруулахыг анхаарна уу. 
"</t>
    </r>
    <r>
      <rPr>
        <b/>
        <sz val="10"/>
        <color indexed="8"/>
        <rFont val="Times New Roman"/>
        <family val="1"/>
      </rPr>
      <t>Нийт итгэмжлэгчдийн</t>
    </r>
    <r>
      <rPr>
        <sz val="10"/>
        <color indexed="8"/>
        <rFont val="Times New Roman"/>
        <family val="1"/>
      </rPr>
      <t>" мөрөнд нийт итгэлцлээр татсан хөрөнгийн харилцагчдийн тоог, "</t>
    </r>
    <r>
      <rPr>
        <b/>
        <sz val="10"/>
        <color indexed="8"/>
        <rFont val="Times New Roman"/>
        <family val="1"/>
      </rPr>
      <t>Итгэлцлийн гэрээ</t>
    </r>
    <r>
      <rPr>
        <sz val="10"/>
        <color indexed="8"/>
        <rFont val="Times New Roman"/>
        <family val="1"/>
      </rPr>
      <t>" хэсэгт байгуулсан гэрээний тоог нөхнө үү. Жишээ нь: А, Б этгээдээс 10 төгрөг татсан, А-тай 2 удаа гэрээ байгуулсан бол Нийт итгэмжлэгчдийн тоонд 2, Итгэлцлийн гэрээний тоонд 3 гэх мэт.</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</si>
</sst>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_(* #,##0_);_(* \(#,##0\);_(* &quot;-&quot;??_);_(@_)"/>
    <numFmt numFmtId="165" formatCode="_(* #,##0.0_);_(* \(#,##0.0\);_(* &quot;-&quot;??_);_(@_)"/>
    <numFmt numFmtId="166" formatCode="0.0%"/>
    <numFmt numFmtId="167" formatCode="_(* #,##0.0_);_(* \(#,##0.0\);_(* &quot;-&quot;?_);_(@_)"/>
  </numFmts>
  <fonts count="54" x14ac:knownFonts="1">
    <font>
      <sz val="11"/>
      <color theme="1"/>
      <name val="Times New Roman"/>
      <family val="2"/>
    </font>
    <font>
      <b/>
      <sz val="10"/>
      <color indexed="8"/>
      <name val="Times New Roman"/>
      <family val="1"/>
    </font>
    <font>
      <sz val="10"/>
      <color indexed="8"/>
      <name val="Times New Roman"/>
      <family val="1"/>
    </font>
    <font>
      <b/>
      <sz val="10"/>
      <name val="Times New Roman"/>
      <family val="1"/>
    </font>
    <font>
      <sz val="10"/>
      <name val="Times New Roman"/>
      <family val="1"/>
    </font>
    <font>
      <sz val="10"/>
      <color indexed="10"/>
      <name val="Times New Roman"/>
      <family val="1"/>
    </font>
    <font>
      <b/>
      <i/>
      <sz val="10"/>
      <color indexed="8"/>
      <name val="Times New Roman"/>
      <family val="1"/>
    </font>
    <font>
      <b/>
      <sz val="10"/>
      <name val="Times New Roman Mon"/>
      <family val="1"/>
    </font>
    <font>
      <b/>
      <sz val="10"/>
      <color indexed="10"/>
      <name val="Times New Roman Mon"/>
      <family val="1"/>
    </font>
    <font>
      <sz val="11"/>
      <name val="ZWAdobeF"/>
    </font>
    <font>
      <b/>
      <u/>
      <sz val="10"/>
      <name val="Times New Roman"/>
      <family val="1"/>
    </font>
    <font>
      <sz val="10"/>
      <name val="Times New Roman Mon"/>
      <family val="1"/>
    </font>
    <font>
      <i/>
      <sz val="10"/>
      <name val="Times New Roman"/>
      <family val="1"/>
    </font>
    <font>
      <sz val="9"/>
      <color indexed="81"/>
      <name val="Times New Roman"/>
      <family val="1"/>
    </font>
    <font>
      <sz val="10"/>
      <name val="Arial"/>
      <family val="2"/>
    </font>
    <font>
      <i/>
      <sz val="9"/>
      <color indexed="8"/>
      <name val="Times New Roman"/>
      <family val="1"/>
    </font>
    <font>
      <sz val="9"/>
      <color indexed="8"/>
      <name val="Times New Roman"/>
      <family val="1"/>
    </font>
    <font>
      <sz val="9"/>
      <color indexed="81"/>
      <name val="Tahoma"/>
      <family val="2"/>
    </font>
    <font>
      <b/>
      <sz val="9"/>
      <name val="Times New Roman"/>
      <family val="1"/>
    </font>
    <font>
      <sz val="9"/>
      <name val="Times New Roman"/>
      <family val="1"/>
    </font>
    <font>
      <sz val="9"/>
      <color indexed="10"/>
      <name val="Times New Roman"/>
      <family val="1"/>
    </font>
    <font>
      <sz val="11"/>
      <color theme="1"/>
      <name val="Times New Roman"/>
      <family val="2"/>
    </font>
    <font>
      <sz val="11"/>
      <color theme="1"/>
      <name val="Calibri"/>
      <family val="2"/>
      <scheme val="minor"/>
    </font>
    <font>
      <u/>
      <sz val="11"/>
      <color theme="10"/>
      <name val="Times New Roman"/>
      <family val="2"/>
    </font>
    <font>
      <b/>
      <sz val="10"/>
      <color theme="1"/>
      <name val="Times New Roman"/>
      <family val="1"/>
    </font>
    <font>
      <sz val="10"/>
      <color theme="1"/>
      <name val="Times New Roman"/>
      <family val="1"/>
    </font>
    <font>
      <b/>
      <sz val="10"/>
      <color rgb="FF0000FF"/>
      <name val="Times New Roman"/>
      <family val="1"/>
    </font>
    <font>
      <sz val="10"/>
      <color rgb="FF0000FF"/>
      <name val="Times New Roman"/>
      <family val="1"/>
    </font>
    <font>
      <b/>
      <sz val="10"/>
      <color rgb="FFFF0000"/>
      <name val="Times New Roman"/>
      <family val="1"/>
    </font>
    <font>
      <sz val="10"/>
      <color rgb="FFFF0000"/>
      <name val="Times New Roman"/>
      <family val="1"/>
    </font>
    <font>
      <b/>
      <sz val="10"/>
      <color rgb="FF000000"/>
      <name val="Times New Roman"/>
      <family val="1"/>
    </font>
    <font>
      <sz val="10"/>
      <color rgb="FF000000"/>
      <name val="Times New Roman"/>
      <family val="1"/>
    </font>
    <font>
      <b/>
      <i/>
      <sz val="10"/>
      <color rgb="FF000000"/>
      <name val="Times New Roman"/>
      <family val="1"/>
    </font>
    <font>
      <sz val="9"/>
      <color rgb="FF000000"/>
      <name val="Times New Roman"/>
      <family val="1"/>
    </font>
    <font>
      <i/>
      <sz val="10"/>
      <color rgb="FFFF0000"/>
      <name val="Times New Roman"/>
      <family val="1"/>
    </font>
    <font>
      <sz val="9"/>
      <color theme="1"/>
      <name val="Times New Roman"/>
      <family val="1"/>
    </font>
    <font>
      <b/>
      <sz val="9"/>
      <color theme="1"/>
      <name val="Times New Roman"/>
      <family val="1"/>
    </font>
    <font>
      <sz val="10"/>
      <color theme="1"/>
      <name val="Times New Roman"/>
      <family val="2"/>
    </font>
    <font>
      <sz val="9"/>
      <color rgb="FFFF0000"/>
      <name val="Times New Roman"/>
      <family val="1"/>
    </font>
    <font>
      <sz val="9"/>
      <color rgb="FFFF0000"/>
      <name val="Times New Roman"/>
      <family val="2"/>
    </font>
    <font>
      <b/>
      <i/>
      <sz val="9"/>
      <color theme="1"/>
      <name val="Times New Roman"/>
      <family val="1"/>
    </font>
    <font>
      <b/>
      <sz val="9"/>
      <color rgb="FF0000FF"/>
      <name val="Times New Roman"/>
      <family val="1"/>
    </font>
    <font>
      <b/>
      <sz val="9"/>
      <color rgb="FF000000"/>
      <name val="Times New Roman"/>
      <family val="1"/>
    </font>
    <font>
      <sz val="10"/>
      <color theme="10"/>
      <name val="Times New Roman"/>
      <family val="1"/>
    </font>
    <font>
      <b/>
      <sz val="16"/>
      <color rgb="FFFF0000"/>
      <name val="Times New Roman"/>
      <family val="1"/>
    </font>
    <font>
      <i/>
      <sz val="10"/>
      <color theme="1"/>
      <name val="Times New Roman"/>
      <family val="1"/>
    </font>
    <font>
      <sz val="10"/>
      <color rgb="FFC00000"/>
      <name val="Times New Roman"/>
      <family val="1"/>
    </font>
    <font>
      <b/>
      <i/>
      <sz val="10"/>
      <color theme="1"/>
      <name val="Times New Roman"/>
      <family val="1"/>
    </font>
    <font>
      <sz val="11"/>
      <color theme="10"/>
      <name val="Times New Roman"/>
      <family val="2"/>
    </font>
    <font>
      <b/>
      <i/>
      <sz val="10"/>
      <color rgb="FF0070C0"/>
      <name val="Times New Roman"/>
      <family val="1"/>
    </font>
    <font>
      <b/>
      <i/>
      <u/>
      <sz val="10"/>
      <color theme="1"/>
      <name val="Times New Roman"/>
      <family val="1"/>
    </font>
    <font>
      <b/>
      <u/>
      <sz val="10"/>
      <color rgb="FFFF0000"/>
      <name val="Times New Roman"/>
      <family val="1"/>
    </font>
    <font>
      <b/>
      <sz val="9"/>
      <color rgb="FFFF0000"/>
      <name val="Times New Roman"/>
      <family val="1"/>
    </font>
    <font>
      <sz val="10"/>
      <color rgb="FF0070C0"/>
      <name val="Times New Roman"/>
      <family val="1"/>
    </font>
  </fonts>
  <fills count="1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4" tint="0.59999389629810485"/>
        <bgColor rgb="FFD6E3BC"/>
      </patternFill>
    </fill>
    <fill>
      <patternFill patternType="solid">
        <fgColor theme="0"/>
        <bgColor rgb="FFD6E3BC"/>
      </patternFill>
    </fill>
    <fill>
      <patternFill patternType="solid">
        <fgColor theme="4" tint="0.79998168889431442"/>
        <bgColor indexed="64"/>
      </patternFill>
    </fill>
    <fill>
      <patternFill patternType="solid">
        <fgColor rgb="FFFFFFFF"/>
        <bgColor rgb="FFFFFFFF"/>
      </patternFill>
    </fill>
    <fill>
      <patternFill patternType="solid">
        <fgColor theme="4" tint="0.59999389629810485"/>
        <bgColor indexed="64"/>
      </patternFill>
    </fill>
    <fill>
      <patternFill patternType="solid">
        <fgColor theme="4" tint="0.39997558519241921"/>
        <bgColor indexed="64"/>
      </patternFill>
    </fill>
    <fill>
      <patternFill patternType="solid">
        <fgColor rgb="FFFFFFF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FFF00"/>
        <bgColor indexed="64"/>
      </patternFill>
    </fill>
    <fill>
      <patternFill patternType="solid">
        <fgColor theme="2"/>
        <bgColor indexed="64"/>
      </patternFill>
    </fill>
    <fill>
      <patternFill patternType="solid">
        <fgColor theme="9" tint="0.79998168889431442"/>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right style="thin">
        <color indexed="64"/>
      </right>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double">
        <color indexed="64"/>
      </left>
      <right/>
      <top/>
      <bottom style="medium">
        <color indexed="64"/>
      </bottom>
      <diagonal/>
    </border>
    <border>
      <left style="thin">
        <color indexed="64"/>
      </left>
      <right style="double">
        <color indexed="64"/>
      </right>
      <top style="thin">
        <color indexed="64"/>
      </top>
      <bottom style="thin">
        <color indexed="64"/>
      </bottom>
      <diagonal/>
    </border>
    <border>
      <left/>
      <right style="double">
        <color indexed="64"/>
      </right>
      <top/>
      <bottom style="thin">
        <color indexed="64"/>
      </bottom>
      <diagonal/>
    </border>
    <border>
      <left style="thin">
        <color indexed="64"/>
      </left>
      <right style="thin">
        <color indexed="64"/>
      </right>
      <top style="thin">
        <color indexed="64"/>
      </top>
      <bottom/>
      <diagonal/>
    </border>
    <border>
      <left/>
      <right style="double">
        <color indexed="64"/>
      </right>
      <top style="thin">
        <color indexed="64"/>
      </top>
      <bottom/>
      <diagonal/>
    </border>
    <border>
      <left style="thin">
        <color indexed="64"/>
      </left>
      <right style="thin">
        <color indexed="64"/>
      </right>
      <top/>
      <bottom/>
      <diagonal/>
    </border>
    <border>
      <left/>
      <right style="double">
        <color indexed="64"/>
      </right>
      <top/>
      <bottom/>
      <diagonal/>
    </border>
    <border>
      <left style="thin">
        <color indexed="64"/>
      </left>
      <right style="thin">
        <color indexed="64"/>
      </right>
      <top/>
      <bottom style="thin">
        <color indexed="64"/>
      </bottom>
      <diagonal/>
    </border>
    <border>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rgb="FFFF0000"/>
      </left>
      <right style="medium">
        <color rgb="FFFF0000"/>
      </right>
      <top style="medium">
        <color rgb="FFFF0000"/>
      </top>
      <bottom style="medium">
        <color rgb="FFFF0000"/>
      </bottom>
      <diagonal/>
    </border>
  </borders>
  <cellStyleXfs count="10">
    <xf numFmtId="0" fontId="0" fillId="0" borderId="0"/>
    <xf numFmtId="43" fontId="21"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23" fillId="0" borderId="0" applyNumberFormat="0" applyFill="0" applyBorder="0" applyAlignment="0" applyProtection="0"/>
    <xf numFmtId="0" fontId="14" fillId="0" borderId="0"/>
    <xf numFmtId="0" fontId="22" fillId="0" borderId="0"/>
    <xf numFmtId="0" fontId="11" fillId="0" borderId="0"/>
    <xf numFmtId="9" fontId="21" fillId="0" borderId="0" applyFont="0" applyFill="0" applyBorder="0" applyAlignment="0" applyProtection="0"/>
    <xf numFmtId="9" fontId="22" fillId="0" borderId="0" applyFont="0" applyFill="0" applyBorder="0" applyAlignment="0" applyProtection="0"/>
  </cellStyleXfs>
  <cellXfs count="943">
    <xf numFmtId="0" fontId="0" fillId="0" borderId="0" xfId="0"/>
    <xf numFmtId="0" fontId="24" fillId="0" borderId="0" xfId="0" applyFont="1" applyAlignment="1">
      <alignment horizontal="center"/>
    </xf>
    <xf numFmtId="0" fontId="24" fillId="0" borderId="0" xfId="0" applyFont="1"/>
    <xf numFmtId="0" fontId="25" fillId="0" borderId="0" xfId="0" applyFont="1"/>
    <xf numFmtId="0" fontId="26" fillId="0" borderId="0" xfId="0" applyFont="1"/>
    <xf numFmtId="0" fontId="3" fillId="0" borderId="0" xfId="0" applyFont="1" applyAlignment="1">
      <alignment horizontal="center"/>
    </xf>
    <xf numFmtId="0" fontId="3" fillId="0" borderId="0" xfId="0" applyFont="1"/>
    <xf numFmtId="164" fontId="27" fillId="0" borderId="0" xfId="1" applyNumberFormat="1" applyFont="1"/>
    <xf numFmtId="0" fontId="27" fillId="0" borderId="0" xfId="0" applyFont="1"/>
    <xf numFmtId="0" fontId="28" fillId="0" borderId="0" xfId="0" applyFont="1"/>
    <xf numFmtId="0" fontId="29" fillId="0" borderId="0" xfId="0" applyFont="1"/>
    <xf numFmtId="164" fontId="25" fillId="3" borderId="0" xfId="1" applyNumberFormat="1" applyFont="1" applyFill="1" applyBorder="1"/>
    <xf numFmtId="43" fontId="25" fillId="0" borderId="0" xfId="1" applyFont="1" applyAlignment="1">
      <alignment vertical="center"/>
    </xf>
    <xf numFmtId="0" fontId="25" fillId="0" borderId="0" xfId="0" applyFont="1" applyAlignment="1">
      <alignment vertical="center"/>
    </xf>
    <xf numFmtId="0" fontId="25" fillId="0" borderId="0" xfId="0" applyFont="1" applyAlignment="1">
      <alignment vertical="center" wrapText="1"/>
    </xf>
    <xf numFmtId="0" fontId="25" fillId="0" borderId="0" xfId="0" applyFont="1" applyAlignment="1">
      <alignment horizontal="left" vertical="center" wrapText="1"/>
    </xf>
    <xf numFmtId="0" fontId="25" fillId="0" borderId="0" xfId="0" applyFont="1" applyAlignment="1">
      <alignment horizontal="center" vertical="center"/>
    </xf>
    <xf numFmtId="0" fontId="24" fillId="0" borderId="0" xfId="0" applyFont="1" applyAlignment="1">
      <alignment horizontal="left" vertical="center"/>
    </xf>
    <xf numFmtId="0" fontId="24" fillId="0" borderId="0" xfId="0" applyFont="1" applyAlignment="1">
      <alignment horizontal="center" vertical="center"/>
    </xf>
    <xf numFmtId="43" fontId="25" fillId="0" borderId="0" xfId="1" applyFont="1" applyAlignment="1">
      <alignment horizontal="center" vertical="center"/>
    </xf>
    <xf numFmtId="164" fontId="25" fillId="0" borderId="0" xfId="1" applyNumberFormat="1" applyFont="1"/>
    <xf numFmtId="164" fontId="24" fillId="0" borderId="1" xfId="1" applyNumberFormat="1" applyFont="1" applyBorder="1" applyAlignment="1">
      <alignment horizontal="center"/>
    </xf>
    <xf numFmtId="0" fontId="24" fillId="0" borderId="1" xfId="0" applyFont="1" applyBorder="1" applyAlignment="1">
      <alignment horizontal="center"/>
    </xf>
    <xf numFmtId="0" fontId="3" fillId="4" borderId="1" xfId="0" applyFont="1" applyFill="1" applyBorder="1"/>
    <xf numFmtId="0" fontId="4" fillId="5" borderId="1" xfId="0" applyFont="1" applyFill="1" applyBorder="1"/>
    <xf numFmtId="164" fontId="4" fillId="5" borderId="1" xfId="1" applyNumberFormat="1" applyFont="1" applyFill="1" applyBorder="1" applyProtection="1">
      <protection locked="0"/>
    </xf>
    <xf numFmtId="4" fontId="30" fillId="4" borderId="1" xfId="0" applyNumberFormat="1" applyFont="1" applyFill="1" applyBorder="1"/>
    <xf numFmtId="4" fontId="31" fillId="3" borderId="1" xfId="0" applyNumberFormat="1" applyFont="1" applyFill="1" applyBorder="1" applyAlignment="1">
      <alignment horizontal="left"/>
    </xf>
    <xf numFmtId="164" fontId="4" fillId="3" borderId="1" xfId="1" applyNumberFormat="1" applyFont="1" applyFill="1" applyBorder="1" applyProtection="1">
      <protection locked="0"/>
    </xf>
    <xf numFmtId="0" fontId="31" fillId="6" borderId="1" xfId="0" applyFont="1" applyFill="1" applyBorder="1" applyAlignment="1">
      <alignment horizontal="left"/>
    </xf>
    <xf numFmtId="0" fontId="32" fillId="4" borderId="1" xfId="0" applyFont="1" applyFill="1" applyBorder="1"/>
    <xf numFmtId="4" fontId="31" fillId="3" borderId="1" xfId="0" applyNumberFormat="1" applyFont="1" applyFill="1" applyBorder="1" applyAlignment="1">
      <alignment horizontal="left" vertical="center"/>
    </xf>
    <xf numFmtId="4" fontId="31" fillId="3" borderId="1" xfId="0" applyNumberFormat="1" applyFont="1" applyFill="1" applyBorder="1"/>
    <xf numFmtId="0" fontId="3" fillId="4" borderId="1" xfId="0" applyFont="1" applyFill="1" applyBorder="1" applyAlignment="1">
      <alignment vertical="center"/>
    </xf>
    <xf numFmtId="164" fontId="4" fillId="0" borderId="1" xfId="1" applyNumberFormat="1" applyFont="1" applyBorder="1" applyProtection="1">
      <protection locked="0"/>
    </xf>
    <xf numFmtId="164" fontId="4" fillId="4" borderId="1" xfId="1" applyNumberFormat="1" applyFont="1" applyFill="1" applyBorder="1" applyProtection="1">
      <protection locked="0"/>
    </xf>
    <xf numFmtId="0" fontId="4" fillId="7" borderId="1" xfId="0" applyFont="1" applyFill="1" applyBorder="1"/>
    <xf numFmtId="0" fontId="4" fillId="0" borderId="1" xfId="0" applyFont="1" applyBorder="1"/>
    <xf numFmtId="0" fontId="4" fillId="0" borderId="1" xfId="0" applyFont="1" applyBorder="1" applyAlignment="1" applyProtection="1">
      <alignment horizontal="center" wrapText="1"/>
      <protection locked="0"/>
    </xf>
    <xf numFmtId="0" fontId="25" fillId="0" borderId="1" xfId="0" applyFont="1" applyBorder="1"/>
    <xf numFmtId="0" fontId="4" fillId="8" borderId="1" xfId="0" applyFont="1" applyFill="1" applyBorder="1" applyAlignment="1" applyProtection="1">
      <alignment horizontal="center" wrapText="1"/>
      <protection locked="0"/>
    </xf>
    <xf numFmtId="4" fontId="31" fillId="0" borderId="1" xfId="0" applyNumberFormat="1" applyFont="1" applyBorder="1"/>
    <xf numFmtId="0" fontId="24" fillId="8" borderId="1" xfId="0" applyFont="1" applyFill="1" applyBorder="1"/>
    <xf numFmtId="0" fontId="25" fillId="0" borderId="1" xfId="0" applyFont="1" applyBorder="1" applyAlignment="1">
      <alignment horizontal="center"/>
    </xf>
    <xf numFmtId="0" fontId="25" fillId="0" borderId="1" xfId="0" applyFont="1" applyBorder="1" applyAlignment="1">
      <alignment horizontal="center" vertical="center"/>
    </xf>
    <xf numFmtId="0" fontId="25" fillId="3" borderId="1" xfId="0" applyFont="1" applyFill="1" applyBorder="1"/>
    <xf numFmtId="164" fontId="25" fillId="3" borderId="1" xfId="1" applyNumberFormat="1" applyFont="1" applyFill="1" applyBorder="1" applyProtection="1">
      <protection locked="0"/>
    </xf>
    <xf numFmtId="43" fontId="25" fillId="3" borderId="1" xfId="1" applyFont="1" applyFill="1" applyBorder="1" applyProtection="1">
      <protection locked="0"/>
    </xf>
    <xf numFmtId="0" fontId="31" fillId="0" borderId="1" xfId="0" applyFont="1" applyBorder="1"/>
    <xf numFmtId="0" fontId="25" fillId="0" borderId="0" xfId="0" applyFont="1" applyAlignment="1">
      <alignment horizontal="center"/>
    </xf>
    <xf numFmtId="0" fontId="25" fillId="0" borderId="0" xfId="0" applyFont="1" applyAlignment="1">
      <alignment horizontal="center" vertical="center" wrapText="1"/>
    </xf>
    <xf numFmtId="0" fontId="25" fillId="3" borderId="0" xfId="0" applyFont="1" applyFill="1" applyAlignment="1">
      <alignment horizontal="left"/>
    </xf>
    <xf numFmtId="0" fontId="24" fillId="3" borderId="0" xfId="0" applyFont="1" applyFill="1" applyAlignment="1">
      <alignment horizontal="left"/>
    </xf>
    <xf numFmtId="0" fontId="25" fillId="0" borderId="0" xfId="0" applyFont="1" applyAlignment="1">
      <alignment horizontal="left" vertical="center"/>
    </xf>
    <xf numFmtId="0" fontId="3" fillId="0" borderId="0" xfId="0" applyFont="1" applyAlignment="1">
      <alignment horizontal="center" vertical="center"/>
    </xf>
    <xf numFmtId="0" fontId="28" fillId="3" borderId="0" xfId="0" applyFont="1" applyFill="1" applyAlignment="1">
      <alignment vertical="center" wrapText="1"/>
    </xf>
    <xf numFmtId="0" fontId="28" fillId="0" borderId="0" xfId="0" applyFont="1" applyAlignment="1">
      <alignment vertical="center" wrapText="1"/>
    </xf>
    <xf numFmtId="165" fontId="25" fillId="0" borderId="0" xfId="1" applyNumberFormat="1" applyFont="1"/>
    <xf numFmtId="166" fontId="25" fillId="0" borderId="0" xfId="8" applyNumberFormat="1" applyFont="1"/>
    <xf numFmtId="165" fontId="25" fillId="0" borderId="0" xfId="1" applyNumberFormat="1" applyFont="1" applyAlignment="1">
      <alignment vertical="center"/>
    </xf>
    <xf numFmtId="166" fontId="25" fillId="0" borderId="0" xfId="8" applyNumberFormat="1" applyFont="1" applyAlignment="1">
      <alignment vertical="center"/>
    </xf>
    <xf numFmtId="165" fontId="29" fillId="0" borderId="0" xfId="1" applyNumberFormat="1" applyFont="1" applyAlignment="1">
      <alignment vertical="center"/>
    </xf>
    <xf numFmtId="0" fontId="28" fillId="0" borderId="0" xfId="0" applyFont="1" applyAlignment="1">
      <alignment horizontal="right"/>
    </xf>
    <xf numFmtId="166" fontId="24" fillId="0" borderId="0" xfId="8" applyNumberFormat="1" applyFont="1" applyAlignment="1">
      <alignment horizontal="left" vertical="center"/>
    </xf>
    <xf numFmtId="43" fontId="25" fillId="0" borderId="0" xfId="1" applyFont="1" applyAlignment="1" applyProtection="1">
      <alignment horizontal="center" vertical="center"/>
      <protection locked="0"/>
    </xf>
    <xf numFmtId="0" fontId="28" fillId="0" borderId="0" xfId="0" applyFont="1" applyAlignment="1">
      <alignment horizontal="right" vertical="center" wrapText="1"/>
    </xf>
    <xf numFmtId="0" fontId="24" fillId="0" borderId="0" xfId="0" applyFont="1" applyAlignment="1">
      <alignment horizontal="right" vertical="center" wrapText="1"/>
    </xf>
    <xf numFmtId="0" fontId="24" fillId="0" borderId="0" xfId="0" applyFont="1" applyAlignment="1">
      <alignment vertical="center"/>
    </xf>
    <xf numFmtId="0" fontId="3" fillId="0" borderId="0" xfId="7" applyFont="1" applyAlignment="1">
      <alignment horizontal="center"/>
    </xf>
    <xf numFmtId="0" fontId="4" fillId="0" borderId="0" xfId="0" applyFont="1"/>
    <xf numFmtId="0" fontId="4" fillId="9" borderId="2" xfId="0" applyFont="1" applyFill="1" applyBorder="1" applyAlignment="1">
      <alignment horizontal="center" vertical="center" wrapText="1"/>
    </xf>
    <xf numFmtId="0" fontId="1" fillId="0" borderId="3" xfId="0" applyFont="1" applyBorder="1" applyAlignment="1">
      <alignment horizontal="center" vertical="center" wrapText="1"/>
    </xf>
    <xf numFmtId="0" fontId="2" fillId="0" borderId="4" xfId="0" applyFont="1" applyBorder="1" applyAlignment="1">
      <alignment horizontal="center" vertical="top" wrapText="1"/>
    </xf>
    <xf numFmtId="0" fontId="2" fillId="0" borderId="5" xfId="0" applyFont="1" applyBorder="1" applyAlignment="1">
      <alignment horizontal="center" vertical="top" wrapText="1"/>
    </xf>
    <xf numFmtId="0" fontId="4" fillId="0" borderId="5" xfId="0" applyFont="1" applyBorder="1" applyAlignment="1">
      <alignment horizontal="center" vertical="top" wrapText="1"/>
    </xf>
    <xf numFmtId="0" fontId="4" fillId="0" borderId="3" xfId="0" applyFont="1" applyBorder="1" applyAlignment="1">
      <alignment horizontal="center" vertical="top" wrapText="1"/>
    </xf>
    <xf numFmtId="0" fontId="4" fillId="0" borderId="6" xfId="0" applyFont="1" applyBorder="1" applyAlignment="1">
      <alignment vertical="top" wrapText="1"/>
    </xf>
    <xf numFmtId="0" fontId="2" fillId="0" borderId="3" xfId="0" applyFont="1" applyBorder="1" applyAlignment="1">
      <alignment horizontal="center" vertical="top" wrapText="1"/>
    </xf>
    <xf numFmtId="9" fontId="4" fillId="0" borderId="0" xfId="0" applyNumberFormat="1" applyFont="1" applyAlignment="1">
      <alignment horizontal="center" vertical="top" wrapText="1"/>
    </xf>
    <xf numFmtId="0" fontId="25" fillId="0" borderId="0" xfId="0" applyFont="1" applyProtection="1">
      <protection locked="0"/>
    </xf>
    <xf numFmtId="0" fontId="25" fillId="0" borderId="0" xfId="0" quotePrefix="1" applyFont="1" applyProtection="1">
      <protection locked="0"/>
    </xf>
    <xf numFmtId="9" fontId="2" fillId="0" borderId="0" xfId="0" applyNumberFormat="1" applyFont="1" applyAlignment="1">
      <alignment horizontal="center" vertical="top" wrapText="1"/>
    </xf>
    <xf numFmtId="0" fontId="2" fillId="0" borderId="5" xfId="0" applyFont="1" applyBorder="1" applyAlignment="1">
      <alignment horizontal="center" vertical="center" wrapText="1"/>
    </xf>
    <xf numFmtId="0" fontId="2" fillId="0" borderId="6" xfId="0" applyFont="1" applyBorder="1" applyAlignment="1">
      <alignment vertical="top" wrapText="1"/>
    </xf>
    <xf numFmtId="0" fontId="2" fillId="0" borderId="7" xfId="0" applyFont="1" applyBorder="1" applyAlignment="1">
      <alignment horizontal="center" vertical="center" wrapText="1"/>
    </xf>
    <xf numFmtId="0" fontId="2" fillId="0" borderId="1" xfId="0" applyFont="1" applyBorder="1" applyAlignment="1">
      <alignment vertical="center" wrapText="1"/>
    </xf>
    <xf numFmtId="9" fontId="2" fillId="0" borderId="1" xfId="0" applyNumberFormat="1" applyFont="1" applyBorder="1" applyAlignment="1">
      <alignment horizontal="center" vertical="center" wrapText="1"/>
    </xf>
    <xf numFmtId="0" fontId="12" fillId="3" borderId="7" xfId="0" applyFont="1" applyFill="1" applyBorder="1" applyAlignment="1">
      <alignment vertical="center" wrapText="1"/>
    </xf>
    <xf numFmtId="0" fontId="12" fillId="0" borderId="7" xfId="0" applyFont="1" applyBorder="1" applyAlignment="1">
      <alignment vertical="center" wrapText="1"/>
    </xf>
    <xf numFmtId="0" fontId="1" fillId="9" borderId="3"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0" borderId="3" xfId="0" applyFont="1" applyBorder="1" applyAlignment="1">
      <alignment horizontal="center" vertical="center" wrapText="1"/>
    </xf>
    <xf numFmtId="0" fontId="1" fillId="9" borderId="7" xfId="0" applyFont="1" applyFill="1" applyBorder="1" applyAlignment="1">
      <alignment horizontal="center" vertical="center" wrapText="1"/>
    </xf>
    <xf numFmtId="0" fontId="25" fillId="0" borderId="8" xfId="0" applyFont="1" applyBorder="1" applyAlignment="1">
      <alignment horizontal="center" vertical="center"/>
    </xf>
    <xf numFmtId="0" fontId="24" fillId="0" borderId="0" xfId="0" applyFont="1" applyAlignment="1">
      <alignment vertical="center" wrapText="1"/>
    </xf>
    <xf numFmtId="0" fontId="4" fillId="3" borderId="1" xfId="0" applyFont="1" applyFill="1" applyBorder="1" applyAlignment="1">
      <alignment horizontal="justify" vertical="top" wrapText="1"/>
    </xf>
    <xf numFmtId="9" fontId="4" fillId="3" borderId="1" xfId="7" applyNumberFormat="1" applyFont="1" applyFill="1" applyBorder="1" applyAlignment="1">
      <alignment horizontal="center"/>
    </xf>
    <xf numFmtId="0" fontId="4" fillId="3" borderId="1" xfId="0" applyFont="1" applyFill="1" applyBorder="1" applyAlignment="1">
      <alignment horizontal="left" vertical="top" wrapText="1"/>
    </xf>
    <xf numFmtId="9" fontId="4" fillId="3" borderId="1" xfId="0" applyNumberFormat="1" applyFont="1" applyFill="1" applyBorder="1" applyAlignment="1">
      <alignment horizontal="center" vertical="top" wrapText="1"/>
    </xf>
    <xf numFmtId="0" fontId="25" fillId="0" borderId="0" xfId="0" applyFont="1" applyAlignment="1">
      <alignment horizontal="left"/>
    </xf>
    <xf numFmtId="0" fontId="25" fillId="3" borderId="9" xfId="5" applyFont="1" applyFill="1" applyBorder="1" applyAlignment="1">
      <alignment horizontal="left" vertical="center" wrapText="1"/>
    </xf>
    <xf numFmtId="0" fontId="25" fillId="0" borderId="9" xfId="5" applyFont="1" applyBorder="1" applyAlignment="1">
      <alignment horizontal="left" vertical="center" wrapText="1"/>
    </xf>
    <xf numFmtId="0" fontId="24" fillId="0" borderId="0" xfId="0" applyFont="1" applyAlignment="1">
      <alignment horizontal="left"/>
    </xf>
    <xf numFmtId="0" fontId="25" fillId="3" borderId="0" xfId="5" applyFont="1" applyFill="1" applyAlignment="1">
      <alignment vertical="center" wrapText="1"/>
    </xf>
    <xf numFmtId="0" fontId="25" fillId="0" borderId="0" xfId="5" applyFont="1" applyAlignment="1">
      <alignment vertical="center" wrapText="1"/>
    </xf>
    <xf numFmtId="0" fontId="33" fillId="10" borderId="10" xfId="0" applyFont="1" applyFill="1" applyBorder="1" applyAlignment="1">
      <alignment horizontal="left" wrapText="1"/>
    </xf>
    <xf numFmtId="0" fontId="33" fillId="10" borderId="0" xfId="0" applyFont="1" applyFill="1" applyAlignment="1">
      <alignment wrapText="1"/>
    </xf>
    <xf numFmtId="0" fontId="33" fillId="0" borderId="10" xfId="0" applyFont="1" applyBorder="1" applyAlignment="1">
      <alignment horizontal="left" wrapText="1"/>
    </xf>
    <xf numFmtId="0" fontId="33" fillId="0" borderId="0" xfId="0" applyFont="1" applyAlignment="1">
      <alignment wrapText="1"/>
    </xf>
    <xf numFmtId="0" fontId="25" fillId="0" borderId="1" xfId="0" applyFont="1" applyBorder="1" applyProtection="1">
      <protection locked="0"/>
    </xf>
    <xf numFmtId="14" fontId="25" fillId="0" borderId="1" xfId="0" applyNumberFormat="1" applyFont="1" applyBorder="1" applyAlignment="1" applyProtection="1">
      <alignment horizontal="center" vertical="center"/>
      <protection locked="0"/>
    </xf>
    <xf numFmtId="4" fontId="4" fillId="0" borderId="1" xfId="0" applyNumberFormat="1" applyFont="1" applyBorder="1" applyProtection="1">
      <protection locked="0"/>
    </xf>
    <xf numFmtId="4" fontId="3" fillId="8" borderId="1" xfId="0" applyNumberFormat="1" applyFont="1" applyFill="1" applyBorder="1"/>
    <xf numFmtId="166" fontId="4" fillId="0" borderId="1" xfId="0" applyNumberFormat="1" applyFont="1" applyBorder="1" applyProtection="1">
      <protection locked="0"/>
    </xf>
    <xf numFmtId="0" fontId="24" fillId="0" borderId="0" xfId="0" applyFont="1" applyAlignment="1">
      <alignment horizontal="right" vertical="center"/>
    </xf>
    <xf numFmtId="0" fontId="25" fillId="9" borderId="1" xfId="0" applyFont="1" applyFill="1" applyBorder="1" applyAlignment="1">
      <alignment horizontal="center" vertical="center"/>
    </xf>
    <xf numFmtId="0" fontId="25" fillId="6" borderId="1" xfId="0" applyFont="1" applyFill="1" applyBorder="1"/>
    <xf numFmtId="14" fontId="25" fillId="0" borderId="1" xfId="0" applyNumberFormat="1" applyFont="1" applyBorder="1" applyProtection="1">
      <protection locked="0"/>
    </xf>
    <xf numFmtId="0" fontId="24" fillId="9" borderId="1" xfId="0" applyFont="1" applyFill="1" applyBorder="1"/>
    <xf numFmtId="0" fontId="29" fillId="3" borderId="0" xfId="0" applyFont="1" applyFill="1" applyAlignment="1">
      <alignment horizontal="center"/>
    </xf>
    <xf numFmtId="0" fontId="25" fillId="0" borderId="1" xfId="0" applyFont="1" applyBorder="1" applyAlignment="1" applyProtection="1">
      <alignment horizontal="center"/>
      <protection locked="0"/>
    </xf>
    <xf numFmtId="0" fontId="24" fillId="6" borderId="1" xfId="0" applyFont="1" applyFill="1" applyBorder="1"/>
    <xf numFmtId="0" fontId="25" fillId="6" borderId="1" xfId="0" applyFont="1" applyFill="1" applyBorder="1" applyAlignment="1">
      <alignment wrapText="1"/>
    </xf>
    <xf numFmtId="165" fontId="25" fillId="0" borderId="0" xfId="2" applyNumberFormat="1" applyFont="1"/>
    <xf numFmtId="166" fontId="25" fillId="0" borderId="0" xfId="9" applyNumberFormat="1" applyFont="1"/>
    <xf numFmtId="166" fontId="25" fillId="0" borderId="0" xfId="9" applyNumberFormat="1" applyFont="1" applyAlignment="1">
      <alignment vertical="center"/>
    </xf>
    <xf numFmtId="43" fontId="25" fillId="0" borderId="0" xfId="2" applyFont="1" applyAlignment="1">
      <alignment vertical="center"/>
    </xf>
    <xf numFmtId="166" fontId="24" fillId="0" borderId="0" xfId="9" applyNumberFormat="1" applyFont="1" applyAlignment="1">
      <alignment horizontal="left" vertical="center"/>
    </xf>
    <xf numFmtId="43" fontId="25" fillId="0" borderId="0" xfId="2" applyFont="1" applyAlignment="1" applyProtection="1">
      <alignment horizontal="center" vertical="center"/>
      <protection locked="0"/>
    </xf>
    <xf numFmtId="43" fontId="25" fillId="0" borderId="0" xfId="2" applyFont="1" applyAlignment="1" applyProtection="1">
      <alignment horizontal="left" vertical="center"/>
      <protection locked="0"/>
    </xf>
    <xf numFmtId="165" fontId="4" fillId="0" borderId="0" xfId="2" applyNumberFormat="1" applyFont="1"/>
    <xf numFmtId="165" fontId="3" fillId="0" borderId="0" xfId="2" applyNumberFormat="1" applyFont="1" applyAlignment="1">
      <alignment horizontal="right"/>
    </xf>
    <xf numFmtId="165" fontId="24" fillId="9" borderId="11" xfId="2" applyNumberFormat="1" applyFont="1" applyFill="1" applyBorder="1" applyAlignment="1" applyProtection="1">
      <alignment horizontal="right" vertical="center"/>
    </xf>
    <xf numFmtId="165" fontId="4" fillId="0" borderId="12" xfId="2" applyNumberFormat="1" applyFont="1" applyBorder="1" applyAlignment="1">
      <alignment horizontal="center" vertical="center" wrapText="1"/>
    </xf>
    <xf numFmtId="165" fontId="3" fillId="6" borderId="1" xfId="2" applyNumberFormat="1" applyFont="1" applyFill="1" applyBorder="1" applyAlignment="1" applyProtection="1">
      <alignment horizontal="right" vertical="center"/>
    </xf>
    <xf numFmtId="165" fontId="3" fillId="6" borderId="11" xfId="2" applyNumberFormat="1" applyFont="1" applyFill="1" applyBorder="1" applyAlignment="1" applyProtection="1">
      <alignment horizontal="right" vertical="center"/>
    </xf>
    <xf numFmtId="165" fontId="4" fillId="0" borderId="13" xfId="2" applyNumberFormat="1" applyFont="1" applyBorder="1" applyAlignment="1" applyProtection="1">
      <alignment horizontal="right"/>
    </xf>
    <xf numFmtId="165" fontId="4" fillId="0" borderId="14" xfId="2" applyNumberFormat="1" applyFont="1" applyBorder="1" applyAlignment="1" applyProtection="1">
      <alignment horizontal="right"/>
    </xf>
    <xf numFmtId="165" fontId="4" fillId="0" borderId="15" xfId="2" applyNumberFormat="1" applyFont="1" applyBorder="1" applyAlignment="1" applyProtection="1">
      <alignment horizontal="right"/>
    </xf>
    <xf numFmtId="165" fontId="4" fillId="0" borderId="16" xfId="2" applyNumberFormat="1" applyFont="1" applyBorder="1" applyAlignment="1" applyProtection="1">
      <alignment horizontal="right"/>
    </xf>
    <xf numFmtId="165" fontId="4" fillId="0" borderId="15" xfId="2" applyNumberFormat="1" applyFont="1" applyFill="1" applyBorder="1" applyAlignment="1" applyProtection="1">
      <alignment horizontal="right"/>
    </xf>
    <xf numFmtId="165" fontId="4" fillId="0" borderId="16" xfId="2" applyNumberFormat="1" applyFont="1" applyFill="1" applyBorder="1" applyAlignment="1" applyProtection="1">
      <alignment horizontal="right" vertical="center"/>
    </xf>
    <xf numFmtId="165" fontId="4" fillId="0" borderId="16" xfId="2" applyNumberFormat="1" applyFont="1" applyBorder="1" applyAlignment="1" applyProtection="1">
      <alignment horizontal="right" vertical="center"/>
    </xf>
    <xf numFmtId="165" fontId="4" fillId="0" borderId="17" xfId="2" applyNumberFormat="1" applyFont="1" applyBorder="1" applyAlignment="1" applyProtection="1">
      <alignment horizontal="right"/>
    </xf>
    <xf numFmtId="165" fontId="4" fillId="0" borderId="12" xfId="2" applyNumberFormat="1" applyFont="1" applyBorder="1" applyAlignment="1" applyProtection="1">
      <alignment horizontal="right"/>
    </xf>
    <xf numFmtId="165" fontId="3" fillId="6" borderId="18" xfId="2" applyNumberFormat="1" applyFont="1" applyFill="1" applyBorder="1" applyAlignment="1">
      <alignment horizontal="right" vertical="top" wrapText="1"/>
    </xf>
    <xf numFmtId="165" fontId="4" fillId="0" borderId="1" xfId="2" applyNumberFormat="1" applyFont="1" applyBorder="1" applyAlignment="1" applyProtection="1">
      <alignment vertical="center" wrapText="1"/>
    </xf>
    <xf numFmtId="165" fontId="4" fillId="0" borderId="11" xfId="2" applyNumberFormat="1" applyFont="1" applyBorder="1" applyAlignment="1" applyProtection="1">
      <alignment vertical="center" wrapText="1"/>
    </xf>
    <xf numFmtId="165" fontId="4" fillId="3" borderId="11" xfId="2" applyNumberFormat="1" applyFont="1" applyFill="1" applyBorder="1"/>
    <xf numFmtId="165" fontId="4" fillId="0" borderId="16" xfId="2" applyNumberFormat="1" applyFont="1" applyBorder="1"/>
    <xf numFmtId="166" fontId="3" fillId="9" borderId="11" xfId="9" applyNumberFormat="1" applyFont="1" applyFill="1" applyBorder="1" applyAlignment="1" applyProtection="1">
      <alignment horizontal="right" vertical="center" wrapText="1"/>
    </xf>
    <xf numFmtId="166" fontId="3" fillId="3" borderId="11" xfId="9" applyNumberFormat="1" applyFont="1" applyFill="1" applyBorder="1" applyAlignment="1" applyProtection="1">
      <alignment horizontal="right" vertical="center" wrapText="1"/>
    </xf>
    <xf numFmtId="166" fontId="29" fillId="0" borderId="11" xfId="9" applyNumberFormat="1" applyFont="1" applyBorder="1" applyAlignment="1" applyProtection="1">
      <alignment horizontal="right" vertical="center"/>
    </xf>
    <xf numFmtId="165" fontId="3" fillId="9" borderId="11" xfId="2" applyNumberFormat="1" applyFont="1" applyFill="1" applyBorder="1" applyAlignment="1" applyProtection="1">
      <alignment horizontal="right" vertical="center" wrapText="1"/>
    </xf>
    <xf numFmtId="166" fontId="1" fillId="0" borderId="12" xfId="9" applyNumberFormat="1" applyFont="1" applyBorder="1" applyAlignment="1">
      <alignment horizontal="right" vertical="center" wrapText="1"/>
    </xf>
    <xf numFmtId="166" fontId="29" fillId="0" borderId="19" xfId="9" applyNumberFormat="1" applyFont="1" applyBorder="1" applyAlignment="1">
      <alignment horizontal="right"/>
    </xf>
    <xf numFmtId="165" fontId="24" fillId="0" borderId="0" xfId="2" applyNumberFormat="1" applyFont="1" applyBorder="1" applyAlignment="1">
      <alignment horizontal="left"/>
    </xf>
    <xf numFmtId="165" fontId="24" fillId="0" borderId="0" xfId="2" applyNumberFormat="1" applyFont="1" applyAlignment="1">
      <alignment horizontal="right"/>
    </xf>
    <xf numFmtId="165" fontId="25" fillId="0" borderId="0" xfId="2" applyNumberFormat="1" applyFont="1" applyBorder="1" applyAlignment="1"/>
    <xf numFmtId="166" fontId="25" fillId="0" borderId="0" xfId="9" applyNumberFormat="1" applyFont="1" applyBorder="1"/>
    <xf numFmtId="165" fontId="28" fillId="0" borderId="0" xfId="2" applyNumberFormat="1" applyFont="1" applyAlignment="1">
      <alignment horizontal="left" vertical="center" wrapText="1"/>
    </xf>
    <xf numFmtId="165" fontId="25" fillId="0" borderId="0" xfId="2" applyNumberFormat="1" applyFont="1" applyAlignment="1">
      <alignment horizontal="center" vertical="center"/>
    </xf>
    <xf numFmtId="165" fontId="24" fillId="0" borderId="0" xfId="2" applyNumberFormat="1" applyFont="1" applyAlignment="1">
      <alignment vertical="center"/>
    </xf>
    <xf numFmtId="165" fontId="25" fillId="0" borderId="0" xfId="2" applyNumberFormat="1" applyFont="1" applyAlignment="1" applyProtection="1">
      <alignment horizontal="left" vertical="center"/>
      <protection locked="0"/>
    </xf>
    <xf numFmtId="165" fontId="24" fillId="0" borderId="0" xfId="2" applyNumberFormat="1" applyFont="1" applyAlignment="1">
      <alignment horizontal="center" vertical="center"/>
    </xf>
    <xf numFmtId="165" fontId="4" fillId="3" borderId="1" xfId="2" applyNumberFormat="1" applyFont="1" applyFill="1" applyBorder="1" applyAlignment="1" applyProtection="1">
      <alignment horizontal="right"/>
    </xf>
    <xf numFmtId="165" fontId="4" fillId="3" borderId="1" xfId="2" applyNumberFormat="1" applyFont="1" applyFill="1" applyBorder="1" applyAlignment="1" applyProtection="1">
      <alignment horizontal="center"/>
    </xf>
    <xf numFmtId="43" fontId="25" fillId="0" borderId="0" xfId="2" applyFont="1" applyAlignment="1" applyProtection="1">
      <alignment vertical="center"/>
      <protection locked="0"/>
    </xf>
    <xf numFmtId="0" fontId="28" fillId="0" borderId="0" xfId="0" applyFont="1" applyAlignment="1">
      <alignment vertical="center"/>
    </xf>
    <xf numFmtId="165" fontId="24" fillId="0" borderId="0" xfId="2" applyNumberFormat="1" applyFont="1" applyAlignment="1">
      <alignment horizontal="center"/>
    </xf>
    <xf numFmtId="165" fontId="25" fillId="0" borderId="0" xfId="2" applyNumberFormat="1" applyFont="1" applyBorder="1"/>
    <xf numFmtId="166" fontId="29" fillId="11" borderId="0" xfId="9" applyNumberFormat="1" applyFont="1" applyFill="1" applyBorder="1" applyAlignment="1">
      <alignment horizontal="center" vertical="center"/>
    </xf>
    <xf numFmtId="165" fontId="29" fillId="0" borderId="0" xfId="2" applyNumberFormat="1" applyFont="1" applyBorder="1" applyAlignment="1">
      <alignment horizontal="right"/>
    </xf>
    <xf numFmtId="166" fontId="29" fillId="0" borderId="0" xfId="9" applyNumberFormat="1" applyFont="1" applyBorder="1" applyAlignment="1">
      <alignment horizontal="center" vertical="center"/>
    </xf>
    <xf numFmtId="166" fontId="25" fillId="0" borderId="0" xfId="9" applyNumberFormat="1" applyFont="1" applyBorder="1" applyAlignment="1">
      <alignment horizontal="center" vertical="center"/>
    </xf>
    <xf numFmtId="166" fontId="25" fillId="0" borderId="0" xfId="9" applyNumberFormat="1" applyFont="1" applyAlignment="1">
      <alignment horizontal="center" vertical="center"/>
    </xf>
    <xf numFmtId="165" fontId="25" fillId="9" borderId="1" xfId="2" applyNumberFormat="1" applyFont="1" applyFill="1" applyBorder="1" applyAlignment="1">
      <alignment horizontal="center" vertical="center" wrapText="1"/>
    </xf>
    <xf numFmtId="166" fontId="25" fillId="9" borderId="1" xfId="9" applyNumberFormat="1" applyFont="1" applyFill="1" applyBorder="1" applyAlignment="1">
      <alignment horizontal="center" vertical="center" wrapText="1"/>
    </xf>
    <xf numFmtId="0" fontId="4" fillId="0" borderId="1" xfId="0" applyFont="1" applyBorder="1" applyAlignment="1" applyProtection="1">
      <alignment horizontal="left"/>
      <protection locked="0"/>
    </xf>
    <xf numFmtId="165" fontId="4" fillId="0" borderId="1" xfId="2" applyNumberFormat="1" applyFont="1" applyBorder="1" applyProtection="1">
      <protection locked="0"/>
    </xf>
    <xf numFmtId="165" fontId="4" fillId="0" borderId="1" xfId="2" applyNumberFormat="1" applyFont="1" applyBorder="1" applyAlignment="1" applyProtection="1">
      <alignment wrapText="1"/>
      <protection locked="0"/>
    </xf>
    <xf numFmtId="14" fontId="4" fillId="0" borderId="1" xfId="0" applyNumberFormat="1" applyFont="1" applyBorder="1" applyAlignment="1" applyProtection="1">
      <alignment horizontal="center" vertical="center"/>
      <protection locked="0"/>
    </xf>
    <xf numFmtId="14" fontId="4" fillId="0" borderId="1" xfId="7" applyNumberFormat="1" applyFont="1" applyBorder="1" applyAlignment="1" applyProtection="1">
      <alignment horizontal="center" vertical="center"/>
      <protection locked="0"/>
    </xf>
    <xf numFmtId="0" fontId="4" fillId="0" borderId="1" xfId="7" applyFont="1" applyBorder="1" applyProtection="1">
      <protection locked="0"/>
    </xf>
    <xf numFmtId="165" fontId="5" fillId="0" borderId="1" xfId="2" applyNumberFormat="1" applyFont="1" applyBorder="1" applyAlignment="1" applyProtection="1">
      <alignment horizontal="center"/>
      <protection locked="0"/>
    </xf>
    <xf numFmtId="166" fontId="4" fillId="6" borderId="1" xfId="9" applyNumberFormat="1" applyFont="1" applyFill="1" applyBorder="1" applyAlignment="1" applyProtection="1">
      <alignment horizontal="center" vertical="center"/>
    </xf>
    <xf numFmtId="165" fontId="4" fillId="0" borderId="1" xfId="2" applyNumberFormat="1" applyFont="1" applyBorder="1" applyAlignment="1" applyProtection="1">
      <alignment horizontal="left"/>
      <protection locked="0"/>
    </xf>
    <xf numFmtId="165" fontId="25" fillId="0" borderId="1" xfId="2" applyNumberFormat="1" applyFont="1" applyBorder="1" applyAlignment="1" applyProtection="1">
      <protection locked="0"/>
    </xf>
    <xf numFmtId="165" fontId="25" fillId="0" borderId="1" xfId="2" applyNumberFormat="1" applyFont="1" applyBorder="1" applyAlignment="1" applyProtection="1">
      <alignment wrapText="1"/>
      <protection locked="0"/>
    </xf>
    <xf numFmtId="165" fontId="4" fillId="0" borderId="1" xfId="2" applyNumberFormat="1" applyFont="1" applyBorder="1" applyAlignment="1" applyProtection="1">
      <alignment horizontal="right"/>
      <protection locked="0"/>
    </xf>
    <xf numFmtId="0" fontId="25" fillId="0" borderId="1" xfId="0" applyFont="1" applyBorder="1" applyAlignment="1" applyProtection="1">
      <alignment horizontal="left"/>
      <protection locked="0"/>
    </xf>
    <xf numFmtId="165" fontId="25" fillId="0" borderId="1" xfId="2" applyNumberFormat="1" applyFont="1" applyBorder="1" applyProtection="1">
      <protection locked="0"/>
    </xf>
    <xf numFmtId="165" fontId="24" fillId="9" borderId="1" xfId="2" applyNumberFormat="1" applyFont="1" applyFill="1" applyBorder="1"/>
    <xf numFmtId="165" fontId="3" fillId="9" borderId="1" xfId="2" applyNumberFormat="1" applyFont="1" applyFill="1" applyBorder="1" applyProtection="1"/>
    <xf numFmtId="166" fontId="24" fillId="9" borderId="1" xfId="9" applyNumberFormat="1" applyFont="1" applyFill="1" applyBorder="1" applyAlignment="1">
      <alignment horizontal="center" vertical="center"/>
    </xf>
    <xf numFmtId="0" fontId="4" fillId="3" borderId="1" xfId="0" applyFont="1" applyFill="1" applyBorder="1" applyAlignment="1">
      <alignment horizontal="center" vertical="center"/>
    </xf>
    <xf numFmtId="0" fontId="4" fillId="0" borderId="1" xfId="0" applyFont="1" applyBorder="1" applyAlignment="1" applyProtection="1">
      <alignment horizontal="left" wrapText="1"/>
      <protection locked="0"/>
    </xf>
    <xf numFmtId="166" fontId="4" fillId="0" borderId="1" xfId="9" applyNumberFormat="1" applyFont="1" applyBorder="1" applyAlignment="1" applyProtection="1">
      <alignment horizontal="center" vertical="center"/>
    </xf>
    <xf numFmtId="0" fontId="25" fillId="0" borderId="1" xfId="0" applyFont="1" applyBorder="1" applyAlignment="1">
      <alignment vertical="center"/>
    </xf>
    <xf numFmtId="0" fontId="4" fillId="0" borderId="1" xfId="0" applyFont="1" applyBorder="1" applyAlignment="1">
      <alignment horizontal="left" vertical="center" wrapText="1"/>
    </xf>
    <xf numFmtId="165" fontId="24" fillId="8" borderId="1" xfId="1" applyNumberFormat="1" applyFont="1" applyFill="1" applyBorder="1" applyAlignment="1">
      <alignment vertical="center"/>
    </xf>
    <xf numFmtId="166" fontId="24" fillId="8" borderId="1" xfId="8" applyNumberFormat="1" applyFont="1" applyFill="1" applyBorder="1" applyAlignment="1">
      <alignment vertical="center"/>
    </xf>
    <xf numFmtId="0" fontId="24" fillId="8" borderId="1" xfId="0" applyFont="1" applyFill="1" applyBorder="1" applyAlignment="1">
      <alignment vertical="center"/>
    </xf>
    <xf numFmtId="0" fontId="4" fillId="0" borderId="1" xfId="0" applyFont="1" applyBorder="1" applyAlignment="1">
      <alignment vertical="center"/>
    </xf>
    <xf numFmtId="0" fontId="3" fillId="8" borderId="1" xfId="0" applyFont="1" applyFill="1" applyBorder="1" applyAlignment="1">
      <alignment vertical="center"/>
    </xf>
    <xf numFmtId="165" fontId="25" fillId="0" borderId="1" xfId="1" applyNumberFormat="1" applyFont="1" applyBorder="1" applyAlignment="1">
      <alignment vertical="center"/>
    </xf>
    <xf numFmtId="166" fontId="25" fillId="0" borderId="1" xfId="8" applyNumberFormat="1" applyFont="1" applyBorder="1" applyAlignment="1">
      <alignment vertical="center"/>
    </xf>
    <xf numFmtId="0" fontId="3" fillId="6" borderId="1" xfId="0" applyFont="1" applyFill="1" applyBorder="1" applyAlignment="1">
      <alignment vertical="center"/>
    </xf>
    <xf numFmtId="165" fontId="25" fillId="6" borderId="1" xfId="1" applyNumberFormat="1" applyFont="1" applyFill="1" applyBorder="1" applyAlignment="1">
      <alignment vertical="center"/>
    </xf>
    <xf numFmtId="166" fontId="25" fillId="6" borderId="1" xfId="8" applyNumberFormat="1" applyFont="1" applyFill="1" applyBorder="1" applyAlignment="1">
      <alignment vertical="center"/>
    </xf>
    <xf numFmtId="165" fontId="24" fillId="6" borderId="1" xfId="1" applyNumberFormat="1" applyFont="1" applyFill="1" applyBorder="1" applyAlignment="1">
      <alignment vertical="center"/>
    </xf>
    <xf numFmtId="166" fontId="24" fillId="6" borderId="1" xfId="8" applyNumberFormat="1" applyFont="1" applyFill="1" applyBorder="1" applyAlignment="1">
      <alignment vertical="center"/>
    </xf>
    <xf numFmtId="0" fontId="3" fillId="0" borderId="1" xfId="0" applyFont="1" applyBorder="1" applyAlignment="1">
      <alignment vertical="center"/>
    </xf>
    <xf numFmtId="0" fontId="24" fillId="6" borderId="1" xfId="0" applyFont="1" applyFill="1" applyBorder="1" applyAlignment="1">
      <alignment vertical="center"/>
    </xf>
    <xf numFmtId="0" fontId="4" fillId="6" borderId="1" xfId="0" applyFont="1" applyFill="1" applyBorder="1" applyAlignment="1">
      <alignment vertical="center"/>
    </xf>
    <xf numFmtId="0" fontId="34" fillId="0" borderId="1" xfId="0" applyFont="1" applyBorder="1" applyAlignment="1">
      <alignment vertical="center"/>
    </xf>
    <xf numFmtId="10" fontId="25" fillId="8" borderId="1" xfId="8" applyNumberFormat="1" applyFont="1" applyFill="1" applyBorder="1" applyAlignment="1">
      <alignment vertical="center"/>
    </xf>
    <xf numFmtId="0" fontId="29" fillId="0" borderId="1" xfId="0" applyFont="1" applyBorder="1" applyAlignment="1">
      <alignment vertical="center"/>
    </xf>
    <xf numFmtId="165" fontId="25" fillId="8" borderId="1" xfId="1" applyNumberFormat="1" applyFont="1" applyFill="1" applyBorder="1" applyAlignment="1">
      <alignment vertical="center"/>
    </xf>
    <xf numFmtId="166" fontId="25" fillId="8" borderId="1" xfId="8" applyNumberFormat="1" applyFont="1" applyFill="1" applyBorder="1" applyAlignment="1">
      <alignment vertical="center"/>
    </xf>
    <xf numFmtId="0" fontId="29" fillId="0" borderId="1" xfId="0" applyFont="1" applyBorder="1" applyAlignment="1">
      <alignment vertical="center" wrapText="1"/>
    </xf>
    <xf numFmtId="0" fontId="9" fillId="0" borderId="1" xfId="0" applyFont="1" applyBorder="1" applyAlignment="1">
      <alignment vertical="center"/>
    </xf>
    <xf numFmtId="0" fontId="25" fillId="0" borderId="13" xfId="0" applyFont="1" applyBorder="1"/>
    <xf numFmtId="165" fontId="25" fillId="0" borderId="13" xfId="1" applyNumberFormat="1" applyFont="1" applyBorder="1"/>
    <xf numFmtId="0" fontId="4" fillId="0" borderId="17" xfId="0" applyFont="1" applyBorder="1" applyAlignment="1">
      <alignment vertical="center"/>
    </xf>
    <xf numFmtId="165" fontId="25" fillId="0" borderId="17" xfId="1" applyNumberFormat="1" applyFont="1" applyBorder="1" applyAlignment="1">
      <alignment vertical="center"/>
    </xf>
    <xf numFmtId="0" fontId="4" fillId="0" borderId="20" xfId="0" applyFont="1" applyBorder="1" applyAlignment="1">
      <alignment vertical="center"/>
    </xf>
    <xf numFmtId="166" fontId="25" fillId="0" borderId="21" xfId="8" applyNumberFormat="1" applyFont="1" applyBorder="1"/>
    <xf numFmtId="166" fontId="25" fillId="0" borderId="6" xfId="8" applyNumberFormat="1" applyFont="1" applyBorder="1" applyAlignment="1">
      <alignment vertical="center"/>
    </xf>
    <xf numFmtId="166" fontId="25" fillId="0" borderId="22" xfId="8" applyNumberFormat="1" applyFont="1" applyBorder="1" applyAlignment="1">
      <alignment vertical="center"/>
    </xf>
    <xf numFmtId="0" fontId="4" fillId="0" borderId="15" xfId="0" applyFont="1" applyBorder="1" applyAlignment="1">
      <alignment vertical="center"/>
    </xf>
    <xf numFmtId="0" fontId="9" fillId="0" borderId="15" xfId="0" applyFont="1" applyBorder="1" applyAlignment="1">
      <alignment vertical="center"/>
    </xf>
    <xf numFmtId="165" fontId="25" fillId="0" borderId="15" xfId="1" applyNumberFormat="1" applyFont="1" applyBorder="1" applyAlignment="1">
      <alignment vertical="center"/>
    </xf>
    <xf numFmtId="166" fontId="24" fillId="9" borderId="1" xfId="8" applyNumberFormat="1" applyFont="1" applyFill="1" applyBorder="1"/>
    <xf numFmtId="0" fontId="4" fillId="0" borderId="1" xfId="0" applyFont="1" applyBorder="1" applyAlignment="1">
      <alignment wrapText="1"/>
    </xf>
    <xf numFmtId="165" fontId="24" fillId="9" borderId="1" xfId="2" applyNumberFormat="1" applyFont="1" applyFill="1" applyBorder="1" applyAlignment="1">
      <alignment horizontal="center" vertical="center"/>
    </xf>
    <xf numFmtId="165" fontId="24" fillId="6" borderId="1" xfId="2" applyNumberFormat="1" applyFont="1" applyFill="1" applyBorder="1" applyAlignment="1">
      <alignment horizontal="left"/>
    </xf>
    <xf numFmtId="165" fontId="24" fillId="6" borderId="1" xfId="2" applyNumberFormat="1" applyFont="1" applyFill="1" applyBorder="1"/>
    <xf numFmtId="165" fontId="25" fillId="0" borderId="1" xfId="2" applyNumberFormat="1" applyFont="1" applyBorder="1"/>
    <xf numFmtId="166" fontId="24" fillId="9" borderId="1" xfId="9" applyNumberFormat="1" applyFont="1" applyFill="1" applyBorder="1" applyAlignment="1">
      <alignment horizontal="right" vertical="center"/>
    </xf>
    <xf numFmtId="166" fontId="24" fillId="9" borderId="1" xfId="9" applyNumberFormat="1" applyFont="1" applyFill="1" applyBorder="1" applyAlignment="1">
      <alignment horizontal="right"/>
    </xf>
    <xf numFmtId="0" fontId="25" fillId="6" borderId="1" xfId="0" applyFont="1" applyFill="1" applyBorder="1" applyAlignment="1">
      <alignment horizontal="center"/>
    </xf>
    <xf numFmtId="166" fontId="29" fillId="0" borderId="1" xfId="9" applyNumberFormat="1" applyFont="1" applyBorder="1" applyAlignment="1">
      <alignment horizontal="right"/>
    </xf>
    <xf numFmtId="165" fontId="25" fillId="6" borderId="1" xfId="2" applyNumberFormat="1" applyFont="1" applyFill="1" applyBorder="1"/>
    <xf numFmtId="0" fontId="4" fillId="0" borderId="1" xfId="0" applyFont="1" applyBorder="1" applyAlignment="1">
      <alignment horizontal="center" vertical="center" wrapText="1"/>
    </xf>
    <xf numFmtId="165" fontId="25" fillId="6" borderId="1" xfId="2" applyNumberFormat="1" applyFont="1" applyFill="1" applyBorder="1" applyProtection="1"/>
    <xf numFmtId="167" fontId="25" fillId="6" borderId="1" xfId="2" applyNumberFormat="1" applyFont="1" applyFill="1" applyBorder="1"/>
    <xf numFmtId="0" fontId="25" fillId="6" borderId="1" xfId="2" applyNumberFormat="1" applyFont="1" applyFill="1" applyBorder="1"/>
    <xf numFmtId="10" fontId="28" fillId="6" borderId="1" xfId="9" applyNumberFormat="1" applyFont="1" applyFill="1" applyBorder="1"/>
    <xf numFmtId="165" fontId="4" fillId="0" borderId="1" xfId="2" applyNumberFormat="1" applyFont="1" applyBorder="1" applyAlignment="1">
      <alignment horizontal="center" vertical="center" wrapText="1"/>
    </xf>
    <xf numFmtId="165" fontId="4" fillId="6" borderId="1" xfId="2" applyNumberFormat="1" applyFont="1" applyFill="1" applyBorder="1" applyAlignment="1">
      <alignment horizontal="left"/>
    </xf>
    <xf numFmtId="0" fontId="4" fillId="3" borderId="1" xfId="0" applyFont="1" applyFill="1" applyBorder="1" applyAlignment="1">
      <alignment horizontal="center" vertical="center" wrapText="1"/>
    </xf>
    <xf numFmtId="165" fontId="4" fillId="3" borderId="1" xfId="2" applyNumberFormat="1" applyFont="1" applyFill="1" applyBorder="1" applyAlignment="1" applyProtection="1">
      <alignment horizontal="center" vertical="center" wrapText="1"/>
    </xf>
    <xf numFmtId="0" fontId="3" fillId="8" borderId="1" xfId="0" applyFont="1" applyFill="1" applyBorder="1" applyAlignment="1">
      <alignment horizontal="center" vertical="center" wrapText="1"/>
    </xf>
    <xf numFmtId="165" fontId="3" fillId="8" borderId="1" xfId="2" applyNumberFormat="1" applyFont="1" applyFill="1" applyBorder="1" applyAlignment="1" applyProtection="1">
      <alignment horizontal="center" vertical="center" wrapText="1"/>
    </xf>
    <xf numFmtId="9" fontId="3" fillId="8" borderId="1" xfId="0" applyNumberFormat="1" applyFont="1" applyFill="1" applyBorder="1" applyAlignment="1">
      <alignment horizontal="center" vertical="center" wrapText="1"/>
    </xf>
    <xf numFmtId="9" fontId="4" fillId="3" borderId="1" xfId="9" applyFont="1" applyFill="1" applyBorder="1" applyAlignment="1" applyProtection="1">
      <alignment horizontal="center"/>
      <protection locked="0"/>
    </xf>
    <xf numFmtId="165" fontId="3" fillId="3" borderId="1" xfId="2" applyNumberFormat="1" applyFont="1" applyFill="1" applyBorder="1" applyAlignment="1" applyProtection="1">
      <alignment horizontal="right"/>
    </xf>
    <xf numFmtId="0" fontId="4" fillId="6" borderId="1" xfId="0" applyFont="1" applyFill="1" applyBorder="1" applyAlignment="1">
      <alignment horizontal="center" vertical="top" wrapText="1"/>
    </xf>
    <xf numFmtId="0" fontId="4" fillId="6" borderId="1" xfId="0" applyFont="1" applyFill="1" applyBorder="1" applyAlignment="1">
      <alignment horizontal="left" vertical="top" wrapText="1"/>
    </xf>
    <xf numFmtId="165" fontId="4" fillId="6" borderId="1" xfId="2" applyNumberFormat="1" applyFont="1" applyFill="1" applyBorder="1" applyAlignment="1" applyProtection="1">
      <alignment horizontal="right"/>
    </xf>
    <xf numFmtId="9" fontId="4" fillId="6" borderId="1" xfId="7" applyNumberFormat="1" applyFont="1" applyFill="1" applyBorder="1" applyAlignment="1">
      <alignment horizontal="center"/>
    </xf>
    <xf numFmtId="165" fontId="3" fillId="6" borderId="1" xfId="2" applyNumberFormat="1" applyFont="1" applyFill="1" applyBorder="1" applyAlignment="1" applyProtection="1">
      <alignment horizontal="right"/>
    </xf>
    <xf numFmtId="0" fontId="4" fillId="3" borderId="1" xfId="0" applyFont="1" applyFill="1" applyBorder="1" applyAlignment="1">
      <alignment horizontal="center" vertical="top" wrapText="1"/>
    </xf>
    <xf numFmtId="0" fontId="3" fillId="8" borderId="1" xfId="0" applyFont="1" applyFill="1" applyBorder="1" applyAlignment="1">
      <alignment horizontal="center" vertical="top" wrapText="1"/>
    </xf>
    <xf numFmtId="165" fontId="3" fillId="8" borderId="1" xfId="2" applyNumberFormat="1" applyFont="1" applyFill="1" applyBorder="1" applyAlignment="1" applyProtection="1">
      <alignment horizontal="center"/>
    </xf>
    <xf numFmtId="9" fontId="3" fillId="8" borderId="1" xfId="7" applyNumberFormat="1" applyFont="1" applyFill="1" applyBorder="1" applyAlignment="1">
      <alignment horizontal="center"/>
    </xf>
    <xf numFmtId="165" fontId="4" fillId="3" borderId="1" xfId="2" applyNumberFormat="1" applyFont="1" applyFill="1" applyBorder="1" applyAlignment="1" applyProtection="1">
      <alignment horizontal="center" vertical="center"/>
    </xf>
    <xf numFmtId="9" fontId="4" fillId="3" borderId="1" xfId="9" applyFont="1" applyFill="1" applyBorder="1" applyAlignment="1" applyProtection="1">
      <alignment horizontal="center" vertical="center"/>
      <protection locked="0"/>
    </xf>
    <xf numFmtId="0" fontId="4" fillId="6" borderId="1" xfId="0" applyFont="1" applyFill="1" applyBorder="1" applyAlignment="1">
      <alignment horizontal="center" vertical="center" wrapText="1"/>
    </xf>
    <xf numFmtId="165" fontId="4" fillId="6" borderId="1" xfId="2" applyNumberFormat="1" applyFont="1" applyFill="1" applyBorder="1" applyAlignment="1" applyProtection="1">
      <alignment horizontal="center"/>
    </xf>
    <xf numFmtId="9" fontId="4" fillId="6" borderId="1" xfId="0" applyNumberFormat="1" applyFont="1" applyFill="1" applyBorder="1" applyAlignment="1">
      <alignment horizontal="center" vertical="top" wrapText="1"/>
    </xf>
    <xf numFmtId="0" fontId="3" fillId="8" borderId="1" xfId="0" applyFont="1" applyFill="1" applyBorder="1" applyAlignment="1">
      <alignment horizontal="justify" vertical="top" wrapText="1"/>
    </xf>
    <xf numFmtId="165" fontId="3" fillId="8" borderId="1" xfId="2" applyNumberFormat="1" applyFont="1" applyFill="1" applyBorder="1" applyAlignment="1" applyProtection="1">
      <alignment horizontal="right"/>
    </xf>
    <xf numFmtId="9" fontId="3" fillId="8" borderId="1" xfId="0" applyNumberFormat="1" applyFont="1" applyFill="1" applyBorder="1" applyAlignment="1">
      <alignment horizontal="center" vertical="top" wrapText="1"/>
    </xf>
    <xf numFmtId="165" fontId="4" fillId="3" borderId="1" xfId="2" applyNumberFormat="1" applyFont="1" applyFill="1" applyBorder="1" applyAlignment="1" applyProtection="1">
      <alignment horizontal="right" vertical="center"/>
    </xf>
    <xf numFmtId="0" fontId="4" fillId="6" borderId="1" xfId="0" applyFont="1" applyFill="1" applyBorder="1" applyAlignment="1">
      <alignment horizontal="justify" vertical="top" wrapText="1"/>
    </xf>
    <xf numFmtId="0" fontId="4" fillId="3" borderId="1" xfId="0" applyFont="1" applyFill="1" applyBorder="1" applyAlignment="1">
      <alignment vertical="center" wrapText="1"/>
    </xf>
    <xf numFmtId="165" fontId="4" fillId="8" borderId="1" xfId="2" applyNumberFormat="1" applyFont="1" applyFill="1" applyBorder="1" applyAlignment="1" applyProtection="1">
      <alignment horizontal="right"/>
    </xf>
    <xf numFmtId="9" fontId="4" fillId="8" borderId="1" xfId="9" applyFont="1" applyFill="1" applyBorder="1" applyAlignment="1" applyProtection="1">
      <alignment horizontal="center"/>
      <protection locked="0"/>
    </xf>
    <xf numFmtId="165" fontId="3" fillId="3" borderId="1" xfId="2" applyNumberFormat="1" applyFont="1" applyFill="1" applyBorder="1" applyAlignment="1" applyProtection="1">
      <alignment vertical="center"/>
    </xf>
    <xf numFmtId="165" fontId="3" fillId="8" borderId="1" xfId="2" applyNumberFormat="1" applyFont="1" applyFill="1" applyBorder="1" applyAlignment="1" applyProtection="1">
      <alignment vertical="center"/>
    </xf>
    <xf numFmtId="9" fontId="3" fillId="8" borderId="1" xfId="9" applyFont="1" applyFill="1" applyBorder="1" applyAlignment="1" applyProtection="1">
      <alignment horizontal="center"/>
      <protection locked="0"/>
    </xf>
    <xf numFmtId="9" fontId="4" fillId="3" borderId="1" xfId="0" applyNumberFormat="1" applyFont="1" applyFill="1" applyBorder="1" applyAlignment="1" applyProtection="1">
      <alignment horizontal="center" vertical="center" wrapText="1"/>
      <protection locked="0"/>
    </xf>
    <xf numFmtId="165" fontId="3" fillId="8" borderId="1" xfId="2" applyNumberFormat="1" applyFont="1" applyFill="1" applyBorder="1" applyAlignment="1" applyProtection="1">
      <alignment horizontal="right" vertical="center"/>
    </xf>
    <xf numFmtId="9" fontId="4" fillId="8" borderId="1" xfId="0" applyNumberFormat="1" applyFont="1" applyFill="1" applyBorder="1" applyAlignment="1" applyProtection="1">
      <alignment horizontal="center" vertical="center" wrapText="1"/>
      <protection locked="0"/>
    </xf>
    <xf numFmtId="165" fontId="3" fillId="3" borderId="1" xfId="2" applyNumberFormat="1" applyFont="1" applyFill="1" applyBorder="1" applyAlignment="1" applyProtection="1">
      <alignment vertical="center"/>
      <protection locked="0"/>
    </xf>
    <xf numFmtId="165" fontId="3" fillId="9" borderId="1" xfId="2" applyNumberFormat="1" applyFont="1" applyFill="1" applyBorder="1" applyAlignment="1" applyProtection="1">
      <alignment horizontal="right" vertical="center"/>
    </xf>
    <xf numFmtId="0" fontId="3" fillId="9" borderId="1" xfId="0" applyFont="1" applyFill="1" applyBorder="1" applyAlignment="1">
      <alignment horizontal="justify" vertical="center" wrapText="1"/>
    </xf>
    <xf numFmtId="165" fontId="3" fillId="9" borderId="1" xfId="2" applyNumberFormat="1" applyFont="1" applyFill="1" applyBorder="1" applyAlignment="1" applyProtection="1">
      <alignment horizontal="center" vertical="center"/>
    </xf>
    <xf numFmtId="165" fontId="28" fillId="9" borderId="1" xfId="2" applyNumberFormat="1" applyFont="1" applyFill="1" applyBorder="1" applyAlignment="1" applyProtection="1">
      <alignment horizontal="center" vertical="center"/>
    </xf>
    <xf numFmtId="165" fontId="25" fillId="3" borderId="1" xfId="2" applyNumberFormat="1" applyFont="1" applyFill="1" applyBorder="1" applyProtection="1">
      <protection locked="0"/>
    </xf>
    <xf numFmtId="165" fontId="25" fillId="9" borderId="1" xfId="2" applyNumberFormat="1" applyFont="1" applyFill="1" applyBorder="1"/>
    <xf numFmtId="166" fontId="24" fillId="9" borderId="1" xfId="9" applyNumberFormat="1" applyFont="1" applyFill="1" applyBorder="1" applyAlignment="1">
      <alignment vertical="center"/>
    </xf>
    <xf numFmtId="166" fontId="25" fillId="0" borderId="1" xfId="9" applyNumberFormat="1" applyFont="1" applyBorder="1" applyProtection="1">
      <protection locked="0"/>
    </xf>
    <xf numFmtId="49" fontId="25" fillId="0" borderId="1" xfId="2" applyNumberFormat="1" applyFont="1" applyBorder="1" applyProtection="1">
      <protection locked="0"/>
    </xf>
    <xf numFmtId="166" fontId="29" fillId="11" borderId="0" xfId="9" applyNumberFormat="1" applyFont="1" applyFill="1"/>
    <xf numFmtId="166" fontId="25" fillId="0" borderId="0" xfId="9" applyNumberFormat="1" applyFont="1" applyAlignment="1" applyProtection="1">
      <alignment horizontal="center" vertical="center"/>
      <protection locked="0"/>
    </xf>
    <xf numFmtId="0" fontId="25" fillId="6" borderId="1" xfId="0" applyFont="1" applyFill="1" applyBorder="1" applyAlignment="1">
      <alignment horizontal="center" vertical="center"/>
    </xf>
    <xf numFmtId="166" fontId="25" fillId="6" borderId="1" xfId="9" applyNumberFormat="1" applyFont="1" applyFill="1" applyBorder="1"/>
    <xf numFmtId="165" fontId="25" fillId="9" borderId="1" xfId="2" applyNumberFormat="1" applyFont="1" applyFill="1" applyBorder="1" applyAlignment="1">
      <alignment horizontal="center" vertical="center"/>
    </xf>
    <xf numFmtId="166" fontId="25" fillId="6" borderId="1" xfId="9" applyNumberFormat="1" applyFont="1" applyFill="1" applyBorder="1" applyAlignment="1">
      <alignment horizontal="center" vertical="center"/>
    </xf>
    <xf numFmtId="43" fontId="24" fillId="9" borderId="1" xfId="2" applyFont="1" applyFill="1" applyBorder="1"/>
    <xf numFmtId="166" fontId="3" fillId="9" borderId="1" xfId="9" applyNumberFormat="1" applyFont="1" applyFill="1" applyBorder="1" applyAlignment="1">
      <alignment horizontal="center" vertical="center"/>
    </xf>
    <xf numFmtId="166" fontId="3" fillId="9" borderId="1" xfId="9" applyNumberFormat="1" applyFont="1" applyFill="1" applyBorder="1"/>
    <xf numFmtId="43" fontId="3" fillId="9" borderId="1" xfId="2" applyFont="1" applyFill="1" applyBorder="1" applyAlignment="1"/>
    <xf numFmtId="165" fontId="28" fillId="3" borderId="0" xfId="2" applyNumberFormat="1" applyFont="1" applyFill="1" applyBorder="1"/>
    <xf numFmtId="165" fontId="24" fillId="3" borderId="0" xfId="2" applyNumberFormat="1" applyFont="1" applyFill="1" applyBorder="1"/>
    <xf numFmtId="166" fontId="24" fillId="3" borderId="0" xfId="9" applyNumberFormat="1" applyFont="1" applyFill="1" applyBorder="1" applyAlignment="1">
      <alignment horizontal="center" vertical="center"/>
    </xf>
    <xf numFmtId="166" fontId="28" fillId="3" borderId="0" xfId="9" applyNumberFormat="1" applyFont="1" applyFill="1" applyBorder="1"/>
    <xf numFmtId="166" fontId="28" fillId="11" borderId="0" xfId="9" applyNumberFormat="1" applyFont="1" applyFill="1"/>
    <xf numFmtId="166" fontId="24" fillId="9" borderId="1" xfId="9" applyNumberFormat="1" applyFont="1" applyFill="1" applyBorder="1"/>
    <xf numFmtId="165" fontId="28" fillId="6" borderId="1" xfId="2" applyNumberFormat="1" applyFont="1" applyFill="1" applyBorder="1"/>
    <xf numFmtId="165" fontId="28" fillId="9" borderId="1" xfId="2" applyNumberFormat="1" applyFont="1" applyFill="1" applyBorder="1"/>
    <xf numFmtId="0" fontId="25" fillId="6" borderId="1" xfId="0" applyFont="1" applyFill="1" applyBorder="1" applyAlignment="1">
      <alignment horizontal="center" wrapText="1"/>
    </xf>
    <xf numFmtId="9" fontId="24" fillId="0" borderId="0" xfId="9" applyFont="1" applyAlignment="1"/>
    <xf numFmtId="9" fontId="28" fillId="0" borderId="0" xfId="9" applyFont="1" applyAlignment="1"/>
    <xf numFmtId="165" fontId="25" fillId="0" borderId="1" xfId="2" applyNumberFormat="1" applyFont="1" applyBorder="1" applyAlignment="1" applyProtection="1">
      <alignment horizontal="justify" vertical="top" wrapText="1"/>
      <protection locked="0"/>
    </xf>
    <xf numFmtId="165" fontId="25" fillId="3" borderId="1" xfId="2" applyNumberFormat="1" applyFont="1" applyFill="1" applyBorder="1" applyAlignment="1" applyProtection="1">
      <alignment horizontal="justify" vertical="top" wrapText="1"/>
      <protection locked="0"/>
    </xf>
    <xf numFmtId="9" fontId="25" fillId="0" borderId="0" xfId="9" applyFont="1"/>
    <xf numFmtId="0" fontId="24" fillId="0" borderId="1" xfId="0" applyFont="1" applyBorder="1" applyAlignment="1">
      <alignment horizontal="center" vertical="center"/>
    </xf>
    <xf numFmtId="166" fontId="24" fillId="0" borderId="1" xfId="9" applyNumberFormat="1" applyFont="1" applyBorder="1" applyAlignment="1">
      <alignment horizontal="center" vertical="center"/>
    </xf>
    <xf numFmtId="0" fontId="2" fillId="3" borderId="1" xfId="0" applyFont="1" applyFill="1" applyBorder="1" applyAlignment="1">
      <alignment vertical="center" wrapText="1"/>
    </xf>
    <xf numFmtId="166" fontId="4" fillId="3" borderId="1" xfId="9" applyNumberFormat="1" applyFont="1" applyFill="1" applyBorder="1" applyAlignment="1" applyProtection="1">
      <alignment horizontal="center" vertical="center" wrapText="1"/>
    </xf>
    <xf numFmtId="166" fontId="2" fillId="3" borderId="1" xfId="9" applyNumberFormat="1" applyFont="1" applyFill="1" applyBorder="1" applyAlignment="1">
      <alignment horizontal="center" vertical="center" wrapText="1"/>
    </xf>
    <xf numFmtId="0" fontId="25" fillId="0" borderId="1" xfId="0" applyFont="1" applyBorder="1" applyAlignment="1">
      <alignment wrapText="1"/>
    </xf>
    <xf numFmtId="166" fontId="25" fillId="0" borderId="1" xfId="9" applyNumberFormat="1" applyFont="1" applyBorder="1" applyAlignment="1">
      <alignment horizontal="center" vertical="center"/>
    </xf>
    <xf numFmtId="165" fontId="25" fillId="0" borderId="1" xfId="2" applyNumberFormat="1" applyFont="1" applyBorder="1" applyAlignment="1">
      <alignment horizontal="center" vertical="center"/>
    </xf>
    <xf numFmtId="0" fontId="25" fillId="3" borderId="0" xfId="5" applyFont="1" applyFill="1" applyAlignment="1">
      <alignment horizontal="left" vertical="center" wrapText="1"/>
    </xf>
    <xf numFmtId="0" fontId="25" fillId="0" borderId="0" xfId="5" applyFont="1" applyAlignment="1">
      <alignment horizontal="left" vertical="center" wrapText="1"/>
    </xf>
    <xf numFmtId="0" fontId="25" fillId="0" borderId="0" xfId="5" quotePrefix="1" applyFont="1" applyAlignment="1">
      <alignment horizontal="left" vertical="center" wrapText="1"/>
    </xf>
    <xf numFmtId="14" fontId="24" fillId="0" borderId="0" xfId="0" applyNumberFormat="1" applyFont="1" applyAlignment="1">
      <alignment horizontal="left"/>
    </xf>
    <xf numFmtId="0" fontId="24" fillId="9" borderId="1" xfId="0" applyFont="1" applyFill="1" applyBorder="1" applyAlignment="1">
      <alignment horizontal="center" vertical="center"/>
    </xf>
    <xf numFmtId="0" fontId="28" fillId="0" borderId="0" xfId="0" applyFont="1" applyAlignment="1">
      <alignment horizontal="center" vertical="center" wrapText="1"/>
    </xf>
    <xf numFmtId="0" fontId="25" fillId="9" borderId="1" xfId="0" applyFont="1" applyFill="1" applyBorder="1" applyAlignment="1">
      <alignment horizontal="center" vertical="center" wrapText="1"/>
    </xf>
    <xf numFmtId="0" fontId="33" fillId="10" borderId="0" xfId="0" applyFont="1" applyFill="1" applyAlignment="1">
      <alignment horizontal="left" wrapText="1"/>
    </xf>
    <xf numFmtId="0" fontId="33" fillId="0" borderId="0" xfId="0" applyFont="1" applyAlignment="1">
      <alignment horizontal="left" wrapText="1"/>
    </xf>
    <xf numFmtId="9" fontId="25" fillId="9" borderId="1" xfId="9" applyFont="1" applyFill="1" applyBorder="1" applyAlignment="1">
      <alignment horizontal="center" vertical="center"/>
    </xf>
    <xf numFmtId="9" fontId="25" fillId="9" borderId="1" xfId="9" applyFont="1" applyFill="1" applyBorder="1" applyAlignment="1">
      <alignment horizontal="center" vertical="center" wrapText="1"/>
    </xf>
    <xf numFmtId="43" fontId="25" fillId="0" borderId="0" xfId="2" applyFont="1" applyBorder="1" applyAlignment="1">
      <alignment vertical="center"/>
    </xf>
    <xf numFmtId="43" fontId="24" fillId="0" borderId="0" xfId="2" applyFont="1" applyAlignment="1">
      <alignment horizontal="right" vertical="center"/>
    </xf>
    <xf numFmtId="43" fontId="29" fillId="0" borderId="0" xfId="2" applyFont="1" applyAlignment="1">
      <alignment vertical="center"/>
    </xf>
    <xf numFmtId="43" fontId="28" fillId="0" borderId="0" xfId="2" applyFont="1" applyAlignment="1">
      <alignment vertical="center"/>
    </xf>
    <xf numFmtId="43" fontId="25" fillId="0" borderId="0" xfId="2" applyFont="1" applyAlignment="1" applyProtection="1">
      <alignment vertical="center"/>
    </xf>
    <xf numFmtId="166" fontId="24" fillId="6" borderId="1" xfId="9" applyNumberFormat="1" applyFont="1" applyFill="1" applyBorder="1" applyAlignment="1">
      <alignment horizontal="right"/>
    </xf>
    <xf numFmtId="166" fontId="3" fillId="0" borderId="11" xfId="8" applyNumberFormat="1" applyFont="1" applyBorder="1" applyAlignment="1" applyProtection="1">
      <alignment horizontal="right" vertical="center"/>
    </xf>
    <xf numFmtId="165" fontId="4" fillId="0" borderId="1" xfId="2" applyNumberFormat="1" applyFont="1" applyBorder="1" applyAlignment="1" applyProtection="1">
      <protection locked="0"/>
    </xf>
    <xf numFmtId="43" fontId="4" fillId="0" borderId="1" xfId="1" applyFont="1" applyBorder="1" applyProtection="1">
      <protection locked="0"/>
    </xf>
    <xf numFmtId="43" fontId="25" fillId="0" borderId="1" xfId="1" applyFont="1" applyBorder="1" applyAlignment="1" applyProtection="1">
      <protection locked="0"/>
    </xf>
    <xf numFmtId="43" fontId="25" fillId="0" borderId="1" xfId="1" applyFont="1" applyBorder="1" applyAlignment="1" applyProtection="1">
      <alignment wrapText="1"/>
      <protection locked="0"/>
    </xf>
    <xf numFmtId="43" fontId="4" fillId="0" borderId="1" xfId="1" applyFont="1" applyBorder="1" applyAlignment="1" applyProtection="1">
      <alignment horizontal="left"/>
      <protection locked="0"/>
    </xf>
    <xf numFmtId="43" fontId="25" fillId="0" borderId="1" xfId="1" applyFont="1" applyBorder="1" applyProtection="1">
      <protection locked="0"/>
    </xf>
    <xf numFmtId="165" fontId="4" fillId="0" borderId="1" xfId="2" applyNumberFormat="1" applyFont="1" applyBorder="1" applyAlignment="1" applyProtection="1">
      <alignment horizontal="center"/>
      <protection locked="0"/>
    </xf>
    <xf numFmtId="165" fontId="24" fillId="9" borderId="1" xfId="2" applyNumberFormat="1" applyFont="1" applyFill="1" applyBorder="1" applyAlignment="1">
      <alignment horizontal="center"/>
    </xf>
    <xf numFmtId="165" fontId="29" fillId="0" borderId="0" xfId="2" applyNumberFormat="1" applyFont="1" applyBorder="1" applyAlignment="1">
      <alignment horizontal="center"/>
    </xf>
    <xf numFmtId="165" fontId="25" fillId="0" borderId="0" xfId="2" applyNumberFormat="1" applyFont="1" applyBorder="1" applyAlignment="1">
      <alignment horizontal="center"/>
    </xf>
    <xf numFmtId="165" fontId="25" fillId="0" borderId="0" xfId="2" applyNumberFormat="1" applyFont="1" applyAlignment="1">
      <alignment horizontal="center"/>
    </xf>
    <xf numFmtId="166" fontId="4" fillId="0" borderId="1" xfId="8" applyNumberFormat="1" applyFont="1" applyBorder="1" applyProtection="1">
      <protection locked="0"/>
    </xf>
    <xf numFmtId="0" fontId="4" fillId="0" borderId="20" xfId="0" applyFont="1" applyBorder="1" applyAlignment="1" applyProtection="1">
      <alignment horizontal="left"/>
      <protection locked="0"/>
    </xf>
    <xf numFmtId="0" fontId="25" fillId="0" borderId="20" xfId="0" applyFont="1" applyBorder="1" applyAlignment="1" applyProtection="1">
      <alignment horizontal="left"/>
      <protection locked="0"/>
    </xf>
    <xf numFmtId="0" fontId="4" fillId="3" borderId="23" xfId="0" applyFont="1" applyFill="1" applyBorder="1" applyAlignment="1">
      <alignment horizontal="center" vertical="center"/>
    </xf>
    <xf numFmtId="166" fontId="25" fillId="6" borderId="1" xfId="8" applyNumberFormat="1" applyFont="1" applyFill="1" applyBorder="1"/>
    <xf numFmtId="9" fontId="25" fillId="0" borderId="0" xfId="8" applyFont="1"/>
    <xf numFmtId="165" fontId="25" fillId="0" borderId="1" xfId="1" applyNumberFormat="1" applyFont="1" applyBorder="1" applyProtection="1">
      <protection locked="0"/>
    </xf>
    <xf numFmtId="43" fontId="25" fillId="12" borderId="1" xfId="1" applyFont="1" applyFill="1" applyBorder="1" applyProtection="1">
      <protection locked="0"/>
    </xf>
    <xf numFmtId="0" fontId="4" fillId="6" borderId="23" xfId="0" applyFont="1" applyFill="1" applyBorder="1" applyAlignment="1">
      <alignment horizontal="center" vertical="center"/>
    </xf>
    <xf numFmtId="165" fontId="24" fillId="0" borderId="1" xfId="2" applyNumberFormat="1" applyFont="1" applyBorder="1" applyAlignment="1">
      <alignment horizontal="center"/>
    </xf>
    <xf numFmtId="0" fontId="35" fillId="9" borderId="1" xfId="5" applyFont="1" applyFill="1" applyBorder="1" applyAlignment="1">
      <alignment vertical="center" wrapText="1"/>
    </xf>
    <xf numFmtId="165" fontId="36" fillId="9" borderId="1" xfId="1" applyNumberFormat="1" applyFont="1" applyFill="1" applyBorder="1" applyAlignment="1" applyProtection="1">
      <alignment horizontal="right" vertical="center"/>
    </xf>
    <xf numFmtId="164" fontId="36" fillId="9" borderId="1" xfId="1" applyNumberFormat="1" applyFont="1" applyFill="1" applyBorder="1" applyAlignment="1" applyProtection="1">
      <alignment horizontal="right" vertical="center"/>
    </xf>
    <xf numFmtId="166" fontId="18" fillId="9" borderId="1" xfId="8" applyNumberFormat="1" applyFont="1" applyFill="1" applyBorder="1" applyAlignment="1" applyProtection="1">
      <alignment horizontal="right" vertical="center"/>
    </xf>
    <xf numFmtId="166" fontId="36" fillId="9" borderId="1" xfId="8" applyNumberFormat="1" applyFont="1" applyFill="1" applyBorder="1" applyProtection="1"/>
    <xf numFmtId="164" fontId="35" fillId="3" borderId="1" xfId="1" applyNumberFormat="1" applyFont="1" applyFill="1" applyBorder="1" applyAlignment="1" applyProtection="1">
      <alignment horizontal="right" vertical="center"/>
      <protection locked="0"/>
    </xf>
    <xf numFmtId="164" fontId="19" fillId="3" borderId="1" xfId="2" applyNumberFormat="1" applyFont="1" applyFill="1" applyBorder="1" applyAlignment="1" applyProtection="1">
      <alignment horizontal="right" vertical="center"/>
      <protection locked="0"/>
    </xf>
    <xf numFmtId="166" fontId="19" fillId="3" borderId="1" xfId="9" applyNumberFormat="1" applyFont="1" applyFill="1" applyBorder="1" applyAlignment="1" applyProtection="1">
      <alignment horizontal="right" vertical="center"/>
      <protection locked="0"/>
    </xf>
    <xf numFmtId="164" fontId="35" fillId="0" borderId="1" xfId="1" applyNumberFormat="1" applyFont="1" applyFill="1" applyBorder="1" applyAlignment="1" applyProtection="1">
      <alignment horizontal="right" vertical="center"/>
      <protection locked="0"/>
    </xf>
    <xf numFmtId="164" fontId="19" fillId="0" borderId="1" xfId="2" applyNumberFormat="1" applyFont="1" applyFill="1" applyBorder="1" applyAlignment="1" applyProtection="1">
      <alignment horizontal="right" vertical="center"/>
      <protection locked="0"/>
    </xf>
    <xf numFmtId="164" fontId="19" fillId="0" borderId="1" xfId="1" applyNumberFormat="1" applyFont="1" applyFill="1" applyBorder="1" applyAlignment="1" applyProtection="1">
      <alignment horizontal="right" vertical="center"/>
      <protection locked="0"/>
    </xf>
    <xf numFmtId="165" fontId="35" fillId="6" borderId="1" xfId="1" applyNumberFormat="1" applyFont="1" applyFill="1" applyBorder="1" applyAlignment="1" applyProtection="1">
      <alignment horizontal="right" vertical="center"/>
      <protection locked="0"/>
    </xf>
    <xf numFmtId="164" fontId="35" fillId="6" borderId="1" xfId="1" applyNumberFormat="1" applyFont="1" applyFill="1" applyBorder="1" applyAlignment="1" applyProtection="1">
      <alignment horizontal="right" vertical="center"/>
      <protection locked="0"/>
    </xf>
    <xf numFmtId="164" fontId="19" fillId="6" borderId="1" xfId="1" applyNumberFormat="1" applyFont="1" applyFill="1" applyBorder="1" applyAlignment="1" applyProtection="1">
      <alignment horizontal="right" vertical="center"/>
      <protection locked="0"/>
    </xf>
    <xf numFmtId="166" fontId="19" fillId="6" borderId="1" xfId="8" applyNumberFormat="1" applyFont="1" applyFill="1" applyBorder="1" applyAlignment="1" applyProtection="1">
      <alignment horizontal="right" vertical="center"/>
      <protection locked="0"/>
    </xf>
    <xf numFmtId="166" fontId="35" fillId="6" borderId="1" xfId="8" applyNumberFormat="1" applyFont="1" applyFill="1" applyBorder="1" applyProtection="1">
      <protection locked="0"/>
    </xf>
    <xf numFmtId="165" fontId="35" fillId="9" borderId="1" xfId="1" applyNumberFormat="1" applyFont="1" applyFill="1" applyBorder="1" applyAlignment="1" applyProtection="1">
      <alignment horizontal="center" vertical="center"/>
    </xf>
    <xf numFmtId="164" fontId="18" fillId="0" borderId="0" xfId="1" applyNumberFormat="1" applyFont="1" applyProtection="1"/>
    <xf numFmtId="0" fontId="36" fillId="9" borderId="1" xfId="5" applyFont="1" applyFill="1" applyBorder="1" applyAlignment="1">
      <alignment vertical="center" wrapText="1"/>
    </xf>
    <xf numFmtId="166" fontId="19" fillId="0" borderId="1" xfId="8" applyNumberFormat="1" applyFont="1" applyFill="1" applyBorder="1" applyAlignment="1" applyProtection="1">
      <alignment horizontal="right" vertical="center"/>
      <protection locked="0"/>
    </xf>
    <xf numFmtId="166" fontId="35" fillId="0" borderId="1" xfId="8" applyNumberFormat="1" applyFont="1" applyFill="1" applyBorder="1" applyProtection="1">
      <protection locked="0"/>
    </xf>
    <xf numFmtId="165" fontId="35" fillId="0" borderId="1" xfId="1" applyNumberFormat="1" applyFont="1" applyFill="1" applyBorder="1" applyAlignment="1" applyProtection="1">
      <alignment horizontal="center" vertical="center"/>
      <protection locked="0"/>
    </xf>
    <xf numFmtId="0" fontId="4" fillId="0" borderId="23" xfId="0" applyFont="1" applyBorder="1" applyAlignment="1" applyProtection="1">
      <alignment horizontal="left"/>
      <protection locked="0"/>
    </xf>
    <xf numFmtId="165" fontId="24" fillId="9" borderId="1" xfId="2" applyNumberFormat="1" applyFont="1" applyFill="1" applyBorder="1" applyAlignment="1">
      <alignment vertical="top" wrapText="1"/>
    </xf>
    <xf numFmtId="165" fontId="24" fillId="9" borderId="1" xfId="2" applyNumberFormat="1" applyFont="1" applyFill="1" applyBorder="1" applyAlignment="1">
      <alignment horizontal="justify" vertical="top" wrapText="1"/>
    </xf>
    <xf numFmtId="166" fontId="25" fillId="9" borderId="1" xfId="9" applyNumberFormat="1" applyFont="1" applyFill="1" applyBorder="1"/>
    <xf numFmtId="0" fontId="4" fillId="9" borderId="1" xfId="0" applyFont="1" applyFill="1" applyBorder="1" applyAlignment="1">
      <alignment vertical="center"/>
    </xf>
    <xf numFmtId="0" fontId="4" fillId="9" borderId="1" xfId="0" applyFont="1" applyFill="1" applyBorder="1" applyAlignment="1">
      <alignment horizontal="center" vertical="center"/>
    </xf>
    <xf numFmtId="165" fontId="24" fillId="9" borderId="1" xfId="2" applyNumberFormat="1" applyFont="1" applyFill="1" applyBorder="1" applyAlignment="1">
      <alignment vertical="center"/>
    </xf>
    <xf numFmtId="0" fontId="24" fillId="9" borderId="1" xfId="0" applyFont="1" applyFill="1" applyBorder="1" applyAlignment="1">
      <alignment vertical="center"/>
    </xf>
    <xf numFmtId="0" fontId="3" fillId="9" borderId="1" xfId="0" applyFont="1" applyFill="1" applyBorder="1" applyAlignment="1">
      <alignment horizontal="center" vertical="center"/>
    </xf>
    <xf numFmtId="0" fontId="25" fillId="9" borderId="13" xfId="0" applyFont="1" applyFill="1" applyBorder="1" applyAlignment="1">
      <alignment horizontal="center" vertical="center"/>
    </xf>
    <xf numFmtId="164" fontId="3" fillId="4" borderId="1" xfId="1" applyNumberFormat="1" applyFont="1" applyFill="1" applyBorder="1" applyProtection="1"/>
    <xf numFmtId="164" fontId="4" fillId="6" borderId="1" xfId="1" applyNumberFormat="1" applyFont="1" applyFill="1" applyBorder="1" applyProtection="1"/>
    <xf numFmtId="43" fontId="25" fillId="0" borderId="0" xfId="2" applyFont="1" applyAlignment="1">
      <alignment horizontal="left" vertical="center"/>
    </xf>
    <xf numFmtId="0" fontId="23" fillId="0" borderId="1" xfId="4" applyBorder="1" applyProtection="1">
      <protection locked="0"/>
    </xf>
    <xf numFmtId="9" fontId="25" fillId="0" borderId="1" xfId="0" applyNumberFormat="1" applyFont="1" applyBorder="1" applyProtection="1">
      <protection locked="0"/>
    </xf>
    <xf numFmtId="0" fontId="24" fillId="9" borderId="1" xfId="0" applyFont="1" applyFill="1" applyBorder="1" applyAlignment="1">
      <alignment horizontal="center"/>
    </xf>
    <xf numFmtId="43" fontId="24" fillId="8" borderId="1" xfId="2" applyFont="1" applyFill="1" applyBorder="1" applyAlignment="1">
      <alignment vertical="center"/>
    </xf>
    <xf numFmtId="0" fontId="24" fillId="8" borderId="1" xfId="0" applyFont="1" applyFill="1" applyBorder="1" applyAlignment="1">
      <alignment horizontal="center" vertical="center"/>
    </xf>
    <xf numFmtId="0" fontId="25" fillId="0" borderId="1" xfId="0" applyFont="1" applyBorder="1" applyAlignment="1">
      <alignment horizontal="left" vertical="center"/>
    </xf>
    <xf numFmtId="0" fontId="25" fillId="8" borderId="1" xfId="0" applyFont="1" applyFill="1" applyBorder="1" applyAlignment="1">
      <alignment horizontal="left" vertical="center" wrapText="1"/>
    </xf>
    <xf numFmtId="0" fontId="25" fillId="8" borderId="1" xfId="0" applyFont="1" applyFill="1" applyBorder="1" applyAlignment="1">
      <alignment horizontal="center" vertical="center"/>
    </xf>
    <xf numFmtId="43" fontId="25" fillId="8" borderId="1" xfId="2" applyFont="1" applyFill="1" applyBorder="1" applyAlignment="1">
      <alignment vertical="center"/>
    </xf>
    <xf numFmtId="0" fontId="25" fillId="0" borderId="1" xfId="0" applyFont="1" applyBorder="1" applyAlignment="1">
      <alignment horizontal="left" vertical="center" wrapText="1"/>
    </xf>
    <xf numFmtId="43" fontId="25" fillId="0" borderId="1" xfId="2" applyFont="1" applyBorder="1" applyAlignment="1" applyProtection="1">
      <alignment vertical="center"/>
      <protection locked="0"/>
    </xf>
    <xf numFmtId="0" fontId="29" fillId="8" borderId="1" xfId="0" applyFont="1" applyFill="1" applyBorder="1" applyAlignment="1">
      <alignment horizontal="left" vertical="center" wrapText="1"/>
    </xf>
    <xf numFmtId="43" fontId="29" fillId="8" borderId="1" xfId="2" applyFont="1" applyFill="1" applyBorder="1" applyAlignment="1">
      <alignment vertical="center"/>
    </xf>
    <xf numFmtId="0" fontId="4" fillId="0" borderId="1" xfId="0" applyFont="1" applyBorder="1" applyAlignment="1">
      <alignment horizontal="center" vertical="center"/>
    </xf>
    <xf numFmtId="43" fontId="25" fillId="0" borderId="1" xfId="2" applyFont="1" applyBorder="1" applyAlignment="1" applyProtection="1">
      <alignment vertical="center"/>
    </xf>
    <xf numFmtId="0" fontId="25" fillId="0" borderId="1" xfId="0" applyFont="1" applyBorder="1" applyAlignment="1">
      <alignment vertical="center" wrapText="1"/>
    </xf>
    <xf numFmtId="0" fontId="29" fillId="8" borderId="1" xfId="0" applyFont="1" applyFill="1" applyBorder="1" applyAlignment="1">
      <alignment horizontal="center" vertical="center"/>
    </xf>
    <xf numFmtId="0" fontId="25" fillId="3" borderId="1" xfId="0" applyFont="1" applyFill="1" applyBorder="1" applyAlignment="1">
      <alignment horizontal="left" vertical="center" wrapText="1"/>
    </xf>
    <xf numFmtId="0" fontId="24" fillId="3" borderId="1" xfId="0" applyFont="1" applyFill="1" applyBorder="1" applyAlignment="1">
      <alignment horizontal="left" vertical="center" wrapText="1"/>
    </xf>
    <xf numFmtId="0" fontId="25" fillId="3" borderId="1" xfId="0" applyFont="1" applyFill="1" applyBorder="1" applyAlignment="1">
      <alignment vertical="center" wrapText="1"/>
    </xf>
    <xf numFmtId="0" fontId="25" fillId="3" borderId="1" xfId="0" applyFont="1" applyFill="1" applyBorder="1" applyAlignment="1">
      <alignment horizontal="center" vertical="center"/>
    </xf>
    <xf numFmtId="43" fontId="25" fillId="3" borderId="1" xfId="2" applyFont="1" applyFill="1" applyBorder="1" applyAlignment="1" applyProtection="1">
      <alignment vertical="center"/>
      <protection locked="0"/>
    </xf>
    <xf numFmtId="0" fontId="24" fillId="8" borderId="1" xfId="0" applyFont="1" applyFill="1" applyBorder="1" applyAlignment="1">
      <alignment horizontal="left" vertical="center" wrapText="1"/>
    </xf>
    <xf numFmtId="0" fontId="25" fillId="8" borderId="1" xfId="0" applyFont="1" applyFill="1" applyBorder="1" applyAlignment="1">
      <alignment vertical="center"/>
    </xf>
    <xf numFmtId="0" fontId="25" fillId="8" borderId="1" xfId="0" applyFont="1" applyFill="1" applyBorder="1" applyAlignment="1">
      <alignment vertical="center" wrapText="1"/>
    </xf>
    <xf numFmtId="0" fontId="24" fillId="8" borderId="1" xfId="0" applyFont="1" applyFill="1" applyBorder="1" applyAlignment="1">
      <alignment vertical="center" wrapText="1"/>
    </xf>
    <xf numFmtId="0" fontId="25" fillId="3" borderId="1" xfId="0" applyFont="1" applyFill="1" applyBorder="1" applyAlignment="1">
      <alignment vertical="center"/>
    </xf>
    <xf numFmtId="0" fontId="29" fillId="8" borderId="1" xfId="0" applyFont="1" applyFill="1" applyBorder="1" applyAlignment="1">
      <alignment vertical="center" wrapText="1"/>
    </xf>
    <xf numFmtId="43" fontId="25" fillId="0" borderId="21" xfId="2" applyFont="1" applyBorder="1" applyAlignment="1">
      <alignment vertical="center"/>
    </xf>
    <xf numFmtId="43" fontId="25" fillId="0" borderId="6" xfId="2" applyFont="1" applyBorder="1" applyAlignment="1">
      <alignment vertical="center"/>
    </xf>
    <xf numFmtId="43" fontId="36" fillId="8" borderId="1" xfId="3" applyNumberFormat="1" applyFont="1" applyFill="1" applyBorder="1" applyAlignment="1">
      <alignment vertical="center"/>
    </xf>
    <xf numFmtId="43" fontId="35" fillId="0" borderId="1" xfId="3" applyNumberFormat="1" applyFont="1" applyBorder="1" applyAlignment="1" applyProtection="1">
      <alignment vertical="center"/>
      <protection locked="0"/>
    </xf>
    <xf numFmtId="0" fontId="7" fillId="0" borderId="1" xfId="0" applyFont="1" applyBorder="1" applyAlignment="1">
      <alignment horizontal="right"/>
    </xf>
    <xf numFmtId="0" fontId="7" fillId="0" borderId="1" xfId="0" applyFont="1" applyBorder="1" applyAlignment="1">
      <alignment horizontal="center"/>
    </xf>
    <xf numFmtId="0" fontId="8" fillId="0" borderId="1" xfId="0" applyFont="1" applyBorder="1" applyAlignment="1">
      <alignment horizontal="right"/>
    </xf>
    <xf numFmtId="165" fontId="3" fillId="9" borderId="1" xfId="1" applyNumberFormat="1" applyFont="1" applyFill="1" applyBorder="1" applyAlignment="1" applyProtection="1">
      <alignment horizontal="right"/>
    </xf>
    <xf numFmtId="166" fontId="24" fillId="9" borderId="1" xfId="8" applyNumberFormat="1" applyFont="1" applyFill="1" applyBorder="1" applyProtection="1"/>
    <xf numFmtId="0" fontId="3" fillId="0" borderId="1" xfId="0" applyFont="1" applyBorder="1" applyAlignment="1">
      <alignment horizontal="center"/>
    </xf>
    <xf numFmtId="0" fontId="3" fillId="6" borderId="1" xfId="0" applyFont="1" applyFill="1" applyBorder="1" applyAlignment="1">
      <alignment horizontal="center"/>
    </xf>
    <xf numFmtId="165" fontId="3" fillId="6" borderId="1" xfId="1" applyNumberFormat="1" applyFont="1" applyFill="1" applyBorder="1" applyAlignment="1" applyProtection="1">
      <alignment horizontal="right"/>
    </xf>
    <xf numFmtId="166" fontId="24" fillId="6" borderId="1" xfId="8" applyNumberFormat="1" applyFont="1" applyFill="1" applyBorder="1" applyProtection="1"/>
    <xf numFmtId="0" fontId="4" fillId="0" borderId="1" xfId="0" applyFont="1" applyBorder="1" applyAlignment="1">
      <alignment horizontal="center"/>
    </xf>
    <xf numFmtId="0" fontId="4" fillId="10" borderId="1" xfId="0" applyFont="1" applyFill="1" applyBorder="1" applyAlignment="1">
      <alignment wrapText="1"/>
    </xf>
    <xf numFmtId="0" fontId="4" fillId="10" borderId="1" xfId="0" applyFont="1" applyFill="1" applyBorder="1" applyAlignment="1">
      <alignment horizontal="center" wrapText="1"/>
    </xf>
    <xf numFmtId="165" fontId="4" fillId="0" borderId="1" xfId="1" applyNumberFormat="1" applyFont="1" applyBorder="1" applyAlignment="1" applyProtection="1">
      <alignment horizontal="right"/>
    </xf>
    <xf numFmtId="166" fontId="25" fillId="0" borderId="1" xfId="8" applyNumberFormat="1" applyFont="1" applyBorder="1" applyProtection="1"/>
    <xf numFmtId="0" fontId="4" fillId="10" borderId="1" xfId="0" applyFont="1" applyFill="1" applyBorder="1" applyAlignment="1">
      <alignment horizontal="center"/>
    </xf>
    <xf numFmtId="165" fontId="3" fillId="6" borderId="1" xfId="1" applyNumberFormat="1" applyFont="1" applyFill="1" applyBorder="1" applyAlignment="1" applyProtection="1">
      <alignment horizontal="left"/>
    </xf>
    <xf numFmtId="0" fontId="4" fillId="10" borderId="1" xfId="0" applyFont="1" applyFill="1" applyBorder="1"/>
    <xf numFmtId="0" fontId="29" fillId="10" borderId="1" xfId="0" applyFont="1" applyFill="1" applyBorder="1"/>
    <xf numFmtId="0" fontId="29" fillId="10" borderId="1" xfId="0" applyFont="1" applyFill="1" applyBorder="1" applyAlignment="1">
      <alignment horizontal="center" wrapText="1"/>
    </xf>
    <xf numFmtId="165" fontId="29" fillId="0" borderId="1" xfId="1" applyNumberFormat="1" applyFont="1" applyBorder="1" applyAlignment="1" applyProtection="1">
      <alignment horizontal="right"/>
    </xf>
    <xf numFmtId="0" fontId="29" fillId="0" borderId="1" xfId="0" applyFont="1" applyBorder="1"/>
    <xf numFmtId="0" fontId="29" fillId="0" borderId="1" xfId="0" applyFont="1" applyBorder="1" applyAlignment="1">
      <alignment horizontal="center"/>
    </xf>
    <xf numFmtId="0" fontId="4" fillId="0" borderId="1" xfId="0" applyFont="1" applyBorder="1" applyAlignment="1">
      <alignment horizontal="center" wrapText="1"/>
    </xf>
    <xf numFmtId="0" fontId="4" fillId="0" borderId="1" xfId="0" applyFont="1" applyBorder="1" applyAlignment="1">
      <alignment horizontal="center" vertical="top" wrapText="1"/>
    </xf>
    <xf numFmtId="0" fontId="3" fillId="9" borderId="1" xfId="0" applyFont="1" applyFill="1" applyBorder="1" applyAlignment="1">
      <alignment horizontal="center"/>
    </xf>
    <xf numFmtId="0" fontId="3" fillId="3" borderId="1" xfId="0" applyFont="1" applyFill="1" applyBorder="1" applyAlignment="1">
      <alignment horizontal="center"/>
    </xf>
    <xf numFmtId="0" fontId="4" fillId="3" borderId="1" xfId="0" applyFont="1" applyFill="1" applyBorder="1" applyAlignment="1">
      <alignment horizontal="center"/>
    </xf>
    <xf numFmtId="165" fontId="4" fillId="3" borderId="1" xfId="1" applyNumberFormat="1" applyFont="1" applyFill="1" applyBorder="1" applyAlignment="1" applyProtection="1">
      <alignment horizontal="right"/>
    </xf>
    <xf numFmtId="165" fontId="3" fillId="9" borderId="1" xfId="0" applyNumberFormat="1" applyFont="1" applyFill="1" applyBorder="1" applyAlignment="1">
      <alignment horizontal="center" vertical="center"/>
    </xf>
    <xf numFmtId="166" fontId="3" fillId="9" borderId="1" xfId="8" applyNumberFormat="1" applyFont="1" applyFill="1" applyBorder="1" applyAlignment="1" applyProtection="1">
      <alignment horizontal="right" vertical="center"/>
    </xf>
    <xf numFmtId="43" fontId="25" fillId="0" borderId="0" xfId="1" applyFont="1" applyAlignment="1" applyProtection="1">
      <alignment vertical="center"/>
    </xf>
    <xf numFmtId="166" fontId="25" fillId="0" borderId="0" xfId="8" applyNumberFormat="1" applyFont="1" applyProtection="1"/>
    <xf numFmtId="43" fontId="25" fillId="0" borderId="0" xfId="1" applyFont="1" applyAlignment="1" applyProtection="1">
      <alignment horizontal="center" vertical="center"/>
    </xf>
    <xf numFmtId="165" fontId="25" fillId="0" borderId="0" xfId="1" applyNumberFormat="1" applyFont="1" applyProtection="1"/>
    <xf numFmtId="166" fontId="24" fillId="0" borderId="0" xfId="8" applyNumberFormat="1" applyFont="1" applyAlignment="1">
      <alignment horizontal="right"/>
    </xf>
    <xf numFmtId="166" fontId="24" fillId="0" borderId="0" xfId="8" applyNumberFormat="1" applyFont="1" applyAlignment="1">
      <alignment horizontal="center"/>
    </xf>
    <xf numFmtId="166" fontId="4" fillId="0" borderId="20" xfId="8" applyNumberFormat="1" applyFont="1" applyBorder="1" applyAlignment="1" applyProtection="1">
      <alignment horizontal="right"/>
      <protection locked="0"/>
    </xf>
    <xf numFmtId="166" fontId="25" fillId="0" borderId="20" xfId="8" applyNumberFormat="1" applyFont="1" applyBorder="1" applyAlignment="1" applyProtection="1">
      <alignment horizontal="right"/>
      <protection locked="0"/>
    </xf>
    <xf numFmtId="166" fontId="24" fillId="9" borderId="1" xfId="8" applyNumberFormat="1" applyFont="1" applyFill="1" applyBorder="1" applyAlignment="1">
      <alignment horizontal="right"/>
    </xf>
    <xf numFmtId="166" fontId="25" fillId="0" borderId="0" xfId="8" applyNumberFormat="1" applyFont="1" applyBorder="1" applyAlignment="1">
      <alignment horizontal="right"/>
    </xf>
    <xf numFmtId="166" fontId="25" fillId="0" borderId="0" xfId="8" applyNumberFormat="1" applyFont="1" applyBorder="1"/>
    <xf numFmtId="166" fontId="25" fillId="0" borderId="0" xfId="8" applyNumberFormat="1" applyFont="1" applyAlignment="1">
      <alignment vertical="center" wrapText="1"/>
    </xf>
    <xf numFmtId="166" fontId="25" fillId="0" borderId="0" xfId="8" applyNumberFormat="1" applyFont="1" applyAlignment="1">
      <alignment horizontal="right" vertical="center" wrapText="1"/>
    </xf>
    <xf numFmtId="166" fontId="25" fillId="0" borderId="0" xfId="8" applyNumberFormat="1" applyFont="1" applyAlignment="1" applyProtection="1">
      <alignment horizontal="left" vertical="center"/>
      <protection locked="0"/>
    </xf>
    <xf numFmtId="0" fontId="37" fillId="0" borderId="0" xfId="0" applyFont="1"/>
    <xf numFmtId="165" fontId="37" fillId="0" borderId="0" xfId="2" applyNumberFormat="1" applyFont="1" applyBorder="1"/>
    <xf numFmtId="166" fontId="37" fillId="0" borderId="0" xfId="8" applyNumberFormat="1" applyFont="1" applyBorder="1" applyAlignment="1">
      <alignment horizontal="right"/>
    </xf>
    <xf numFmtId="0" fontId="37" fillId="0" borderId="0" xfId="0" applyFont="1" applyAlignment="1">
      <alignment horizontal="left"/>
    </xf>
    <xf numFmtId="166" fontId="33" fillId="10" borderId="0" xfId="8" applyNumberFormat="1" applyFont="1" applyFill="1" applyBorder="1" applyAlignment="1">
      <alignment horizontal="right" wrapText="1"/>
    </xf>
    <xf numFmtId="166" fontId="33" fillId="0" borderId="0" xfId="8" applyNumberFormat="1" applyFont="1" applyBorder="1" applyAlignment="1">
      <alignment horizontal="right" wrapText="1"/>
    </xf>
    <xf numFmtId="166" fontId="25" fillId="0" borderId="0" xfId="8" applyNumberFormat="1" applyFont="1" applyAlignment="1">
      <alignment horizontal="right"/>
    </xf>
    <xf numFmtId="0" fontId="25" fillId="0" borderId="23" xfId="0" applyFont="1" applyBorder="1"/>
    <xf numFmtId="165" fontId="25" fillId="3" borderId="20" xfId="2" applyNumberFormat="1" applyFont="1" applyFill="1" applyBorder="1" applyProtection="1">
      <protection locked="0"/>
    </xf>
    <xf numFmtId="165" fontId="24" fillId="6" borderId="17" xfId="2" applyNumberFormat="1" applyFont="1" applyFill="1" applyBorder="1"/>
    <xf numFmtId="0" fontId="3" fillId="9" borderId="1" xfId="0" applyFont="1" applyFill="1" applyBorder="1" applyAlignment="1">
      <alignment horizontal="center" vertical="center" wrapText="1"/>
    </xf>
    <xf numFmtId="0" fontId="4" fillId="0" borderId="1" xfId="0" applyFont="1" applyBorder="1" applyProtection="1">
      <protection locked="0"/>
    </xf>
    <xf numFmtId="166" fontId="3" fillId="8" borderId="1" xfId="0" applyNumberFormat="1" applyFont="1" applyFill="1" applyBorder="1"/>
    <xf numFmtId="166" fontId="25" fillId="0" borderId="0" xfId="9" applyNumberFormat="1" applyFont="1" applyAlignment="1" applyProtection="1">
      <alignment horizontal="left" vertical="center"/>
      <protection locked="0"/>
    </xf>
    <xf numFmtId="165" fontId="25" fillId="0" borderId="0" xfId="2" applyNumberFormat="1" applyFont="1" applyAlignment="1">
      <alignment horizontal="left"/>
    </xf>
    <xf numFmtId="0" fontId="35" fillId="0" borderId="0" xfId="0" applyFont="1" applyAlignment="1">
      <alignment horizontal="left" wrapText="1"/>
    </xf>
    <xf numFmtId="0" fontId="35" fillId="0" borderId="0" xfId="0" applyFont="1" applyAlignment="1">
      <alignment wrapText="1"/>
    </xf>
    <xf numFmtId="165" fontId="38" fillId="0" borderId="0" xfId="1" applyNumberFormat="1" applyFont="1" applyFill="1" applyBorder="1" applyAlignment="1" applyProtection="1">
      <alignment vertical="center" wrapText="1"/>
    </xf>
    <xf numFmtId="0" fontId="38" fillId="0" borderId="0" xfId="0" applyFont="1" applyAlignment="1">
      <alignment horizontal="right" wrapText="1"/>
    </xf>
    <xf numFmtId="0" fontId="39" fillId="0" borderId="0" xfId="0" applyFont="1" applyAlignment="1">
      <alignment vertical="center"/>
    </xf>
    <xf numFmtId="165" fontId="38" fillId="3" borderId="0" xfId="1" applyNumberFormat="1" applyFont="1" applyFill="1" applyBorder="1" applyAlignment="1" applyProtection="1">
      <alignment horizontal="left" vertical="center" wrapText="1"/>
    </xf>
    <xf numFmtId="0" fontId="35" fillId="0" borderId="0" xfId="0" applyFont="1"/>
    <xf numFmtId="0" fontId="36" fillId="0" borderId="0" xfId="0" applyFont="1" applyAlignment="1">
      <alignment horizontal="center"/>
    </xf>
    <xf numFmtId="164" fontId="36" fillId="0" borderId="0" xfId="1" applyNumberFormat="1" applyFont="1" applyAlignment="1" applyProtection="1">
      <alignment horizontal="center"/>
    </xf>
    <xf numFmtId="166" fontId="36" fillId="0" borderId="0" xfId="8" applyNumberFormat="1" applyFont="1" applyAlignment="1" applyProtection="1">
      <alignment horizontal="center"/>
    </xf>
    <xf numFmtId="0" fontId="40" fillId="0" borderId="0" xfId="5" applyFont="1" applyAlignment="1">
      <alignment horizontal="left" vertical="center"/>
    </xf>
    <xf numFmtId="164" fontId="19" fillId="0" borderId="0" xfId="1" applyNumberFormat="1" applyFont="1" applyProtection="1"/>
    <xf numFmtId="166" fontId="19" fillId="0" borderId="0" xfId="8" applyNumberFormat="1" applyFont="1" applyProtection="1"/>
    <xf numFmtId="0" fontId="19" fillId="0" borderId="0" xfId="5" applyFont="1"/>
    <xf numFmtId="0" fontId="41" fillId="0" borderId="0" xfId="5" applyFont="1" applyAlignment="1">
      <alignment horizontal="right" wrapText="1"/>
    </xf>
    <xf numFmtId="164" fontId="35" fillId="0" borderId="0" xfId="1" applyNumberFormat="1" applyFont="1" applyProtection="1"/>
    <xf numFmtId="165" fontId="35" fillId="9" borderId="1" xfId="1" applyNumberFormat="1" applyFont="1" applyFill="1" applyBorder="1" applyAlignment="1" applyProtection="1">
      <alignment horizontal="center" vertical="center" wrapText="1"/>
    </xf>
    <xf numFmtId="164" fontId="19" fillId="9" borderId="1" xfId="1" applyNumberFormat="1" applyFont="1" applyFill="1" applyBorder="1" applyAlignment="1" applyProtection="1">
      <alignment horizontal="center" vertical="center"/>
    </xf>
    <xf numFmtId="166" fontId="35" fillId="9" borderId="1" xfId="8" applyNumberFormat="1" applyFont="1" applyFill="1" applyBorder="1" applyAlignment="1" applyProtection="1">
      <alignment horizontal="center" vertical="center" wrapText="1"/>
    </xf>
    <xf numFmtId="0" fontId="36" fillId="0" borderId="0" xfId="0" applyFont="1"/>
    <xf numFmtId="0" fontId="33" fillId="10" borderId="1" xfId="0" applyFont="1" applyFill="1" applyBorder="1" applyAlignment="1">
      <alignment wrapText="1"/>
    </xf>
    <xf numFmtId="0" fontId="33" fillId="0" borderId="1" xfId="0" applyFont="1" applyBorder="1" applyAlignment="1">
      <alignment wrapText="1"/>
    </xf>
    <xf numFmtId="0" fontId="33" fillId="6" borderId="1" xfId="0" applyFont="1" applyFill="1" applyBorder="1" applyAlignment="1">
      <alignment wrapText="1"/>
    </xf>
    <xf numFmtId="0" fontId="42" fillId="9" borderId="1" xfId="0" applyFont="1" applyFill="1" applyBorder="1" applyAlignment="1">
      <alignment wrapText="1"/>
    </xf>
    <xf numFmtId="0" fontId="35" fillId="0" borderId="0" xfId="0" applyFont="1" applyAlignment="1">
      <alignment horizontal="left"/>
    </xf>
    <xf numFmtId="165" fontId="35" fillId="0" borderId="0" xfId="1" applyNumberFormat="1" applyFont="1" applyProtection="1"/>
    <xf numFmtId="166" fontId="35" fillId="0" borderId="0" xfId="8" applyNumberFormat="1" applyFont="1" applyProtection="1"/>
    <xf numFmtId="43" fontId="35" fillId="0" borderId="0" xfId="1" applyFont="1" applyAlignment="1" applyProtection="1">
      <alignment vertical="center"/>
    </xf>
    <xf numFmtId="164" fontId="35" fillId="0" borderId="0" xfId="1" applyNumberFormat="1" applyFont="1" applyAlignment="1" applyProtection="1">
      <alignment vertical="center"/>
    </xf>
    <xf numFmtId="166" fontId="35" fillId="0" borderId="0" xfId="8" applyNumberFormat="1" applyFont="1" applyAlignment="1" applyProtection="1">
      <alignment vertical="center" wrapText="1"/>
    </xf>
    <xf numFmtId="0" fontId="35" fillId="0" borderId="0" xfId="0" applyFont="1" applyAlignment="1">
      <alignment horizontal="left" vertical="center" wrapText="1"/>
    </xf>
    <xf numFmtId="43" fontId="35" fillId="0" borderId="0" xfId="1" applyFont="1" applyAlignment="1" applyProtection="1">
      <alignment horizontal="center" vertical="center"/>
    </xf>
    <xf numFmtId="0" fontId="38" fillId="0" borderId="0" xfId="5" applyFont="1" applyAlignment="1">
      <alignment vertical="center" wrapText="1"/>
    </xf>
    <xf numFmtId="166" fontId="38" fillId="0" borderId="0" xfId="8" applyNumberFormat="1" applyFont="1" applyFill="1" applyBorder="1" applyAlignment="1" applyProtection="1">
      <alignment wrapText="1"/>
    </xf>
    <xf numFmtId="0" fontId="38" fillId="0" borderId="0" xfId="0" applyFont="1" applyAlignment="1">
      <alignment vertical="center" wrapText="1"/>
    </xf>
    <xf numFmtId="0" fontId="38" fillId="0" borderId="0" xfId="0" applyFont="1" applyAlignment="1">
      <alignment wrapText="1"/>
    </xf>
    <xf numFmtId="0" fontId="38" fillId="3" borderId="0" xfId="5" applyFont="1" applyFill="1" applyAlignment="1">
      <alignment horizontal="center" vertical="center" wrapText="1"/>
    </xf>
    <xf numFmtId="165" fontId="38" fillId="3" borderId="0" xfId="1" applyNumberFormat="1" applyFont="1" applyFill="1" applyBorder="1" applyAlignment="1" applyProtection="1">
      <alignment horizontal="center" vertical="center" wrapText="1"/>
    </xf>
    <xf numFmtId="164" fontId="38" fillId="3" borderId="0" xfId="1" applyNumberFormat="1" applyFont="1" applyFill="1" applyBorder="1" applyAlignment="1" applyProtection="1">
      <alignment horizontal="center" vertical="center" wrapText="1"/>
    </xf>
    <xf numFmtId="164" fontId="38" fillId="3" borderId="0" xfId="1" applyNumberFormat="1" applyFont="1" applyFill="1" applyBorder="1" applyAlignment="1" applyProtection="1">
      <alignment horizontal="right" vertical="center" wrapText="1"/>
    </xf>
    <xf numFmtId="166" fontId="38" fillId="3" borderId="0" xfId="8" applyNumberFormat="1" applyFont="1" applyFill="1" applyBorder="1" applyAlignment="1" applyProtection="1">
      <alignment wrapText="1"/>
    </xf>
    <xf numFmtId="166" fontId="19" fillId="3" borderId="1" xfId="8" applyNumberFormat="1" applyFont="1" applyFill="1" applyBorder="1" applyAlignment="1" applyProtection="1">
      <alignment horizontal="right" vertical="center"/>
      <protection locked="0"/>
    </xf>
    <xf numFmtId="166" fontId="36" fillId="9" borderId="1" xfId="8" applyNumberFormat="1" applyFont="1" applyFill="1" applyBorder="1" applyAlignment="1" applyProtection="1">
      <alignment horizontal="right" vertical="center"/>
    </xf>
    <xf numFmtId="166" fontId="35" fillId="0" borderId="0" xfId="8" applyNumberFormat="1" applyFont="1" applyAlignment="1" applyProtection="1">
      <alignment horizontal="left"/>
    </xf>
    <xf numFmtId="0" fontId="38" fillId="0" borderId="0" xfId="8" applyNumberFormat="1" applyFont="1" applyFill="1" applyBorder="1" applyAlignment="1" applyProtection="1">
      <alignment vertical="center" wrapText="1"/>
    </xf>
    <xf numFmtId="0" fontId="38" fillId="3" borderId="0" xfId="8" applyNumberFormat="1" applyFont="1" applyFill="1" applyBorder="1" applyAlignment="1" applyProtection="1">
      <alignment horizontal="center" vertical="center" wrapText="1"/>
    </xf>
    <xf numFmtId="165" fontId="29" fillId="0" borderId="0" xfId="2" applyNumberFormat="1" applyFont="1" applyAlignment="1">
      <alignment horizontal="left"/>
    </xf>
    <xf numFmtId="0" fontId="3" fillId="0" borderId="24" xfId="0" applyFont="1" applyBorder="1" applyAlignment="1">
      <alignment horizontal="center" vertical="center"/>
    </xf>
    <xf numFmtId="165" fontId="24" fillId="0" borderId="24" xfId="2" applyNumberFormat="1" applyFont="1" applyFill="1" applyBorder="1"/>
    <xf numFmtId="166" fontId="24" fillId="0" borderId="24" xfId="8" applyNumberFormat="1" applyFont="1" applyFill="1" applyBorder="1" applyAlignment="1">
      <alignment horizontal="right"/>
    </xf>
    <xf numFmtId="165" fontId="3" fillId="0" borderId="24" xfId="2" applyNumberFormat="1" applyFont="1" applyFill="1" applyBorder="1" applyProtection="1"/>
    <xf numFmtId="0" fontId="24" fillId="0" borderId="24" xfId="0" applyFont="1" applyBorder="1"/>
    <xf numFmtId="166" fontId="24" fillId="0" borderId="24" xfId="8" applyNumberFormat="1" applyFont="1" applyFill="1" applyBorder="1"/>
    <xf numFmtId="166" fontId="28" fillId="0" borderId="24" xfId="9" applyNumberFormat="1" applyFont="1" applyFill="1" applyBorder="1" applyAlignment="1">
      <alignment horizontal="center" vertical="center"/>
    </xf>
    <xf numFmtId="166" fontId="24" fillId="0" borderId="0" xfId="8" applyNumberFormat="1" applyFont="1" applyFill="1" applyBorder="1"/>
    <xf numFmtId="43" fontId="4" fillId="0" borderId="17" xfId="1" applyFont="1" applyBorder="1" applyProtection="1">
      <protection locked="0"/>
    </xf>
    <xf numFmtId="43" fontId="24" fillId="9" borderId="1" xfId="1" applyFont="1" applyFill="1" applyBorder="1"/>
    <xf numFmtId="14" fontId="36" fillId="0" borderId="0" xfId="5" applyNumberFormat="1" applyFont="1" applyAlignment="1">
      <alignment vertical="center"/>
    </xf>
    <xf numFmtId="0" fontId="29" fillId="0" borderId="0" xfId="0" applyFont="1" applyAlignment="1">
      <alignment horizontal="left"/>
    </xf>
    <xf numFmtId="166" fontId="4" fillId="0" borderId="17" xfId="8" applyNumberFormat="1" applyFont="1" applyBorder="1" applyProtection="1"/>
    <xf numFmtId="43" fontId="36" fillId="9" borderId="1" xfId="1" applyFont="1" applyFill="1" applyBorder="1" applyAlignment="1" applyProtection="1">
      <alignment horizontal="right" vertical="center"/>
    </xf>
    <xf numFmtId="43" fontId="35" fillId="3" borderId="1" xfId="1" applyFont="1" applyFill="1" applyBorder="1" applyAlignment="1" applyProtection="1">
      <alignment horizontal="right" vertical="center"/>
      <protection locked="0"/>
    </xf>
    <xf numFmtId="43" fontId="19" fillId="3" borderId="1" xfId="1" applyFont="1" applyFill="1" applyBorder="1" applyAlignment="1" applyProtection="1">
      <alignment horizontal="right" vertical="center"/>
      <protection locked="0"/>
    </xf>
    <xf numFmtId="43" fontId="35" fillId="0" borderId="1" xfId="1" applyFont="1" applyFill="1" applyBorder="1" applyAlignment="1" applyProtection="1">
      <alignment horizontal="right" vertical="center"/>
    </xf>
    <xf numFmtId="43" fontId="35" fillId="0" borderId="1" xfId="1" applyFont="1" applyFill="1" applyBorder="1" applyAlignment="1" applyProtection="1">
      <alignment horizontal="right" vertical="center"/>
      <protection locked="0"/>
    </xf>
    <xf numFmtId="43" fontId="19" fillId="0" borderId="1" xfId="1" applyFont="1" applyFill="1" applyBorder="1" applyAlignment="1" applyProtection="1">
      <alignment horizontal="right" vertical="center"/>
      <protection locked="0"/>
    </xf>
    <xf numFmtId="43" fontId="35" fillId="6" borderId="1" xfId="1" applyFont="1" applyFill="1" applyBorder="1" applyAlignment="1" applyProtection="1">
      <alignment horizontal="right" vertical="center"/>
    </xf>
    <xf numFmtId="43" fontId="35" fillId="6" borderId="1" xfId="1" applyFont="1" applyFill="1" applyBorder="1" applyAlignment="1" applyProtection="1">
      <alignment horizontal="right" vertical="center"/>
      <protection locked="0"/>
    </xf>
    <xf numFmtId="43" fontId="19" fillId="6" borderId="1" xfId="1" applyFont="1" applyFill="1" applyBorder="1" applyAlignment="1" applyProtection="1">
      <alignment horizontal="right" vertical="center"/>
      <protection locked="0"/>
    </xf>
    <xf numFmtId="43" fontId="35" fillId="9" borderId="1" xfId="1" applyFont="1" applyFill="1" applyBorder="1" applyAlignment="1" applyProtection="1">
      <alignment horizontal="center" vertical="center"/>
    </xf>
    <xf numFmtId="43" fontId="35" fillId="0" borderId="1" xfId="1" applyFont="1" applyFill="1" applyBorder="1" applyAlignment="1" applyProtection="1">
      <alignment horizontal="center" vertical="center"/>
      <protection locked="0"/>
    </xf>
    <xf numFmtId="0" fontId="4" fillId="3" borderId="0" xfId="0" applyFont="1" applyFill="1"/>
    <xf numFmtId="165" fontId="25" fillId="0" borderId="1" xfId="2" applyNumberFormat="1" applyFont="1" applyBorder="1" applyProtection="1"/>
    <xf numFmtId="166" fontId="4" fillId="0" borderId="1" xfId="8" applyNumberFormat="1" applyFont="1" applyBorder="1" applyAlignment="1" applyProtection="1">
      <alignment horizontal="left"/>
      <protection locked="0"/>
    </xf>
    <xf numFmtId="166" fontId="4" fillId="0" borderId="1" xfId="8" applyNumberFormat="1" applyFont="1" applyBorder="1" applyAlignment="1" applyProtection="1">
      <alignment horizontal="right"/>
      <protection locked="0"/>
    </xf>
    <xf numFmtId="166" fontId="25" fillId="0" borderId="1" xfId="8" applyNumberFormat="1" applyFont="1" applyBorder="1" applyProtection="1">
      <protection locked="0"/>
    </xf>
    <xf numFmtId="9" fontId="28" fillId="6" borderId="1" xfId="8" applyFont="1" applyFill="1" applyBorder="1"/>
    <xf numFmtId="0" fontId="4" fillId="0" borderId="0" xfId="0" applyFont="1" applyAlignment="1">
      <alignment horizontal="left" vertical="center" wrapText="1"/>
    </xf>
    <xf numFmtId="165" fontId="4" fillId="0" borderId="0" xfId="2" applyNumberFormat="1" applyFont="1" applyFill="1" applyBorder="1" applyAlignment="1">
      <alignment horizontal="left"/>
    </xf>
    <xf numFmtId="10" fontId="28" fillId="6" borderId="1" xfId="8" applyNumberFormat="1" applyFont="1" applyFill="1" applyBorder="1"/>
    <xf numFmtId="0" fontId="25" fillId="3" borderId="1" xfId="0" applyFont="1" applyFill="1" applyBorder="1" applyAlignment="1">
      <alignment horizontal="left"/>
    </xf>
    <xf numFmtId="164" fontId="19" fillId="6" borderId="1" xfId="2" applyNumberFormat="1" applyFont="1" applyFill="1" applyBorder="1" applyAlignment="1" applyProtection="1">
      <alignment horizontal="right" vertical="center"/>
      <protection locked="0"/>
    </xf>
    <xf numFmtId="165" fontId="29" fillId="0" borderId="0" xfId="2" applyNumberFormat="1" applyFont="1" applyAlignment="1">
      <alignment wrapText="1"/>
    </xf>
    <xf numFmtId="43" fontId="25" fillId="3" borderId="0" xfId="1" applyFont="1" applyFill="1" applyBorder="1"/>
    <xf numFmtId="0" fontId="25" fillId="0" borderId="0" xfId="0" applyFont="1" applyAlignment="1">
      <alignment horizontal="justify" vertical="center"/>
    </xf>
    <xf numFmtId="0" fontId="28" fillId="0" borderId="0" xfId="0" applyFont="1" applyAlignment="1">
      <alignment horizontal="justify" vertical="center"/>
    </xf>
    <xf numFmtId="0" fontId="30" fillId="0" borderId="0" xfId="0" applyFont="1" applyAlignment="1">
      <alignment horizontal="justify" vertical="center"/>
    </xf>
    <xf numFmtId="0" fontId="31" fillId="0" borderId="0" xfId="0" applyFont="1" applyAlignment="1">
      <alignment horizontal="justify" vertical="center"/>
    </xf>
    <xf numFmtId="0" fontId="24" fillId="0" borderId="0" xfId="0" applyFont="1" applyAlignment="1">
      <alignment horizontal="justify" vertical="center"/>
    </xf>
    <xf numFmtId="0" fontId="29" fillId="0" borderId="0" xfId="0" applyFont="1" applyAlignment="1">
      <alignment vertical="center"/>
    </xf>
    <xf numFmtId="43" fontId="7" fillId="3" borderId="1" xfId="1" applyFont="1" applyFill="1" applyBorder="1" applyAlignment="1" applyProtection="1">
      <alignment horizontal="right"/>
    </xf>
    <xf numFmtId="43" fontId="7" fillId="3" borderId="1" xfId="1" applyFont="1" applyFill="1" applyBorder="1" applyAlignment="1" applyProtection="1">
      <alignment horizontal="right" wrapText="1"/>
    </xf>
    <xf numFmtId="43" fontId="7" fillId="3" borderId="1" xfId="1" applyFont="1" applyFill="1" applyBorder="1" applyAlignment="1" applyProtection="1">
      <alignment horizontal="right"/>
      <protection locked="0"/>
    </xf>
    <xf numFmtId="0" fontId="43" fillId="0" borderId="0" xfId="4" applyFont="1"/>
    <xf numFmtId="43" fontId="36" fillId="9" borderId="1" xfId="1" applyFont="1" applyFill="1" applyBorder="1" applyAlignment="1" applyProtection="1">
      <alignment horizontal="center" vertical="center"/>
    </xf>
    <xf numFmtId="165" fontId="36" fillId="9" borderId="1" xfId="1" applyNumberFormat="1" applyFont="1" applyFill="1" applyBorder="1" applyAlignment="1" applyProtection="1">
      <alignment horizontal="center" vertical="center"/>
    </xf>
    <xf numFmtId="166" fontId="36" fillId="9" borderId="1" xfId="8" applyNumberFormat="1" applyFont="1" applyFill="1" applyBorder="1" applyAlignment="1" applyProtection="1">
      <alignment horizontal="center" vertical="center"/>
    </xf>
    <xf numFmtId="0" fontId="18" fillId="9" borderId="1" xfId="5" applyFont="1" applyFill="1" applyBorder="1" applyAlignment="1">
      <alignment horizontal="left" vertical="center" wrapText="1"/>
    </xf>
    <xf numFmtId="165" fontId="25" fillId="3" borderId="1" xfId="2" applyNumberFormat="1" applyFont="1" applyFill="1" applyBorder="1" applyProtection="1"/>
    <xf numFmtId="165" fontId="25" fillId="3" borderId="13" xfId="2" applyNumberFormat="1" applyFont="1" applyFill="1" applyBorder="1" applyProtection="1"/>
    <xf numFmtId="43" fontId="29" fillId="0" borderId="0" xfId="0" applyNumberFormat="1" applyFont="1" applyAlignment="1">
      <alignment vertical="center"/>
    </xf>
    <xf numFmtId="0" fontId="44" fillId="13" borderId="37" xfId="0" applyFont="1" applyFill="1" applyBorder="1" applyAlignment="1">
      <alignment horizontal="justify" vertical="center"/>
    </xf>
    <xf numFmtId="0" fontId="35" fillId="6" borderId="1" xfId="0" applyFont="1" applyFill="1" applyBorder="1"/>
    <xf numFmtId="165" fontId="35" fillId="6" borderId="1" xfId="1" applyNumberFormat="1" applyFont="1" applyFill="1" applyBorder="1" applyProtection="1">
      <protection locked="0"/>
    </xf>
    <xf numFmtId="164" fontId="35" fillId="6" borderId="1" xfId="1" applyNumberFormat="1" applyFont="1" applyFill="1" applyBorder="1" applyProtection="1">
      <protection locked="0"/>
    </xf>
    <xf numFmtId="165" fontId="35" fillId="6" borderId="1" xfId="1" applyNumberFormat="1" applyFont="1" applyFill="1" applyBorder="1" applyProtection="1"/>
    <xf numFmtId="0" fontId="31" fillId="0" borderId="0" xfId="0" quotePrefix="1" applyFont="1" applyAlignment="1">
      <alignment horizontal="justify" vertical="center"/>
    </xf>
    <xf numFmtId="0" fontId="24" fillId="3" borderId="1" xfId="0" applyFont="1" applyFill="1" applyBorder="1" applyAlignment="1">
      <alignment horizontal="left" wrapText="1"/>
    </xf>
    <xf numFmtId="43" fontId="25" fillId="3" borderId="1" xfId="1" applyFont="1" applyFill="1" applyBorder="1" applyAlignment="1" applyProtection="1">
      <alignment vertical="center"/>
      <protection locked="0"/>
    </xf>
    <xf numFmtId="0" fontId="35" fillId="0" borderId="0" xfId="0" applyFont="1" applyAlignment="1">
      <alignment vertical="center"/>
    </xf>
    <xf numFmtId="0" fontId="38" fillId="0" borderId="0" xfId="0" applyFont="1" applyAlignment="1">
      <alignment horizontal="left" vertical="center"/>
    </xf>
    <xf numFmtId="43" fontId="39" fillId="0" borderId="0" xfId="0" applyNumberFormat="1" applyFont="1" applyAlignment="1">
      <alignment vertical="center"/>
    </xf>
    <xf numFmtId="0" fontId="4" fillId="14" borderId="0" xfId="0" applyFont="1" applyFill="1" applyAlignment="1">
      <alignment horizontal="justify" vertical="center"/>
    </xf>
    <xf numFmtId="0" fontId="23" fillId="0" borderId="0" xfId="4"/>
    <xf numFmtId="164" fontId="25" fillId="0" borderId="0" xfId="1" applyNumberFormat="1" applyFont="1" applyProtection="1"/>
    <xf numFmtId="164" fontId="27" fillId="0" borderId="0" xfId="1" applyNumberFormat="1" applyFont="1" applyProtection="1"/>
    <xf numFmtId="0" fontId="25" fillId="0" borderId="1" xfId="0" applyFont="1" applyBorder="1" applyAlignment="1" applyProtection="1">
      <alignment horizontal="left" vertical="center"/>
      <protection locked="0"/>
    </xf>
    <xf numFmtId="14" fontId="3" fillId="0" borderId="0" xfId="0" applyNumberFormat="1" applyFont="1"/>
    <xf numFmtId="0" fontId="24" fillId="8" borderId="1" xfId="0" applyFont="1" applyFill="1" applyBorder="1" applyAlignment="1">
      <alignment horizontal="center"/>
    </xf>
    <xf numFmtId="0" fontId="25" fillId="0" borderId="1" xfId="0" applyFont="1" applyBorder="1" applyAlignment="1">
      <alignment horizontal="left"/>
    </xf>
    <xf numFmtId="43" fontId="25" fillId="0" borderId="0" xfId="1" applyFont="1" applyAlignment="1" applyProtection="1">
      <alignment horizontal="left" vertical="center"/>
    </xf>
    <xf numFmtId="0" fontId="24" fillId="8" borderId="1" xfId="0" applyFont="1" applyFill="1" applyBorder="1" applyAlignment="1">
      <alignment horizontal="center" wrapText="1"/>
    </xf>
    <xf numFmtId="0" fontId="24" fillId="14" borderId="1" xfId="0" applyFont="1" applyFill="1" applyBorder="1" applyAlignment="1">
      <alignment horizontal="left" indent="1"/>
    </xf>
    <xf numFmtId="43" fontId="25" fillId="14" borderId="1" xfId="1" applyFont="1" applyFill="1" applyBorder="1" applyAlignment="1" applyProtection="1"/>
    <xf numFmtId="0" fontId="25" fillId="0" borderId="1" xfId="0" applyFont="1" applyBorder="1" applyAlignment="1">
      <alignment horizontal="left" indent="1"/>
    </xf>
    <xf numFmtId="0" fontId="24" fillId="0" borderId="1" xfId="0" applyFont="1" applyBorder="1" applyAlignment="1">
      <alignment horizontal="left" indent="1"/>
    </xf>
    <xf numFmtId="43" fontId="25" fillId="0" borderId="1" xfId="1" applyFont="1" applyBorder="1" applyAlignment="1" applyProtection="1">
      <alignment horizontal="left" vertical="center"/>
      <protection locked="0"/>
    </xf>
    <xf numFmtId="164" fontId="25" fillId="0" borderId="1" xfId="1" applyNumberFormat="1" applyFont="1" applyFill="1" applyBorder="1" applyAlignment="1" applyProtection="1">
      <alignment horizontal="left" indent="9"/>
      <protection locked="0"/>
    </xf>
    <xf numFmtId="14" fontId="3" fillId="0" borderId="0" xfId="0" applyNumberFormat="1" applyFont="1" applyAlignment="1">
      <alignment horizontal="left"/>
    </xf>
    <xf numFmtId="0" fontId="25" fillId="0" borderId="1" xfId="1" applyNumberFormat="1" applyFont="1" applyBorder="1" applyAlignment="1" applyProtection="1">
      <alignment horizontal="left" indent="1"/>
    </xf>
    <xf numFmtId="164" fontId="25" fillId="14" borderId="1" xfId="1" applyNumberFormat="1" applyFont="1" applyFill="1" applyBorder="1" applyAlignment="1" applyProtection="1"/>
    <xf numFmtId="0" fontId="25" fillId="0" borderId="1" xfId="1" quotePrefix="1" applyNumberFormat="1" applyFont="1" applyBorder="1" applyAlignment="1" applyProtection="1">
      <alignment horizontal="left" indent="1"/>
    </xf>
    <xf numFmtId="0" fontId="25" fillId="0" borderId="1" xfId="1" applyNumberFormat="1" applyFont="1" applyFill="1" applyBorder="1" applyAlignment="1" applyProtection="1">
      <alignment horizontal="left"/>
    </xf>
    <xf numFmtId="0" fontId="45" fillId="0" borderId="1" xfId="1" applyNumberFormat="1" applyFont="1" applyFill="1" applyBorder="1" applyAlignment="1" applyProtection="1">
      <alignment horizontal="left" indent="2"/>
    </xf>
    <xf numFmtId="43" fontId="25" fillId="14" borderId="1" xfId="1" applyFont="1" applyFill="1" applyBorder="1" applyAlignment="1" applyProtection="1">
      <alignment horizontal="center"/>
    </xf>
    <xf numFmtId="0" fontId="45" fillId="0" borderId="1" xfId="0" applyFont="1" applyBorder="1" applyAlignment="1">
      <alignment horizontal="left" indent="2"/>
    </xf>
    <xf numFmtId="0" fontId="46" fillId="0" borderId="0" xfId="0" applyFont="1"/>
    <xf numFmtId="0" fontId="24" fillId="15" borderId="1" xfId="0" applyFont="1" applyFill="1" applyBorder="1" applyAlignment="1">
      <alignment horizontal="center" vertical="center"/>
    </xf>
    <xf numFmtId="0" fontId="24" fillId="8" borderId="1" xfId="1" applyNumberFormat="1" applyFont="1" applyFill="1" applyBorder="1" applyAlignment="1" applyProtection="1">
      <alignment horizontal="left"/>
    </xf>
    <xf numFmtId="43" fontId="24" fillId="8" borderId="1" xfId="1" applyFont="1" applyFill="1" applyBorder="1" applyAlignment="1" applyProtection="1"/>
    <xf numFmtId="164" fontId="24" fillId="8" borderId="1" xfId="1" applyNumberFormat="1" applyFont="1" applyFill="1" applyBorder="1" applyAlignment="1" applyProtection="1"/>
    <xf numFmtId="164" fontId="24" fillId="0" borderId="1" xfId="1" applyNumberFormat="1" applyFont="1" applyFill="1" applyBorder="1" applyAlignment="1" applyProtection="1">
      <protection locked="0"/>
    </xf>
    <xf numFmtId="0" fontId="25" fillId="0" borderId="0" xfId="0" applyFont="1" applyAlignment="1">
      <alignment horizontal="right"/>
    </xf>
    <xf numFmtId="166" fontId="25" fillId="0" borderId="1" xfId="8" applyNumberFormat="1" applyFont="1" applyBorder="1" applyAlignment="1" applyProtection="1">
      <alignment wrapText="1"/>
      <protection locked="0"/>
    </xf>
    <xf numFmtId="166" fontId="21" fillId="0" borderId="1" xfId="8" applyNumberFormat="1" applyFont="1" applyBorder="1" applyProtection="1">
      <protection locked="0"/>
    </xf>
    <xf numFmtId="43" fontId="21" fillId="0" borderId="1" xfId="1" applyFont="1" applyBorder="1" applyProtection="1">
      <protection locked="0"/>
    </xf>
    <xf numFmtId="164" fontId="4" fillId="0" borderId="0" xfId="1" applyNumberFormat="1" applyFont="1" applyAlignment="1" applyProtection="1">
      <alignment horizontal="right"/>
    </xf>
    <xf numFmtId="0" fontId="24" fillId="15" borderId="1" xfId="0" applyFont="1" applyFill="1" applyBorder="1" applyAlignment="1">
      <alignment horizontal="center" vertical="center" wrapText="1"/>
    </xf>
    <xf numFmtId="0" fontId="45" fillId="14" borderId="1" xfId="0" applyFont="1" applyFill="1" applyBorder="1" applyAlignment="1">
      <alignment horizontal="left" vertical="center" wrapText="1" indent="3"/>
    </xf>
    <xf numFmtId="164" fontId="25" fillId="0" borderId="1" xfId="1" applyNumberFormat="1" applyFont="1" applyBorder="1" applyAlignment="1" applyProtection="1">
      <alignment vertical="center"/>
      <protection locked="0"/>
    </xf>
    <xf numFmtId="43" fontId="25" fillId="0" borderId="1" xfId="1" applyFont="1" applyBorder="1" applyAlignment="1" applyProtection="1">
      <alignment vertical="center"/>
      <protection locked="0"/>
    </xf>
    <xf numFmtId="166" fontId="25" fillId="0" borderId="1" xfId="8" applyNumberFormat="1" applyFont="1" applyBorder="1" applyAlignment="1" applyProtection="1">
      <alignment vertical="center"/>
      <protection locked="0"/>
    </xf>
    <xf numFmtId="43" fontId="25" fillId="0" borderId="1" xfId="1" applyFont="1" applyBorder="1" applyAlignment="1" applyProtection="1">
      <alignment vertical="center"/>
    </xf>
    <xf numFmtId="43" fontId="25" fillId="14" borderId="1" xfId="1" applyFont="1" applyFill="1" applyBorder="1" applyAlignment="1" applyProtection="1">
      <alignment horizontal="left" vertical="center"/>
      <protection locked="0"/>
    </xf>
    <xf numFmtId="43" fontId="25" fillId="14" borderId="1" xfId="1" applyFont="1" applyFill="1" applyBorder="1" applyAlignment="1" applyProtection="1">
      <alignment vertical="center"/>
    </xf>
    <xf numFmtId="43" fontId="24" fillId="15" borderId="1" xfId="1" applyFont="1" applyFill="1" applyBorder="1" applyAlignment="1" applyProtection="1">
      <alignment vertical="center"/>
    </xf>
    <xf numFmtId="0" fontId="3" fillId="0" borderId="0" xfId="0" applyFont="1" applyAlignment="1">
      <alignment vertical="center"/>
    </xf>
    <xf numFmtId="14" fontId="3" fillId="8" borderId="1" xfId="0" applyNumberFormat="1" applyFont="1" applyFill="1" applyBorder="1" applyAlignment="1">
      <alignment vertical="center"/>
    </xf>
    <xf numFmtId="0" fontId="4" fillId="5" borderId="1" xfId="0" applyFont="1" applyFill="1" applyBorder="1" applyAlignment="1">
      <alignment horizontal="center" vertical="center" wrapText="1"/>
    </xf>
    <xf numFmtId="0" fontId="24" fillId="0" borderId="0" xfId="0" applyFont="1" applyAlignment="1">
      <alignment horizontal="center"/>
    </xf>
    <xf numFmtId="0" fontId="28" fillId="0" borderId="0" xfId="0" applyFont="1" applyAlignment="1" applyProtection="1">
      <alignment horizontal="center"/>
      <protection locked="0"/>
    </xf>
    <xf numFmtId="0" fontId="3" fillId="0" borderId="0" xfId="0" applyFont="1" applyAlignment="1">
      <alignment horizontal="center"/>
    </xf>
    <xf numFmtId="14" fontId="3" fillId="0" borderId="0" xfId="0" applyNumberFormat="1" applyFont="1" applyAlignment="1" applyProtection="1">
      <alignment horizontal="left"/>
      <protection locked="0"/>
    </xf>
    <xf numFmtId="0" fontId="24" fillId="0" borderId="1" xfId="0" applyFont="1" applyBorder="1" applyAlignment="1">
      <alignment horizontal="center"/>
    </xf>
    <xf numFmtId="0" fontId="31" fillId="5" borderId="1" xfId="0" applyFont="1" applyFill="1" applyBorder="1" applyAlignment="1">
      <alignment horizontal="center" vertical="center" wrapText="1"/>
    </xf>
    <xf numFmtId="43" fontId="25" fillId="0" borderId="0" xfId="1" applyFont="1" applyAlignment="1" applyProtection="1">
      <alignment horizontal="center" vertical="center"/>
      <protection locked="0"/>
    </xf>
    <xf numFmtId="0" fontId="30" fillId="5" borderId="1" xfId="0" applyFont="1" applyFill="1" applyBorder="1" applyAlignment="1">
      <alignment horizontal="center" vertical="center" wrapText="1"/>
    </xf>
    <xf numFmtId="0" fontId="4" fillId="5" borderId="1" xfId="0" applyFont="1" applyFill="1" applyBorder="1" applyAlignment="1">
      <alignment horizontal="center" vertical="center"/>
    </xf>
    <xf numFmtId="0" fontId="30" fillId="4" borderId="23" xfId="0" applyFont="1" applyFill="1" applyBorder="1" applyAlignment="1">
      <alignment horizontal="left"/>
    </xf>
    <xf numFmtId="0" fontId="30" fillId="4" borderId="20" xfId="0" applyFont="1" applyFill="1" applyBorder="1" applyAlignment="1">
      <alignment horizontal="left"/>
    </xf>
    <xf numFmtId="0" fontId="31" fillId="5" borderId="1" xfId="0" applyFont="1" applyFill="1" applyBorder="1" applyAlignment="1">
      <alignment horizontal="center" vertical="center"/>
    </xf>
    <xf numFmtId="0" fontId="25" fillId="0" borderId="1" xfId="0" applyFont="1" applyBorder="1" applyAlignment="1">
      <alignment horizontal="center" vertical="center"/>
    </xf>
    <xf numFmtId="0" fontId="24" fillId="8" borderId="1" xfId="0" applyFont="1" applyFill="1" applyBorder="1" applyAlignment="1">
      <alignment horizontal="left"/>
    </xf>
    <xf numFmtId="0" fontId="28" fillId="0" borderId="0" xfId="0" applyFont="1" applyAlignment="1">
      <alignment horizontal="left" vertical="center" wrapText="1"/>
    </xf>
    <xf numFmtId="43" fontId="25" fillId="0" borderId="0" xfId="1" applyFont="1" applyAlignment="1" applyProtection="1">
      <alignment horizontal="center" vertical="center"/>
    </xf>
    <xf numFmtId="14" fontId="3" fillId="0" borderId="0" xfId="0" applyNumberFormat="1" applyFont="1" applyAlignment="1">
      <alignment horizontal="left"/>
    </xf>
    <xf numFmtId="14" fontId="3" fillId="8" borderId="1" xfId="0" applyNumberFormat="1" applyFont="1" applyFill="1" applyBorder="1" applyAlignment="1">
      <alignment horizontal="center"/>
    </xf>
    <xf numFmtId="0" fontId="28" fillId="0" borderId="0" xfId="0" applyFont="1" applyAlignment="1">
      <alignment horizontal="center"/>
    </xf>
    <xf numFmtId="0" fontId="24" fillId="8" borderId="1" xfId="0" applyFont="1" applyFill="1" applyBorder="1" applyAlignment="1">
      <alignment horizontal="center"/>
    </xf>
    <xf numFmtId="0" fontId="24" fillId="8" borderId="1" xfId="0" applyFont="1" applyFill="1" applyBorder="1" applyAlignment="1">
      <alignment horizontal="center" vertical="center"/>
    </xf>
    <xf numFmtId="0" fontId="25" fillId="0" borderId="13" xfId="0" applyFont="1" applyBorder="1" applyAlignment="1">
      <alignment horizontal="center" vertical="center" wrapText="1"/>
    </xf>
    <xf numFmtId="0" fontId="25" fillId="0" borderId="17" xfId="0" applyFont="1" applyBorder="1" applyAlignment="1">
      <alignment horizontal="center" vertical="center" wrapText="1"/>
    </xf>
    <xf numFmtId="14" fontId="3" fillId="0" borderId="25" xfId="0" applyNumberFormat="1" applyFont="1" applyBorder="1" applyAlignment="1">
      <alignment horizontal="left"/>
    </xf>
    <xf numFmtId="43" fontId="25" fillId="0" borderId="0" xfId="1" applyFont="1" applyAlignment="1" applyProtection="1">
      <alignment horizontal="left" vertical="center"/>
    </xf>
    <xf numFmtId="0" fontId="25" fillId="14" borderId="23" xfId="0" applyFont="1" applyFill="1" applyBorder="1" applyAlignment="1">
      <alignment horizontal="center" vertical="center"/>
    </xf>
    <xf numFmtId="0" fontId="25" fillId="14" borderId="26" xfId="0" applyFont="1" applyFill="1" applyBorder="1" applyAlignment="1">
      <alignment horizontal="center" vertical="center"/>
    </xf>
    <xf numFmtId="0" fontId="25" fillId="14" borderId="20" xfId="0" applyFont="1" applyFill="1" applyBorder="1" applyAlignment="1">
      <alignment horizontal="center" vertical="center"/>
    </xf>
    <xf numFmtId="0" fontId="25" fillId="14" borderId="27" xfId="0" applyFont="1" applyFill="1" applyBorder="1" applyAlignment="1">
      <alignment horizontal="left" vertical="center" wrapText="1"/>
    </xf>
    <xf numFmtId="0" fontId="25" fillId="14" borderId="24" xfId="0" applyFont="1" applyFill="1" applyBorder="1" applyAlignment="1">
      <alignment horizontal="left" vertical="center"/>
    </xf>
    <xf numFmtId="0" fontId="25" fillId="14" borderId="21" xfId="0" applyFont="1" applyFill="1" applyBorder="1" applyAlignment="1">
      <alignment horizontal="left" vertical="center"/>
    </xf>
    <xf numFmtId="0" fontId="25" fillId="14" borderId="28" xfId="0" applyFont="1" applyFill="1" applyBorder="1" applyAlignment="1">
      <alignment horizontal="left" vertical="center"/>
    </xf>
    <xf numFmtId="0" fontId="25" fillId="14" borderId="0" xfId="0" applyFont="1" applyFill="1" applyAlignment="1">
      <alignment horizontal="left" vertical="center"/>
    </xf>
    <xf numFmtId="0" fontId="25" fillId="14" borderId="6" xfId="0" applyFont="1" applyFill="1" applyBorder="1" applyAlignment="1">
      <alignment horizontal="left" vertical="center"/>
    </xf>
    <xf numFmtId="0" fontId="24" fillId="14" borderId="28" xfId="0" applyFont="1" applyFill="1" applyBorder="1" applyAlignment="1">
      <alignment horizontal="left" vertical="center"/>
    </xf>
    <xf numFmtId="0" fontId="24" fillId="14" borderId="0" xfId="0" applyFont="1" applyFill="1" applyAlignment="1">
      <alignment horizontal="left" vertical="center"/>
    </xf>
    <xf numFmtId="0" fontId="24" fillId="14" borderId="6" xfId="0" applyFont="1" applyFill="1" applyBorder="1" applyAlignment="1">
      <alignment horizontal="left" vertical="center"/>
    </xf>
    <xf numFmtId="0" fontId="25" fillId="14" borderId="29" xfId="0" applyFont="1" applyFill="1" applyBorder="1" applyAlignment="1">
      <alignment horizontal="left" vertical="center"/>
    </xf>
    <xf numFmtId="0" fontId="25" fillId="14" borderId="25" xfId="0" applyFont="1" applyFill="1" applyBorder="1" applyAlignment="1">
      <alignment horizontal="left" vertical="center"/>
    </xf>
    <xf numFmtId="0" fontId="25" fillId="14" borderId="22" xfId="0" applyFont="1" applyFill="1" applyBorder="1" applyAlignment="1">
      <alignment horizontal="left" vertical="center"/>
    </xf>
    <xf numFmtId="43" fontId="24" fillId="14" borderId="13" xfId="1" applyFont="1" applyFill="1" applyBorder="1" applyAlignment="1" applyProtection="1">
      <alignment horizontal="center" vertical="center"/>
    </xf>
    <xf numFmtId="43" fontId="25" fillId="14" borderId="17" xfId="1" applyFont="1" applyFill="1" applyBorder="1" applyAlignment="1" applyProtection="1">
      <alignment horizontal="center" vertical="center"/>
    </xf>
    <xf numFmtId="0" fontId="24" fillId="8" borderId="23" xfId="0" applyFont="1" applyFill="1" applyBorder="1" applyAlignment="1">
      <alignment horizontal="center" vertical="center"/>
    </xf>
    <xf numFmtId="0" fontId="24" fillId="8" borderId="20" xfId="0" applyFont="1" applyFill="1" applyBorder="1" applyAlignment="1">
      <alignment horizontal="center" vertical="center"/>
    </xf>
    <xf numFmtId="0" fontId="47" fillId="8" borderId="23" xfId="0" applyFont="1" applyFill="1" applyBorder="1" applyAlignment="1">
      <alignment horizontal="center" vertical="center" wrapText="1"/>
    </xf>
    <xf numFmtId="0" fontId="47" fillId="8" borderId="20" xfId="0" applyFont="1" applyFill="1" applyBorder="1" applyAlignment="1">
      <alignment horizontal="center" vertical="center" wrapText="1"/>
    </xf>
    <xf numFmtId="0" fontId="24" fillId="14" borderId="13" xfId="0" applyFont="1" applyFill="1" applyBorder="1" applyAlignment="1">
      <alignment horizontal="center" vertical="center"/>
    </xf>
    <xf numFmtId="0" fontId="25" fillId="14" borderId="17" xfId="0" applyFont="1" applyFill="1" applyBorder="1" applyAlignment="1">
      <alignment horizontal="center" vertical="center"/>
    </xf>
    <xf numFmtId="0" fontId="24" fillId="8" borderId="13" xfId="0" applyFont="1" applyFill="1" applyBorder="1" applyAlignment="1">
      <alignment horizontal="center" vertical="center"/>
    </xf>
    <xf numFmtId="0" fontId="24" fillId="8" borderId="15" xfId="0" applyFont="1" applyFill="1" applyBorder="1" applyAlignment="1">
      <alignment horizontal="center" vertical="center"/>
    </xf>
    <xf numFmtId="0" fontId="24" fillId="8" borderId="17" xfId="0" applyFont="1" applyFill="1" applyBorder="1" applyAlignment="1">
      <alignment horizontal="center" vertical="center"/>
    </xf>
    <xf numFmtId="0" fontId="24" fillId="15" borderId="13" xfId="0" applyFont="1" applyFill="1" applyBorder="1" applyAlignment="1">
      <alignment horizontal="center" vertical="center" wrapText="1"/>
    </xf>
    <xf numFmtId="0" fontId="24" fillId="15" borderId="15" xfId="0" applyFont="1" applyFill="1" applyBorder="1" applyAlignment="1">
      <alignment horizontal="center" vertical="center" wrapText="1"/>
    </xf>
    <xf numFmtId="0" fontId="24" fillId="15" borderId="17"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48" fillId="0" borderId="0" xfId="4" applyFont="1" applyAlignment="1" applyProtection="1">
      <alignment horizontal="center"/>
    </xf>
    <xf numFmtId="43" fontId="25" fillId="0" borderId="0" xfId="2" applyFont="1" applyAlignment="1" applyProtection="1">
      <alignment horizontal="left" vertical="center"/>
    </xf>
    <xf numFmtId="0" fontId="24" fillId="8" borderId="1" xfId="0" applyFont="1" applyFill="1" applyBorder="1" applyAlignment="1">
      <alignment horizontal="left" vertical="center"/>
    </xf>
    <xf numFmtId="0" fontId="24" fillId="8" borderId="1" xfId="0" applyFont="1" applyFill="1" applyBorder="1" applyAlignment="1">
      <alignment horizontal="left" vertical="center" wrapText="1"/>
    </xf>
    <xf numFmtId="0" fontId="25" fillId="8" borderId="1" xfId="0" applyFont="1" applyFill="1" applyBorder="1" applyAlignment="1">
      <alignment horizontal="center" vertical="center" wrapText="1"/>
    </xf>
    <xf numFmtId="14" fontId="25" fillId="0" borderId="1" xfId="0" applyNumberFormat="1" applyFont="1" applyBorder="1" applyAlignment="1">
      <alignment horizontal="center" vertical="center" wrapText="1"/>
    </xf>
    <xf numFmtId="43" fontId="49" fillId="0" borderId="0" xfId="2" applyFont="1" applyAlignment="1">
      <alignment horizontal="right" vertical="center"/>
    </xf>
    <xf numFmtId="0" fontId="50" fillId="0" borderId="0" xfId="0" applyFont="1" applyAlignment="1">
      <alignment horizontal="right" vertical="center"/>
    </xf>
    <xf numFmtId="0" fontId="28" fillId="0" borderId="0" xfId="0" applyFont="1" applyAlignment="1">
      <alignment horizontal="right" vertical="center" wrapText="1"/>
    </xf>
    <xf numFmtId="0" fontId="24" fillId="0" borderId="0" xfId="0" applyFont="1" applyAlignment="1">
      <alignment horizontal="right" vertical="center" wrapText="1"/>
    </xf>
    <xf numFmtId="0" fontId="24" fillId="0" borderId="0" xfId="0" applyFont="1" applyAlignment="1">
      <alignment horizontal="right" vertical="center"/>
    </xf>
    <xf numFmtId="0" fontId="24" fillId="0" borderId="0" xfId="0" applyFont="1" applyAlignment="1">
      <alignment horizontal="center" vertical="center"/>
    </xf>
    <xf numFmtId="0" fontId="28" fillId="0" borderId="0" xfId="0" applyFont="1" applyAlignment="1">
      <alignment horizontal="center" vertical="center"/>
    </xf>
    <xf numFmtId="0" fontId="3" fillId="0" borderId="0" xfId="0" applyFont="1" applyAlignment="1">
      <alignment horizontal="center" vertical="center"/>
    </xf>
    <xf numFmtId="14" fontId="24" fillId="0" borderId="0" xfId="0" applyNumberFormat="1" applyFont="1" applyAlignment="1">
      <alignment horizontal="left" vertical="center"/>
    </xf>
    <xf numFmtId="0" fontId="25" fillId="0" borderId="1" xfId="0" applyFont="1" applyBorder="1" applyAlignment="1">
      <alignment horizontal="center" vertical="center" wrapText="1"/>
    </xf>
    <xf numFmtId="14" fontId="25" fillId="0" borderId="1" xfId="2" applyNumberFormat="1" applyFont="1" applyBorder="1" applyAlignment="1" applyProtection="1">
      <alignment horizontal="center" vertical="center"/>
      <protection locked="0"/>
    </xf>
    <xf numFmtId="166" fontId="25" fillId="0" borderId="1" xfId="8" applyNumberFormat="1" applyFont="1" applyBorder="1" applyAlignment="1">
      <alignment horizontal="center" vertical="center" wrapText="1"/>
    </xf>
    <xf numFmtId="0" fontId="24" fillId="8" borderId="1" xfId="0" applyFont="1" applyFill="1" applyBorder="1" applyAlignment="1">
      <alignment vertical="center"/>
    </xf>
    <xf numFmtId="0" fontId="3" fillId="8" borderId="1" xfId="0" applyFont="1" applyFill="1" applyBorder="1" applyAlignment="1">
      <alignment vertical="center"/>
    </xf>
    <xf numFmtId="0" fontId="30" fillId="8" borderId="1" xfId="0" applyFont="1" applyFill="1" applyBorder="1" applyAlignment="1">
      <alignment vertical="center"/>
    </xf>
    <xf numFmtId="0" fontId="3" fillId="8" borderId="1" xfId="0" applyFont="1" applyFill="1" applyBorder="1" applyAlignment="1">
      <alignment horizontal="center" vertical="center" wrapText="1"/>
    </xf>
    <xf numFmtId="0" fontId="25" fillId="0" borderId="1" xfId="0" applyFont="1" applyBorder="1" applyAlignment="1">
      <alignment vertical="center"/>
    </xf>
    <xf numFmtId="165" fontId="25" fillId="0" borderId="1" xfId="1" applyNumberFormat="1" applyFont="1" applyBorder="1" applyAlignment="1">
      <alignment horizontal="center" vertical="center"/>
    </xf>
    <xf numFmtId="14" fontId="24" fillId="0" borderId="0" xfId="0" applyNumberFormat="1" applyFont="1" applyAlignment="1">
      <alignment horizontal="left"/>
    </xf>
    <xf numFmtId="166" fontId="24" fillId="0" borderId="0" xfId="8" applyNumberFormat="1" applyFont="1" applyBorder="1" applyAlignment="1">
      <alignment horizontal="right"/>
    </xf>
    <xf numFmtId="0" fontId="3" fillId="9" borderId="1" xfId="0" applyFont="1" applyFill="1" applyBorder="1" applyAlignment="1">
      <alignment horizontal="center"/>
    </xf>
    <xf numFmtId="0" fontId="10" fillId="3" borderId="0" xfId="0" applyFont="1" applyFill="1" applyAlignment="1">
      <alignment horizontal="right" vertical="center"/>
    </xf>
    <xf numFmtId="0" fontId="51" fillId="3" borderId="0" xfId="0" applyFont="1" applyFill="1" applyAlignment="1">
      <alignment horizontal="right" vertical="center"/>
    </xf>
    <xf numFmtId="0" fontId="4" fillId="3" borderId="1" xfId="0" applyFont="1" applyFill="1" applyBorder="1"/>
    <xf numFmtId="0" fontId="3" fillId="6" borderId="1" xfId="0" applyFont="1" applyFill="1" applyBorder="1" applyAlignment="1">
      <alignment horizontal="left"/>
    </xf>
    <xf numFmtId="0" fontId="3" fillId="6" borderId="1" xfId="0" applyFont="1" applyFill="1" applyBorder="1" applyAlignment="1">
      <alignment horizontal="left" wrapText="1"/>
    </xf>
    <xf numFmtId="0" fontId="3" fillId="9" borderId="1" xfId="0" applyFont="1" applyFill="1" applyBorder="1" applyAlignment="1">
      <alignment horizontal="left"/>
    </xf>
    <xf numFmtId="0" fontId="3" fillId="9" borderId="1" xfId="0" applyFont="1" applyFill="1" applyBorder="1" applyAlignment="1">
      <alignment horizontal="left" wrapText="1"/>
    </xf>
    <xf numFmtId="0" fontId="3" fillId="9" borderId="1" xfId="0" applyFont="1" applyFill="1" applyBorder="1" applyAlignment="1">
      <alignment horizontal="left" vertical="center"/>
    </xf>
    <xf numFmtId="0" fontId="25" fillId="0" borderId="1" xfId="0" applyFont="1" applyBorder="1" applyAlignment="1">
      <alignment horizontal="center" wrapText="1"/>
    </xf>
    <xf numFmtId="165" fontId="25" fillId="0" borderId="1" xfId="1" applyNumberFormat="1" applyFont="1" applyBorder="1" applyAlignment="1" applyProtection="1">
      <alignment horizontal="center" vertical="center"/>
    </xf>
    <xf numFmtId="166" fontId="25" fillId="0" borderId="1" xfId="8" applyNumberFormat="1" applyFont="1" applyBorder="1" applyAlignment="1" applyProtection="1">
      <alignment horizontal="center"/>
    </xf>
    <xf numFmtId="14" fontId="24" fillId="0" borderId="0" xfId="0" applyNumberFormat="1" applyFont="1" applyAlignment="1">
      <alignment horizontal="left" wrapText="1"/>
    </xf>
    <xf numFmtId="0" fontId="24" fillId="0" borderId="0" xfId="0" applyFont="1" applyAlignment="1">
      <alignment horizontal="right"/>
    </xf>
    <xf numFmtId="43" fontId="25" fillId="0" borderId="0" xfId="2" applyFont="1" applyAlignment="1" applyProtection="1">
      <alignment horizontal="center" vertical="center"/>
      <protection locked="0"/>
    </xf>
    <xf numFmtId="0" fontId="2" fillId="0" borderId="23" xfId="0" applyFont="1" applyBorder="1" applyAlignment="1">
      <alignment horizontal="left" vertical="center" wrapText="1"/>
    </xf>
    <xf numFmtId="0" fontId="2" fillId="0" borderId="26" xfId="0" applyFont="1" applyBorder="1" applyAlignment="1">
      <alignment horizontal="left" vertical="center" wrapText="1"/>
    </xf>
    <xf numFmtId="0" fontId="2" fillId="0" borderId="20" xfId="0" applyFont="1" applyBorder="1" applyAlignment="1">
      <alignment horizontal="left" vertical="center" wrapText="1"/>
    </xf>
    <xf numFmtId="0" fontId="1" fillId="9" borderId="23" xfId="0" applyFont="1" applyFill="1" applyBorder="1" applyAlignment="1">
      <alignment horizontal="left" vertical="center" wrapText="1"/>
    </xf>
    <xf numFmtId="0" fontId="1" fillId="9" borderId="26" xfId="0" applyFont="1" applyFill="1" applyBorder="1" applyAlignment="1">
      <alignment horizontal="left" vertical="center" wrapText="1"/>
    </xf>
    <xf numFmtId="0" fontId="1" fillId="9" borderId="20" xfId="0" applyFont="1" applyFill="1" applyBorder="1" applyAlignment="1">
      <alignment horizontal="left" vertical="center" wrapText="1"/>
    </xf>
    <xf numFmtId="0" fontId="25" fillId="0" borderId="34" xfId="0" applyFont="1" applyBorder="1" applyAlignment="1">
      <alignment horizontal="left"/>
    </xf>
    <xf numFmtId="0" fontId="25" fillId="0" borderId="35" xfId="0" applyFont="1" applyBorder="1" applyAlignment="1">
      <alignment horizontal="left"/>
    </xf>
    <xf numFmtId="0" fontId="25" fillId="0" borderId="36" xfId="0" applyFont="1" applyBorder="1" applyAlignment="1">
      <alignment horizontal="left"/>
    </xf>
    <xf numFmtId="0" fontId="2" fillId="3" borderId="23" xfId="0" applyFont="1" applyFill="1" applyBorder="1" applyAlignment="1">
      <alignment horizontal="left" vertical="center" wrapText="1"/>
    </xf>
    <xf numFmtId="0" fontId="2" fillId="3" borderId="26" xfId="0" applyFont="1" applyFill="1" applyBorder="1" applyAlignment="1">
      <alignment horizontal="left" vertical="center" wrapText="1"/>
    </xf>
    <xf numFmtId="0" fontId="2" fillId="3" borderId="20" xfId="0" applyFont="1" applyFill="1" applyBorder="1" applyAlignment="1">
      <alignment horizontal="left" vertical="center" wrapText="1"/>
    </xf>
    <xf numFmtId="0" fontId="2" fillId="0" borderId="29" xfId="0" applyFont="1" applyBorder="1" applyAlignment="1">
      <alignment vertical="top" wrapText="1"/>
    </xf>
    <xf numFmtId="0" fontId="2" fillId="0" borderId="22" xfId="0" applyFont="1" applyBorder="1" applyAlignment="1">
      <alignment vertical="top" wrapText="1"/>
    </xf>
    <xf numFmtId="165" fontId="4" fillId="0" borderId="0" xfId="2" applyNumberFormat="1" applyFont="1" applyBorder="1" applyAlignment="1" applyProtection="1"/>
    <xf numFmtId="165" fontId="4" fillId="0" borderId="16" xfId="2" applyNumberFormat="1" applyFont="1" applyBorder="1" applyAlignment="1" applyProtection="1"/>
    <xf numFmtId="0" fontId="1"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7" xfId="0" applyFont="1" applyBorder="1" applyAlignment="1">
      <alignment horizontal="center" vertical="center" wrapText="1"/>
    </xf>
    <xf numFmtId="165" fontId="4" fillId="0" borderId="13" xfId="2" applyNumberFormat="1" applyFont="1" applyBorder="1" applyAlignment="1">
      <alignment horizontal="center" vertical="center" wrapText="1"/>
    </xf>
    <xf numFmtId="165" fontId="4" fillId="0" borderId="17" xfId="2" applyNumberFormat="1" applyFont="1" applyBorder="1" applyAlignment="1">
      <alignment horizontal="center" vertical="center" wrapText="1"/>
    </xf>
    <xf numFmtId="0" fontId="1" fillId="6" borderId="33" xfId="0" applyFont="1" applyFill="1" applyBorder="1" applyAlignment="1">
      <alignment horizontal="left" vertical="center" wrapText="1"/>
    </xf>
    <xf numFmtId="0" fontId="1" fillId="6" borderId="26" xfId="0" applyFont="1" applyFill="1" applyBorder="1" applyAlignment="1">
      <alignment horizontal="left" vertical="center" wrapText="1"/>
    </xf>
    <xf numFmtId="0" fontId="1" fillId="6" borderId="20" xfId="0" applyFont="1" applyFill="1" applyBorder="1" applyAlignment="1">
      <alignment horizontal="left" vertical="center" wrapText="1"/>
    </xf>
    <xf numFmtId="0" fontId="1" fillId="6" borderId="33" xfId="0" applyFont="1" applyFill="1" applyBorder="1" applyAlignment="1">
      <alignment horizontal="left" vertical="top" wrapText="1"/>
    </xf>
    <xf numFmtId="0" fontId="1" fillId="6" borderId="26" xfId="0" applyFont="1" applyFill="1" applyBorder="1" applyAlignment="1">
      <alignment horizontal="left" vertical="top" wrapText="1"/>
    </xf>
    <xf numFmtId="0" fontId="1" fillId="6" borderId="20" xfId="0" applyFont="1" applyFill="1" applyBorder="1" applyAlignment="1">
      <alignment horizontal="left" vertical="top" wrapText="1"/>
    </xf>
    <xf numFmtId="0" fontId="12" fillId="3" borderId="23" xfId="0" applyFont="1" applyFill="1" applyBorder="1" applyAlignment="1">
      <alignment horizontal="left" vertical="center" wrapText="1"/>
    </xf>
    <xf numFmtId="0" fontId="12" fillId="3" borderId="26" xfId="0" applyFont="1" applyFill="1" applyBorder="1" applyAlignment="1">
      <alignment horizontal="left" vertical="center" wrapText="1"/>
    </xf>
    <xf numFmtId="0" fontId="12" fillId="3" borderId="20" xfId="0" applyFont="1" applyFill="1" applyBorder="1" applyAlignment="1">
      <alignment horizontal="left" vertical="center" wrapText="1"/>
    </xf>
    <xf numFmtId="0" fontId="12" fillId="0" borderId="23" xfId="0" applyFont="1" applyBorder="1" applyAlignment="1">
      <alignment horizontal="left" vertical="center" wrapText="1"/>
    </xf>
    <xf numFmtId="0" fontId="12" fillId="0" borderId="26" xfId="0" applyFont="1" applyBorder="1" applyAlignment="1">
      <alignment horizontal="left" vertical="center" wrapText="1"/>
    </xf>
    <xf numFmtId="0" fontId="12" fillId="0" borderId="20" xfId="0" applyFont="1" applyBorder="1" applyAlignment="1">
      <alignment horizontal="left" vertical="center" wrapText="1"/>
    </xf>
    <xf numFmtId="0" fontId="2" fillId="0" borderId="27" xfId="0" applyFont="1" applyBorder="1" applyAlignment="1">
      <alignment vertical="top" wrapText="1"/>
    </xf>
    <xf numFmtId="0" fontId="2" fillId="0" borderId="21" xfId="0" applyFont="1" applyBorder="1" applyAlignment="1">
      <alignment vertical="top" wrapText="1"/>
    </xf>
    <xf numFmtId="0" fontId="4" fillId="0" borderId="28" xfId="0" applyFont="1" applyBorder="1" applyAlignment="1">
      <alignment vertical="top" wrapText="1"/>
    </xf>
    <xf numFmtId="0" fontId="4" fillId="0" borderId="6" xfId="0" applyFont="1" applyBorder="1" applyAlignment="1">
      <alignment vertical="top" wrapText="1"/>
    </xf>
    <xf numFmtId="0" fontId="2" fillId="0" borderId="28" xfId="0" applyFont="1" applyBorder="1" applyAlignment="1">
      <alignment vertical="top" wrapText="1"/>
    </xf>
    <xf numFmtId="0" fontId="25" fillId="0" borderId="6" xfId="0" applyFont="1" applyBorder="1" applyAlignment="1">
      <alignment vertical="top" wrapText="1"/>
    </xf>
    <xf numFmtId="0" fontId="2" fillId="0" borderId="23" xfId="0" applyFont="1" applyBorder="1" applyAlignment="1">
      <alignment horizontal="left" vertical="top" wrapText="1"/>
    </xf>
    <xf numFmtId="0" fontId="2" fillId="0" borderId="26" xfId="0" applyFont="1" applyBorder="1" applyAlignment="1">
      <alignment horizontal="left" vertical="top" wrapText="1"/>
    </xf>
    <xf numFmtId="165" fontId="4" fillId="0" borderId="23" xfId="2" applyNumberFormat="1" applyFont="1" applyFill="1" applyBorder="1" applyAlignment="1" applyProtection="1"/>
    <xf numFmtId="165" fontId="4" fillId="0" borderId="18" xfId="2" applyNumberFormat="1" applyFont="1" applyFill="1" applyBorder="1" applyAlignment="1" applyProtection="1"/>
    <xf numFmtId="0" fontId="3" fillId="0" borderId="33" xfId="0" applyFont="1" applyBorder="1" applyAlignment="1">
      <alignment horizontal="left" vertical="top" wrapText="1"/>
    </xf>
    <xf numFmtId="0" fontId="3" fillId="0" borderId="26" xfId="0" applyFont="1" applyBorder="1" applyAlignment="1">
      <alignment horizontal="left" vertical="top" wrapText="1"/>
    </xf>
    <xf numFmtId="0" fontId="3" fillId="0" borderId="20" xfId="0" applyFont="1" applyBorder="1" applyAlignment="1">
      <alignment horizontal="left" vertical="top" wrapText="1"/>
    </xf>
    <xf numFmtId="165" fontId="3" fillId="0" borderId="26" xfId="2" applyNumberFormat="1" applyFont="1" applyBorder="1" applyAlignment="1">
      <alignment vertical="top" wrapText="1"/>
    </xf>
    <xf numFmtId="165" fontId="3" fillId="0" borderId="18" xfId="2" applyNumberFormat="1" applyFont="1" applyBorder="1" applyAlignment="1">
      <alignment vertical="top" wrapText="1"/>
    </xf>
    <xf numFmtId="0" fontId="3" fillId="6" borderId="33" xfId="0" applyFont="1" applyFill="1" applyBorder="1" applyAlignment="1">
      <alignment vertical="center" wrapText="1"/>
    </xf>
    <xf numFmtId="0" fontId="3" fillId="6" borderId="26" xfId="0" applyFont="1" applyFill="1" applyBorder="1" applyAlignment="1">
      <alignment vertical="center" wrapText="1"/>
    </xf>
    <xf numFmtId="0" fontId="3" fillId="6" borderId="20" xfId="0" applyFont="1" applyFill="1" applyBorder="1" applyAlignment="1">
      <alignment vertical="center" wrapText="1"/>
    </xf>
    <xf numFmtId="165" fontId="3" fillId="6" borderId="26" xfId="2" applyNumberFormat="1" applyFont="1" applyFill="1" applyBorder="1" applyAlignment="1">
      <alignment vertical="center" wrapText="1"/>
    </xf>
    <xf numFmtId="165" fontId="3" fillId="6" borderId="18" xfId="2" applyNumberFormat="1" applyFont="1" applyFill="1" applyBorder="1" applyAlignment="1">
      <alignment vertical="center" wrapText="1"/>
    </xf>
    <xf numFmtId="0" fontId="2" fillId="0" borderId="0" xfId="0" applyFont="1" applyAlignment="1">
      <alignment vertical="top" wrapText="1"/>
    </xf>
    <xf numFmtId="165" fontId="4" fillId="0" borderId="28" xfId="2" applyNumberFormat="1" applyFont="1" applyFill="1" applyBorder="1" applyAlignment="1" applyProtection="1"/>
    <xf numFmtId="165" fontId="4" fillId="0" borderId="16" xfId="2" applyNumberFormat="1" applyFont="1" applyFill="1" applyBorder="1" applyAlignment="1" applyProtection="1"/>
    <xf numFmtId="0" fontId="2" fillId="0" borderId="28" xfId="0" applyFont="1" applyBorder="1" applyAlignment="1">
      <alignment horizontal="left" vertical="top" wrapText="1"/>
    </xf>
    <xf numFmtId="0" fontId="2" fillId="0" borderId="0" xfId="0" applyFont="1" applyAlignment="1">
      <alignment horizontal="left" vertical="top" wrapText="1"/>
    </xf>
    <xf numFmtId="0" fontId="2" fillId="0" borderId="29" xfId="0" applyFont="1" applyBorder="1" applyAlignment="1">
      <alignment horizontal="left" vertical="top" wrapText="1"/>
    </xf>
    <xf numFmtId="0" fontId="2" fillId="0" borderId="25" xfId="0" applyFont="1" applyBorder="1" applyAlignment="1">
      <alignment horizontal="left" vertical="top" wrapText="1"/>
    </xf>
    <xf numFmtId="165" fontId="4" fillId="0" borderId="29" xfId="2" applyNumberFormat="1" applyFont="1" applyFill="1" applyBorder="1" applyAlignment="1" applyProtection="1"/>
    <xf numFmtId="165" fontId="4" fillId="0" borderId="12" xfId="2" applyNumberFormat="1" applyFont="1" applyFill="1" applyBorder="1" applyAlignment="1" applyProtection="1"/>
    <xf numFmtId="165" fontId="4" fillId="0" borderId="16" xfId="2" applyNumberFormat="1" applyFont="1" applyBorder="1" applyAlignment="1"/>
    <xf numFmtId="0" fontId="25" fillId="0" borderId="0" xfId="0" applyFont="1" applyAlignment="1">
      <alignment vertical="top" wrapText="1"/>
    </xf>
    <xf numFmtId="0" fontId="1" fillId="0" borderId="23" xfId="0" applyFont="1" applyBorder="1" applyAlignment="1">
      <alignment horizontal="left" vertical="center" wrapText="1"/>
    </xf>
    <xf numFmtId="0" fontId="1" fillId="0" borderId="20" xfId="0" applyFont="1" applyBorder="1" applyAlignment="1">
      <alignment horizontal="left" vertical="center" wrapText="1"/>
    </xf>
    <xf numFmtId="165" fontId="1" fillId="2" borderId="23" xfId="2" applyNumberFormat="1" applyFont="1" applyFill="1" applyBorder="1" applyAlignment="1" applyProtection="1">
      <alignment vertical="center"/>
    </xf>
    <xf numFmtId="165" fontId="1" fillId="2" borderId="18" xfId="2" applyNumberFormat="1" applyFont="1" applyFill="1" applyBorder="1" applyAlignment="1" applyProtection="1">
      <alignment vertical="center"/>
    </xf>
    <xf numFmtId="0" fontId="1" fillId="6" borderId="33" xfId="0" applyFont="1" applyFill="1" applyBorder="1" applyAlignment="1">
      <alignment vertical="center" wrapText="1"/>
    </xf>
    <xf numFmtId="0" fontId="1" fillId="6" borderId="26" xfId="0" applyFont="1" applyFill="1" applyBorder="1" applyAlignment="1">
      <alignment vertical="center" wrapText="1"/>
    </xf>
    <xf numFmtId="165" fontId="3" fillId="6" borderId="23" xfId="2" applyNumberFormat="1" applyFont="1" applyFill="1" applyBorder="1" applyAlignment="1" applyProtection="1">
      <alignment vertical="center"/>
    </xf>
    <xf numFmtId="165" fontId="3" fillId="6" borderId="18" xfId="2" applyNumberFormat="1" applyFont="1" applyFill="1" applyBorder="1" applyAlignment="1" applyProtection="1">
      <alignment vertical="center"/>
    </xf>
    <xf numFmtId="0" fontId="2" fillId="0" borderId="24" xfId="0" applyFont="1" applyBorder="1" applyAlignment="1">
      <alignment vertical="top" wrapText="1"/>
    </xf>
    <xf numFmtId="165" fontId="4" fillId="0" borderId="27" xfId="2" applyNumberFormat="1" applyFont="1" applyFill="1" applyBorder="1" applyAlignment="1" applyProtection="1"/>
    <xf numFmtId="165" fontId="4" fillId="0" borderId="14" xfId="2" applyNumberFormat="1" applyFont="1" applyFill="1" applyBorder="1" applyAlignment="1" applyProtection="1"/>
    <xf numFmtId="0" fontId="3" fillId="0" borderId="0" xfId="0" applyFont="1" applyAlignment="1">
      <alignment horizontal="center" wrapText="1"/>
    </xf>
    <xf numFmtId="0" fontId="28" fillId="0" borderId="0" xfId="0" applyFont="1" applyAlignment="1">
      <alignment horizontal="center" wrapText="1"/>
    </xf>
    <xf numFmtId="0" fontId="3" fillId="0" borderId="0" xfId="7" applyFont="1" applyAlignment="1">
      <alignment horizontal="center"/>
    </xf>
    <xf numFmtId="14" fontId="3" fillId="0" borderId="0" xfId="7" applyNumberFormat="1" applyFont="1" applyAlignment="1">
      <alignment horizontal="left" wrapText="1"/>
    </xf>
    <xf numFmtId="14" fontId="3" fillId="0" borderId="0" xfId="0" applyNumberFormat="1" applyFont="1" applyAlignment="1">
      <alignment wrapText="1"/>
    </xf>
    <xf numFmtId="0" fontId="1" fillId="9" borderId="30" xfId="0" applyFont="1" applyFill="1" applyBorder="1" applyAlignment="1">
      <alignment horizontal="center" vertical="center" wrapText="1"/>
    </xf>
    <xf numFmtId="0" fontId="1" fillId="9" borderId="31" xfId="0" applyFont="1" applyFill="1" applyBorder="1" applyAlignment="1">
      <alignment horizontal="center" vertical="center" wrapText="1"/>
    </xf>
    <xf numFmtId="165" fontId="1" fillId="9" borderId="30" xfId="2" applyNumberFormat="1" applyFont="1" applyFill="1" applyBorder="1" applyAlignment="1">
      <alignment horizontal="center" vertical="center" wrapText="1"/>
    </xf>
    <xf numFmtId="165" fontId="3" fillId="9" borderId="32" xfId="2" applyNumberFormat="1" applyFont="1" applyFill="1" applyBorder="1" applyAlignment="1">
      <alignment horizontal="center" vertical="center" wrapText="1"/>
    </xf>
    <xf numFmtId="43" fontId="25" fillId="0" borderId="0" xfId="2" applyFont="1" applyAlignment="1" applyProtection="1">
      <alignment horizontal="left" vertical="center"/>
      <protection locked="0"/>
    </xf>
    <xf numFmtId="0" fontId="24" fillId="9" borderId="1" xfId="0" applyFont="1" applyFill="1" applyBorder="1" applyAlignment="1">
      <alignment horizontal="center" vertical="center"/>
    </xf>
    <xf numFmtId="0" fontId="24" fillId="6" borderId="1" xfId="0" applyFont="1" applyFill="1" applyBorder="1" applyAlignment="1">
      <alignment horizontal="left"/>
    </xf>
    <xf numFmtId="0" fontId="24" fillId="9" borderId="1" xfId="0" applyFont="1" applyFill="1" applyBorder="1" applyAlignment="1">
      <alignment horizontal="left" vertical="center"/>
    </xf>
    <xf numFmtId="0" fontId="4" fillId="6" borderId="1" xfId="0" applyFont="1" applyFill="1" applyBorder="1" applyAlignment="1">
      <alignment horizontal="left" vertical="center" wrapText="1"/>
    </xf>
    <xf numFmtId="0" fontId="24" fillId="0" borderId="0" xfId="0" applyFont="1" applyAlignment="1">
      <alignment horizontal="left" vertical="center"/>
    </xf>
    <xf numFmtId="0" fontId="24" fillId="6" borderId="1" xfId="0" applyFont="1" applyFill="1" applyBorder="1" applyAlignment="1">
      <alignment horizontal="left" vertical="center"/>
    </xf>
    <xf numFmtId="0" fontId="25" fillId="0" borderId="0" xfId="0" applyFont="1" applyAlignment="1">
      <alignment horizontal="left"/>
    </xf>
    <xf numFmtId="0" fontId="3" fillId="9" borderId="1" xfId="0" applyFont="1" applyFill="1" applyBorder="1" applyAlignment="1">
      <alignment horizontal="left" vertical="center" wrapText="1"/>
    </xf>
    <xf numFmtId="0" fontId="4" fillId="0" borderId="1" xfId="0" applyFont="1" applyBorder="1" applyAlignment="1">
      <alignment horizontal="left" vertical="center" wrapText="1"/>
    </xf>
    <xf numFmtId="0" fontId="3" fillId="6" borderId="1" xfId="0" applyFont="1" applyFill="1" applyBorder="1" applyAlignment="1">
      <alignment horizontal="left" vertical="center" wrapText="1"/>
    </xf>
    <xf numFmtId="0" fontId="24" fillId="0" borderId="1" xfId="0" applyFont="1" applyBorder="1" applyAlignment="1">
      <alignment horizontal="center" vertical="center"/>
    </xf>
    <xf numFmtId="165" fontId="24" fillId="0" borderId="1" xfId="2" applyNumberFormat="1" applyFont="1" applyBorder="1" applyAlignment="1">
      <alignment horizontal="center"/>
    </xf>
    <xf numFmtId="0" fontId="28" fillId="6" borderId="1" xfId="0" applyFont="1" applyFill="1" applyBorder="1" applyAlignment="1">
      <alignment horizontal="left" vertical="center" wrapText="1"/>
    </xf>
    <xf numFmtId="165" fontId="24" fillId="0" borderId="0" xfId="2" applyNumberFormat="1" applyFont="1" applyBorder="1" applyAlignment="1">
      <alignment horizontal="right"/>
    </xf>
    <xf numFmtId="165" fontId="4" fillId="3" borderId="1" xfId="2" applyNumberFormat="1" applyFont="1" applyFill="1" applyBorder="1" applyAlignment="1" applyProtection="1">
      <alignment horizontal="center" vertical="center" wrapText="1"/>
    </xf>
    <xf numFmtId="165" fontId="4" fillId="8" borderId="1" xfId="2" applyNumberFormat="1" applyFont="1" applyFill="1" applyBorder="1" applyAlignment="1" applyProtection="1">
      <alignment horizontal="center" vertical="center" wrapText="1"/>
    </xf>
    <xf numFmtId="165" fontId="3" fillId="3" borderId="1" xfId="2" applyNumberFormat="1" applyFont="1" applyFill="1" applyBorder="1" applyAlignment="1" applyProtection="1">
      <alignment horizontal="center" vertical="center"/>
    </xf>
    <xf numFmtId="165" fontId="3" fillId="8" borderId="1" xfId="2" applyNumberFormat="1" applyFont="1" applyFill="1" applyBorder="1" applyAlignment="1" applyProtection="1">
      <alignment horizontal="center" vertical="center"/>
    </xf>
    <xf numFmtId="165" fontId="4" fillId="8" borderId="1" xfId="2" applyNumberFormat="1" applyFont="1" applyFill="1" applyBorder="1" applyAlignment="1" applyProtection="1">
      <alignment vertical="center" wrapText="1"/>
    </xf>
    <xf numFmtId="165" fontId="3" fillId="3" borderId="1" xfId="2" applyNumberFormat="1" applyFont="1" applyFill="1" applyBorder="1" applyAlignment="1" applyProtection="1">
      <alignment horizontal="center" vertical="center" wrapText="1"/>
    </xf>
    <xf numFmtId="165" fontId="3" fillId="8" borderId="1" xfId="2" applyNumberFormat="1" applyFont="1" applyFill="1" applyBorder="1" applyAlignment="1" applyProtection="1">
      <alignment horizontal="center" vertical="center" wrapText="1"/>
    </xf>
    <xf numFmtId="165" fontId="4" fillId="3" borderId="1" xfId="2" applyNumberFormat="1" applyFont="1" applyFill="1" applyBorder="1" applyAlignment="1" applyProtection="1">
      <alignment vertical="center" wrapText="1"/>
    </xf>
    <xf numFmtId="0" fontId="3" fillId="9" borderId="1" xfId="0" applyFont="1" applyFill="1" applyBorder="1" applyAlignment="1">
      <alignment horizontal="center" vertical="center" wrapText="1"/>
    </xf>
    <xf numFmtId="0" fontId="28" fillId="0" borderId="0" xfId="0" applyFont="1" applyAlignment="1">
      <alignment horizontal="center" vertical="center" wrapText="1"/>
    </xf>
    <xf numFmtId="165" fontId="24" fillId="9" borderId="1" xfId="2" applyNumberFormat="1" applyFont="1" applyFill="1" applyBorder="1" applyAlignment="1">
      <alignment horizontal="center" vertical="center"/>
    </xf>
    <xf numFmtId="0" fontId="24" fillId="6" borderId="1" xfId="0" applyFont="1" applyFill="1" applyBorder="1" applyAlignment="1">
      <alignment horizontal="center"/>
    </xf>
    <xf numFmtId="0" fontId="24" fillId="9" borderId="1" xfId="0" applyFont="1" applyFill="1" applyBorder="1" applyAlignment="1">
      <alignment horizontal="center"/>
    </xf>
    <xf numFmtId="0" fontId="25" fillId="0" borderId="1" xfId="0" applyFont="1" applyBorder="1" applyAlignment="1">
      <alignment horizontal="left"/>
    </xf>
    <xf numFmtId="0" fontId="24" fillId="9" borderId="1" xfId="0" applyFont="1" applyFill="1" applyBorder="1" applyAlignment="1">
      <alignment horizontal="center" vertical="center" wrapText="1"/>
    </xf>
    <xf numFmtId="166" fontId="25" fillId="9" borderId="13" xfId="9" applyNumberFormat="1" applyFont="1" applyFill="1" applyBorder="1" applyAlignment="1">
      <alignment horizontal="center" vertical="center" wrapText="1"/>
    </xf>
    <xf numFmtId="166" fontId="25" fillId="9" borderId="17" xfId="9" applyNumberFormat="1" applyFont="1" applyFill="1" applyBorder="1" applyAlignment="1">
      <alignment horizontal="center" vertical="center" wrapText="1"/>
    </xf>
    <xf numFmtId="166" fontId="25" fillId="9" borderId="1" xfId="8" applyNumberFormat="1" applyFont="1" applyFill="1" applyBorder="1" applyAlignment="1">
      <alignment horizontal="center" vertical="center" wrapText="1"/>
    </xf>
    <xf numFmtId="0" fontId="25" fillId="9" borderId="13" xfId="0" applyFont="1" applyFill="1" applyBorder="1" applyAlignment="1">
      <alignment horizontal="center" vertical="center"/>
    </xf>
    <xf numFmtId="0" fontId="25" fillId="9" borderId="17" xfId="0" applyFont="1" applyFill="1" applyBorder="1" applyAlignment="1">
      <alignment horizontal="center" vertical="center"/>
    </xf>
    <xf numFmtId="166" fontId="24" fillId="0" borderId="0" xfId="9" applyNumberFormat="1" applyFont="1" applyBorder="1" applyAlignment="1">
      <alignment horizontal="right" vertical="center"/>
    </xf>
    <xf numFmtId="165" fontId="25" fillId="9" borderId="13" xfId="2" applyNumberFormat="1" applyFont="1" applyFill="1" applyBorder="1" applyAlignment="1">
      <alignment horizontal="center" vertical="center" wrapText="1"/>
    </xf>
    <xf numFmtId="165" fontId="25" fillId="9" borderId="17" xfId="2" applyNumberFormat="1" applyFont="1" applyFill="1" applyBorder="1" applyAlignment="1">
      <alignment horizontal="center" vertical="center" wrapText="1"/>
    </xf>
    <xf numFmtId="0" fontId="25" fillId="9" borderId="13" xfId="0" applyFont="1" applyFill="1" applyBorder="1" applyAlignment="1">
      <alignment horizontal="center" vertical="center" wrapText="1"/>
    </xf>
    <xf numFmtId="0" fontId="25" fillId="9" borderId="17" xfId="0" applyFont="1" applyFill="1" applyBorder="1" applyAlignment="1">
      <alignment horizontal="center" vertical="center" wrapText="1"/>
    </xf>
    <xf numFmtId="165" fontId="25" fillId="9" borderId="21" xfId="2" applyNumberFormat="1" applyFont="1" applyFill="1" applyBorder="1" applyAlignment="1">
      <alignment horizontal="center" vertical="center" wrapText="1"/>
    </xf>
    <xf numFmtId="165" fontId="25" fillId="9" borderId="22" xfId="2" applyNumberFormat="1" applyFont="1" applyFill="1" applyBorder="1" applyAlignment="1">
      <alignment horizontal="center" vertical="center" wrapText="1"/>
    </xf>
    <xf numFmtId="0" fontId="3" fillId="9" borderId="1" xfId="0" applyFont="1" applyFill="1" applyBorder="1" applyAlignment="1">
      <alignment horizontal="center" vertical="center"/>
    </xf>
    <xf numFmtId="0" fontId="3" fillId="9" borderId="17" xfId="0" applyFont="1" applyFill="1" applyBorder="1" applyAlignment="1">
      <alignment horizontal="center" vertical="center"/>
    </xf>
    <xf numFmtId="0" fontId="35" fillId="0" borderId="0" xfId="0" applyFont="1" applyAlignment="1">
      <alignment horizontal="left" wrapText="1"/>
    </xf>
    <xf numFmtId="165" fontId="28" fillId="0" borderId="24" xfId="2" applyNumberFormat="1" applyFont="1" applyFill="1" applyBorder="1" applyAlignment="1">
      <alignment horizontal="center"/>
    </xf>
    <xf numFmtId="0" fontId="25" fillId="9" borderId="23" xfId="0" applyFont="1" applyFill="1" applyBorder="1" applyAlignment="1">
      <alignment horizontal="center" vertical="center"/>
    </xf>
    <xf numFmtId="0" fontId="25" fillId="9" borderId="20" xfId="0" applyFont="1" applyFill="1" applyBorder="1" applyAlignment="1">
      <alignment horizontal="center" vertical="center"/>
    </xf>
    <xf numFmtId="165" fontId="25" fillId="9" borderId="27" xfId="2" applyNumberFormat="1" applyFont="1" applyFill="1" applyBorder="1" applyAlignment="1">
      <alignment horizontal="center" vertical="center" wrapText="1"/>
    </xf>
    <xf numFmtId="165" fontId="25" fillId="9" borderId="29" xfId="2" applyNumberFormat="1" applyFont="1" applyFill="1" applyBorder="1" applyAlignment="1">
      <alignment horizontal="center" vertical="center" wrapText="1"/>
    </xf>
    <xf numFmtId="165" fontId="25" fillId="9" borderId="1" xfId="2" applyNumberFormat="1" applyFont="1" applyFill="1" applyBorder="1" applyAlignment="1">
      <alignment horizontal="center" vertical="center" wrapText="1"/>
    </xf>
    <xf numFmtId="165" fontId="25" fillId="9" borderId="15" xfId="2" applyNumberFormat="1" applyFont="1" applyFill="1" applyBorder="1" applyAlignment="1">
      <alignment horizontal="center" vertical="center" wrapText="1"/>
    </xf>
    <xf numFmtId="166" fontId="25" fillId="9" borderId="13" xfId="8" applyNumberFormat="1" applyFont="1" applyFill="1" applyBorder="1" applyAlignment="1">
      <alignment horizontal="center" vertical="center" wrapText="1"/>
    </xf>
    <xf numFmtId="166" fontId="25" fillId="9" borderId="17" xfId="8" applyNumberFormat="1" applyFont="1" applyFill="1" applyBorder="1" applyAlignment="1">
      <alignment horizontal="center" vertical="center" wrapText="1"/>
    </xf>
    <xf numFmtId="165" fontId="29" fillId="11" borderId="0" xfId="2" applyNumberFormat="1" applyFont="1" applyFill="1" applyBorder="1" applyAlignment="1">
      <alignment horizontal="right"/>
    </xf>
    <xf numFmtId="0" fontId="25" fillId="9" borderId="23" xfId="0" applyFont="1" applyFill="1" applyBorder="1" applyAlignment="1">
      <alignment horizontal="center" vertical="center" wrapText="1"/>
    </xf>
    <xf numFmtId="0" fontId="25" fillId="9" borderId="20" xfId="0" applyFont="1" applyFill="1" applyBorder="1" applyAlignment="1">
      <alignment horizontal="center" vertical="center" wrapText="1"/>
    </xf>
    <xf numFmtId="166" fontId="25" fillId="9" borderId="13" xfId="9" applyNumberFormat="1" applyFont="1" applyFill="1" applyBorder="1" applyAlignment="1">
      <alignment horizontal="center" wrapText="1"/>
    </xf>
    <xf numFmtId="166" fontId="25" fillId="9" borderId="17" xfId="9" applyNumberFormat="1" applyFont="1" applyFill="1" applyBorder="1" applyAlignment="1">
      <alignment horizontal="center" wrapText="1"/>
    </xf>
    <xf numFmtId="0" fontId="29" fillId="11" borderId="0" xfId="0" applyFont="1" applyFill="1" applyAlignment="1">
      <alignment horizontal="center"/>
    </xf>
    <xf numFmtId="165" fontId="29" fillId="0" borderId="0" xfId="2" applyNumberFormat="1" applyFont="1" applyAlignment="1">
      <alignment horizontal="center" wrapText="1"/>
    </xf>
    <xf numFmtId="43" fontId="35" fillId="0" borderId="0" xfId="1" applyFont="1" applyAlignment="1" applyProtection="1">
      <alignment horizontal="center" vertical="center"/>
    </xf>
    <xf numFmtId="166" fontId="35" fillId="9" borderId="1" xfId="8" applyNumberFormat="1" applyFont="1" applyFill="1" applyBorder="1" applyAlignment="1" applyProtection="1">
      <alignment horizontal="center" vertical="center" wrapText="1"/>
    </xf>
    <xf numFmtId="0" fontId="52" fillId="0" borderId="0" xfId="0" applyFont="1" applyAlignment="1">
      <alignment horizontal="right" vertical="center" wrapText="1"/>
    </xf>
    <xf numFmtId="0" fontId="35" fillId="9" borderId="1" xfId="0" applyFont="1" applyFill="1" applyBorder="1" applyAlignment="1">
      <alignment horizontal="center" vertical="center" wrapText="1"/>
    </xf>
    <xf numFmtId="166" fontId="19" fillId="9" borderId="1" xfId="8" applyNumberFormat="1" applyFont="1" applyFill="1" applyBorder="1" applyAlignment="1" applyProtection="1">
      <alignment horizontal="center" vertical="center" wrapText="1"/>
    </xf>
    <xf numFmtId="0" fontId="19" fillId="9" borderId="1" xfId="5" applyFont="1" applyFill="1" applyBorder="1" applyAlignment="1">
      <alignment horizontal="center" vertical="center" wrapText="1"/>
    </xf>
    <xf numFmtId="0" fontId="35" fillId="0" borderId="0" xfId="0" applyFont="1" applyAlignment="1">
      <alignment horizontal="left"/>
    </xf>
    <xf numFmtId="0" fontId="19" fillId="9" borderId="13" xfId="5" applyFont="1" applyFill="1" applyBorder="1" applyAlignment="1">
      <alignment horizontal="center" vertical="center" wrapText="1"/>
    </xf>
    <xf numFmtId="0" fontId="19" fillId="9" borderId="15" xfId="5" applyFont="1" applyFill="1" applyBorder="1" applyAlignment="1">
      <alignment horizontal="center" vertical="center" wrapText="1"/>
    </xf>
    <xf numFmtId="0" fontId="36" fillId="0" borderId="0" xfId="0" applyFont="1" applyAlignment="1">
      <alignment horizontal="center" vertical="center"/>
    </xf>
    <xf numFmtId="165" fontId="35" fillId="9" borderId="27" xfId="1" applyNumberFormat="1" applyFont="1" applyFill="1" applyBorder="1" applyAlignment="1" applyProtection="1">
      <alignment horizontal="center" vertical="center"/>
    </xf>
    <xf numFmtId="165" fontId="35" fillId="9" borderId="24" xfId="1" applyNumberFormat="1" applyFont="1" applyFill="1" applyBorder="1" applyAlignment="1" applyProtection="1">
      <alignment horizontal="center" vertical="center"/>
    </xf>
    <xf numFmtId="165" fontId="35" fillId="9" borderId="28" xfId="1" applyNumberFormat="1" applyFont="1" applyFill="1" applyBorder="1" applyAlignment="1" applyProtection="1">
      <alignment horizontal="center" vertical="center"/>
    </xf>
    <xf numFmtId="165" fontId="35" fillId="9" borderId="0" xfId="1" applyNumberFormat="1" applyFont="1" applyFill="1" applyBorder="1" applyAlignment="1" applyProtection="1">
      <alignment horizontal="center" vertical="center"/>
    </xf>
    <xf numFmtId="165" fontId="35" fillId="9" borderId="29" xfId="1" applyNumberFormat="1" applyFont="1" applyFill="1" applyBorder="1" applyAlignment="1" applyProtection="1">
      <alignment horizontal="center" vertical="center"/>
    </xf>
    <xf numFmtId="165" fontId="35" fillId="9" borderId="25" xfId="1" applyNumberFormat="1" applyFont="1" applyFill="1" applyBorder="1" applyAlignment="1" applyProtection="1">
      <alignment horizontal="center" vertical="center"/>
    </xf>
    <xf numFmtId="0" fontId="42" fillId="9" borderId="23" xfId="0" applyFont="1" applyFill="1" applyBorder="1" applyAlignment="1">
      <alignment horizontal="left" wrapText="1"/>
    </xf>
    <xf numFmtId="0" fontId="42" fillId="9" borderId="26" xfId="0" applyFont="1" applyFill="1" applyBorder="1" applyAlignment="1">
      <alignment horizontal="left" wrapText="1"/>
    </xf>
    <xf numFmtId="0" fontId="42" fillId="9" borderId="20" xfId="0" applyFont="1" applyFill="1" applyBorder="1" applyAlignment="1">
      <alignment horizontal="left" wrapText="1"/>
    </xf>
    <xf numFmtId="165" fontId="35" fillId="9" borderId="21" xfId="1" applyNumberFormat="1" applyFont="1" applyFill="1" applyBorder="1" applyAlignment="1" applyProtection="1">
      <alignment horizontal="center" vertical="center"/>
    </xf>
    <xf numFmtId="165" fontId="35" fillId="9" borderId="6" xfId="1" applyNumberFormat="1" applyFont="1" applyFill="1" applyBorder="1" applyAlignment="1" applyProtection="1">
      <alignment horizontal="center" vertical="center"/>
    </xf>
    <xf numFmtId="165" fontId="35" fillId="9" borderId="22" xfId="1" applyNumberFormat="1" applyFont="1" applyFill="1" applyBorder="1" applyAlignment="1" applyProtection="1">
      <alignment horizontal="center" vertical="center"/>
    </xf>
    <xf numFmtId="0" fontId="18" fillId="0" borderId="0" xfId="5" applyFont="1" applyAlignment="1">
      <alignment horizontal="center"/>
    </xf>
    <xf numFmtId="0" fontId="52" fillId="0" borderId="0" xfId="0" applyFont="1" applyAlignment="1">
      <alignment horizontal="center"/>
    </xf>
    <xf numFmtId="0" fontId="36" fillId="0" borderId="0" xfId="0" applyFont="1" applyAlignment="1">
      <alignment horizontal="center"/>
    </xf>
    <xf numFmtId="0" fontId="41" fillId="0" borderId="0" xfId="5" applyFont="1" applyAlignment="1">
      <alignment horizontal="right" wrapText="1"/>
    </xf>
    <xf numFmtId="166" fontId="36" fillId="0" borderId="0" xfId="8" applyNumberFormat="1" applyFont="1" applyBorder="1" applyAlignment="1" applyProtection="1">
      <alignment horizontal="right"/>
    </xf>
    <xf numFmtId="0" fontId="4" fillId="9" borderId="1" xfId="0" applyFont="1" applyFill="1" applyBorder="1" applyAlignment="1">
      <alignment horizontal="center" vertical="center" wrapText="1"/>
    </xf>
    <xf numFmtId="0" fontId="4" fillId="9" borderId="1" xfId="0" applyFont="1" applyFill="1" applyBorder="1" applyAlignment="1">
      <alignment horizontal="center" vertical="center"/>
    </xf>
    <xf numFmtId="0" fontId="4" fillId="9" borderId="1" xfId="0" applyFont="1" applyFill="1" applyBorder="1" applyAlignment="1">
      <alignment horizontal="left" vertical="center"/>
    </xf>
    <xf numFmtId="0" fontId="4" fillId="9" borderId="1" xfId="0" applyFont="1" applyFill="1" applyBorder="1" applyAlignment="1">
      <alignment horizontal="center"/>
    </xf>
    <xf numFmtId="165" fontId="25" fillId="9" borderId="13" xfId="2" applyNumberFormat="1" applyFont="1" applyFill="1" applyBorder="1" applyAlignment="1">
      <alignment horizontal="center" vertical="center"/>
    </xf>
    <xf numFmtId="165" fontId="25" fillId="9" borderId="17" xfId="2" applyNumberFormat="1" applyFont="1" applyFill="1" applyBorder="1" applyAlignment="1">
      <alignment horizontal="center" vertical="center"/>
    </xf>
    <xf numFmtId="165" fontId="29" fillId="11" borderId="0" xfId="2" applyNumberFormat="1" applyFont="1" applyFill="1" applyBorder="1" applyAlignment="1">
      <alignment horizontal="center"/>
    </xf>
    <xf numFmtId="0" fontId="25" fillId="9" borderId="1" xfId="0" applyFont="1" applyFill="1" applyBorder="1" applyAlignment="1">
      <alignment horizontal="center" vertical="center" wrapText="1"/>
    </xf>
    <xf numFmtId="0" fontId="25" fillId="9" borderId="1" xfId="0" applyFont="1" applyFill="1" applyBorder="1" applyAlignment="1">
      <alignment horizontal="center" vertical="center"/>
    </xf>
    <xf numFmtId="165" fontId="25" fillId="9" borderId="1" xfId="2" applyNumberFormat="1" applyFont="1" applyFill="1" applyBorder="1" applyAlignment="1">
      <alignment horizontal="center" vertical="center"/>
    </xf>
    <xf numFmtId="0" fontId="24" fillId="6" borderId="1" xfId="0" applyFont="1" applyFill="1" applyBorder="1" applyAlignment="1">
      <alignment horizontal="center" vertical="center"/>
    </xf>
    <xf numFmtId="14" fontId="24" fillId="0" borderId="0" xfId="0" applyNumberFormat="1" applyFont="1" applyAlignment="1">
      <alignment horizontal="center"/>
    </xf>
    <xf numFmtId="166" fontId="25" fillId="9" borderId="1" xfId="9" applyNumberFormat="1" applyFont="1" applyFill="1" applyBorder="1" applyAlignment="1">
      <alignment horizontal="center" vertical="center" wrapText="1"/>
    </xf>
    <xf numFmtId="9" fontId="25" fillId="9" borderId="1" xfId="9" applyFont="1" applyFill="1" applyBorder="1" applyAlignment="1">
      <alignment horizontal="center" vertical="center"/>
    </xf>
    <xf numFmtId="165" fontId="53" fillId="9" borderId="1" xfId="2" applyNumberFormat="1" applyFont="1" applyFill="1" applyBorder="1" applyAlignment="1">
      <alignment horizontal="center" vertical="center" wrapText="1"/>
    </xf>
    <xf numFmtId="0" fontId="24" fillId="9" borderId="1" xfId="0" applyFont="1" applyFill="1" applyBorder="1" applyAlignment="1">
      <alignment horizontal="center" vertical="top" wrapText="1"/>
    </xf>
    <xf numFmtId="165" fontId="25" fillId="9" borderId="1" xfId="2" applyNumberFormat="1" applyFont="1" applyFill="1" applyBorder="1" applyAlignment="1">
      <alignment horizontal="center" wrapText="1"/>
    </xf>
    <xf numFmtId="165" fontId="25" fillId="9" borderId="1" xfId="2" applyNumberFormat="1" applyFont="1" applyFill="1" applyBorder="1" applyAlignment="1">
      <alignment horizontal="center" vertical="top" wrapText="1"/>
    </xf>
    <xf numFmtId="43" fontId="25" fillId="0" borderId="0" xfId="0" applyNumberFormat="1" applyFont="1" applyAlignment="1">
      <alignment horizontal="center"/>
    </xf>
    <xf numFmtId="166" fontId="25" fillId="9" borderId="1" xfId="9" applyNumberFormat="1" applyFont="1" applyFill="1" applyBorder="1" applyAlignment="1">
      <alignment horizontal="right"/>
    </xf>
  </cellXfs>
  <cellStyles count="10">
    <cellStyle name="Comma" xfId="1" builtinId="3"/>
    <cellStyle name="Comma 2" xfId="2" xr:uid="{00000000-0005-0000-0000-000001000000}"/>
    <cellStyle name="Currency 2" xfId="3" xr:uid="{00000000-0005-0000-0000-000002000000}"/>
    <cellStyle name="Hyperlink" xfId="4" builtinId="8"/>
    <cellStyle name="Normal" xfId="0" builtinId="0"/>
    <cellStyle name="Normal 2" xfId="5" xr:uid="{00000000-0005-0000-0000-000005000000}"/>
    <cellStyle name="Normal 3" xfId="6" xr:uid="{00000000-0005-0000-0000-000006000000}"/>
    <cellStyle name="Normal_report   ub city 00-08" xfId="7" xr:uid="{00000000-0005-0000-0000-000007000000}"/>
    <cellStyle name="Percent" xfId="8" builtinId="5"/>
    <cellStyle name="Percent 2" xfId="9" xr:uid="{00000000-0005-0000-0000-000009000000}"/>
  </cellStyles>
  <dxfs count="2">
    <dxf>
      <font>
        <condense val="0"/>
        <extend val="0"/>
        <color rgb="FF9C0006"/>
      </font>
      <fill>
        <patternFill>
          <bgColor rgb="FFFFC7CE"/>
        </patternFill>
      </fill>
    </dxf>
    <dxf>
      <font>
        <condense val="0"/>
        <extend val="0"/>
        <color rgb="FF9C0006"/>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542925</xdr:colOff>
      <xdr:row>18</xdr:row>
      <xdr:rowOff>66675</xdr:rowOff>
    </xdr:to>
    <xdr:pic>
      <xdr:nvPicPr>
        <xdr:cNvPr id="43153" name="Picture 14">
          <a:extLst>
            <a:ext uri="{FF2B5EF4-FFF2-40B4-BE49-F238E27FC236}">
              <a16:creationId xmlns:a16="http://schemas.microsoft.com/office/drawing/2014/main" id="{8E1861E1-F9FE-4DFE-9205-6F27189BE6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981325" cy="3495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18</xdr:row>
      <xdr:rowOff>57150</xdr:rowOff>
    </xdr:from>
    <xdr:to>
      <xdr:col>4</xdr:col>
      <xdr:colOff>542925</xdr:colOff>
      <xdr:row>28</xdr:row>
      <xdr:rowOff>9525</xdr:rowOff>
    </xdr:to>
    <xdr:pic>
      <xdr:nvPicPr>
        <xdr:cNvPr id="43154" name="Picture 15">
          <a:extLst>
            <a:ext uri="{FF2B5EF4-FFF2-40B4-BE49-F238E27FC236}">
              <a16:creationId xmlns:a16="http://schemas.microsoft.com/office/drawing/2014/main" id="{CA8E9405-FC7A-42B3-B072-977A103D70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3486150"/>
          <a:ext cx="2971800" cy="1857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590550</xdr:colOff>
      <xdr:row>0</xdr:row>
      <xdr:rowOff>0</xdr:rowOff>
    </xdr:from>
    <xdr:to>
      <xdr:col>9</xdr:col>
      <xdr:colOff>428625</xdr:colOff>
      <xdr:row>17</xdr:row>
      <xdr:rowOff>133350</xdr:rowOff>
    </xdr:to>
    <xdr:pic>
      <xdr:nvPicPr>
        <xdr:cNvPr id="43155" name="Picture 16">
          <a:extLst>
            <a:ext uri="{FF2B5EF4-FFF2-40B4-BE49-F238E27FC236}">
              <a16:creationId xmlns:a16="http://schemas.microsoft.com/office/drawing/2014/main" id="{3EF4CD74-168C-463E-AFCF-02DB93A53B8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28950" y="0"/>
          <a:ext cx="2886075" cy="337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495300</xdr:colOff>
      <xdr:row>0</xdr:row>
      <xdr:rowOff>0</xdr:rowOff>
    </xdr:from>
    <xdr:to>
      <xdr:col>14</xdr:col>
      <xdr:colOff>381000</xdr:colOff>
      <xdr:row>21</xdr:row>
      <xdr:rowOff>133350</xdr:rowOff>
    </xdr:to>
    <xdr:pic>
      <xdr:nvPicPr>
        <xdr:cNvPr id="43156" name="Picture 17">
          <a:extLst>
            <a:ext uri="{FF2B5EF4-FFF2-40B4-BE49-F238E27FC236}">
              <a16:creationId xmlns:a16="http://schemas.microsoft.com/office/drawing/2014/main" id="{80BD1004-9BD3-427D-B9A2-A02BE015769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81700" y="0"/>
          <a:ext cx="2933700" cy="413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495300</xdr:colOff>
      <xdr:row>21</xdr:row>
      <xdr:rowOff>133350</xdr:rowOff>
    </xdr:from>
    <xdr:to>
      <xdr:col>14</xdr:col>
      <xdr:colOff>390525</xdr:colOff>
      <xdr:row>35</xdr:row>
      <xdr:rowOff>76200</xdr:rowOff>
    </xdr:to>
    <xdr:pic>
      <xdr:nvPicPr>
        <xdr:cNvPr id="43157" name="Picture 18">
          <a:extLst>
            <a:ext uri="{FF2B5EF4-FFF2-40B4-BE49-F238E27FC236}">
              <a16:creationId xmlns:a16="http://schemas.microsoft.com/office/drawing/2014/main" id="{2DC0AC3C-0AD7-4028-AC7A-E1C28151A64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981700" y="4133850"/>
          <a:ext cx="2943225" cy="260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457200</xdr:colOff>
      <xdr:row>0</xdr:row>
      <xdr:rowOff>0</xdr:rowOff>
    </xdr:from>
    <xdr:to>
      <xdr:col>19</xdr:col>
      <xdr:colOff>342900</xdr:colOff>
      <xdr:row>17</xdr:row>
      <xdr:rowOff>123825</xdr:rowOff>
    </xdr:to>
    <xdr:pic>
      <xdr:nvPicPr>
        <xdr:cNvPr id="43158" name="Picture 19">
          <a:extLst>
            <a:ext uri="{FF2B5EF4-FFF2-40B4-BE49-F238E27FC236}">
              <a16:creationId xmlns:a16="http://schemas.microsoft.com/office/drawing/2014/main" id="{0A73674D-B595-46BA-AF65-9364E712E9E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991600" y="0"/>
          <a:ext cx="2933700" cy="3362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466725</xdr:colOff>
      <xdr:row>17</xdr:row>
      <xdr:rowOff>104775</xdr:rowOff>
    </xdr:from>
    <xdr:to>
      <xdr:col>19</xdr:col>
      <xdr:colOff>333375</xdr:colOff>
      <xdr:row>30</xdr:row>
      <xdr:rowOff>47625</xdr:rowOff>
    </xdr:to>
    <xdr:pic>
      <xdr:nvPicPr>
        <xdr:cNvPr id="43159" name="Picture 20">
          <a:extLst>
            <a:ext uri="{FF2B5EF4-FFF2-40B4-BE49-F238E27FC236}">
              <a16:creationId xmlns:a16="http://schemas.microsoft.com/office/drawing/2014/main" id="{5947B6D6-13BA-44C8-A563-D4F56591DA6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001125" y="3343275"/>
          <a:ext cx="291465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0</xdr:row>
      <xdr:rowOff>0</xdr:rowOff>
    </xdr:from>
    <xdr:to>
      <xdr:col>24</xdr:col>
      <xdr:colOff>266700</xdr:colOff>
      <xdr:row>13</xdr:row>
      <xdr:rowOff>152400</xdr:rowOff>
    </xdr:to>
    <xdr:pic>
      <xdr:nvPicPr>
        <xdr:cNvPr id="43160" name="Picture 21">
          <a:extLst>
            <a:ext uri="{FF2B5EF4-FFF2-40B4-BE49-F238E27FC236}">
              <a16:creationId xmlns:a16="http://schemas.microsoft.com/office/drawing/2014/main" id="{200138D5-134F-4DE8-98C0-A7AA8BC83A2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2001500" y="0"/>
          <a:ext cx="2895600" cy="2628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409575</xdr:colOff>
      <xdr:row>13</xdr:row>
      <xdr:rowOff>142875</xdr:rowOff>
    </xdr:from>
    <xdr:to>
      <xdr:col>24</xdr:col>
      <xdr:colOff>276225</xdr:colOff>
      <xdr:row>20</xdr:row>
      <xdr:rowOff>104775</xdr:rowOff>
    </xdr:to>
    <xdr:pic>
      <xdr:nvPicPr>
        <xdr:cNvPr id="43161" name="Picture 22">
          <a:extLst>
            <a:ext uri="{FF2B5EF4-FFF2-40B4-BE49-F238E27FC236}">
              <a16:creationId xmlns:a16="http://schemas.microsoft.com/office/drawing/2014/main" id="{D5452E28-13DA-465C-998B-BC4F16C84524}"/>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1991975" y="2619375"/>
          <a:ext cx="291465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390525</xdr:colOff>
      <xdr:row>0</xdr:row>
      <xdr:rowOff>0</xdr:rowOff>
    </xdr:from>
    <xdr:to>
      <xdr:col>29</xdr:col>
      <xdr:colOff>200025</xdr:colOff>
      <xdr:row>10</xdr:row>
      <xdr:rowOff>47625</xdr:rowOff>
    </xdr:to>
    <xdr:pic>
      <xdr:nvPicPr>
        <xdr:cNvPr id="43162" name="Picture 23">
          <a:extLst>
            <a:ext uri="{FF2B5EF4-FFF2-40B4-BE49-F238E27FC236}">
              <a16:creationId xmlns:a16="http://schemas.microsoft.com/office/drawing/2014/main" id="{8B1CB4CE-3E9D-41F4-802A-54CA46D640D7}"/>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020925" y="0"/>
          <a:ext cx="285750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390525</xdr:colOff>
      <xdr:row>10</xdr:row>
      <xdr:rowOff>38100</xdr:rowOff>
    </xdr:from>
    <xdr:to>
      <xdr:col>29</xdr:col>
      <xdr:colOff>200025</xdr:colOff>
      <xdr:row>20</xdr:row>
      <xdr:rowOff>190500</xdr:rowOff>
    </xdr:to>
    <xdr:pic>
      <xdr:nvPicPr>
        <xdr:cNvPr id="43163" name="Picture 24">
          <a:extLst>
            <a:ext uri="{FF2B5EF4-FFF2-40B4-BE49-F238E27FC236}">
              <a16:creationId xmlns:a16="http://schemas.microsoft.com/office/drawing/2014/main" id="{AA2E7E9E-8BB3-4F9F-A353-3802C471D03A}"/>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5020925" y="1943100"/>
          <a:ext cx="285750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381000</xdr:colOff>
      <xdr:row>20</xdr:row>
      <xdr:rowOff>180975</xdr:rowOff>
    </xdr:from>
    <xdr:to>
      <xdr:col>29</xdr:col>
      <xdr:colOff>200025</xdr:colOff>
      <xdr:row>23</xdr:row>
      <xdr:rowOff>47625</xdr:rowOff>
    </xdr:to>
    <xdr:pic>
      <xdr:nvPicPr>
        <xdr:cNvPr id="43164" name="Picture 25">
          <a:extLst>
            <a:ext uri="{FF2B5EF4-FFF2-40B4-BE49-F238E27FC236}">
              <a16:creationId xmlns:a16="http://schemas.microsoft.com/office/drawing/2014/main" id="{63C7CBB9-224A-4B53-96C9-25837C4EE20A}"/>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5011400" y="3990975"/>
          <a:ext cx="2867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228600</xdr:colOff>
      <xdr:row>0</xdr:row>
      <xdr:rowOff>0</xdr:rowOff>
    </xdr:from>
    <xdr:to>
      <xdr:col>36</xdr:col>
      <xdr:colOff>104775</xdr:colOff>
      <xdr:row>24</xdr:row>
      <xdr:rowOff>114300</xdr:rowOff>
    </xdr:to>
    <xdr:pic>
      <xdr:nvPicPr>
        <xdr:cNvPr id="43165" name="Picture 26">
          <a:extLst>
            <a:ext uri="{FF2B5EF4-FFF2-40B4-BE49-F238E27FC236}">
              <a16:creationId xmlns:a16="http://schemas.microsoft.com/office/drawing/2014/main" id="{A5DF382B-8126-4798-B5A5-9043FC45BEC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7907000" y="0"/>
          <a:ext cx="4143375" cy="468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219075</xdr:colOff>
      <xdr:row>24</xdr:row>
      <xdr:rowOff>95250</xdr:rowOff>
    </xdr:from>
    <xdr:to>
      <xdr:col>36</xdr:col>
      <xdr:colOff>104775</xdr:colOff>
      <xdr:row>32</xdr:row>
      <xdr:rowOff>161925</xdr:rowOff>
    </xdr:to>
    <xdr:pic>
      <xdr:nvPicPr>
        <xdr:cNvPr id="43166" name="Picture 27">
          <a:extLst>
            <a:ext uri="{FF2B5EF4-FFF2-40B4-BE49-F238E27FC236}">
              <a16:creationId xmlns:a16="http://schemas.microsoft.com/office/drawing/2014/main" id="{55C77CBD-82B0-480D-AD9C-B800CB8FE04A}"/>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7897475" y="4667250"/>
          <a:ext cx="4152900"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219075</xdr:colOff>
      <xdr:row>32</xdr:row>
      <xdr:rowOff>123825</xdr:rowOff>
    </xdr:from>
    <xdr:to>
      <xdr:col>36</xdr:col>
      <xdr:colOff>114300</xdr:colOff>
      <xdr:row>55</xdr:row>
      <xdr:rowOff>171450</xdr:rowOff>
    </xdr:to>
    <xdr:pic>
      <xdr:nvPicPr>
        <xdr:cNvPr id="43167" name="Picture 28">
          <a:extLst>
            <a:ext uri="{FF2B5EF4-FFF2-40B4-BE49-F238E27FC236}">
              <a16:creationId xmlns:a16="http://schemas.microsoft.com/office/drawing/2014/main" id="{442B2260-184B-432F-9552-5D3D7368849A}"/>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897475" y="6219825"/>
          <a:ext cx="4162425" cy="442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219075</xdr:colOff>
      <xdr:row>55</xdr:row>
      <xdr:rowOff>152400</xdr:rowOff>
    </xdr:from>
    <xdr:to>
      <xdr:col>36</xdr:col>
      <xdr:colOff>123825</xdr:colOff>
      <xdr:row>68</xdr:row>
      <xdr:rowOff>57150</xdr:rowOff>
    </xdr:to>
    <xdr:pic>
      <xdr:nvPicPr>
        <xdr:cNvPr id="43168" name="Picture 29">
          <a:extLst>
            <a:ext uri="{FF2B5EF4-FFF2-40B4-BE49-F238E27FC236}">
              <a16:creationId xmlns:a16="http://schemas.microsoft.com/office/drawing/2014/main" id="{12C21A66-08ED-45B5-8179-2121323BB84D}"/>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897475" y="10629900"/>
          <a:ext cx="4171950"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152400</xdr:colOff>
      <xdr:row>15</xdr:row>
      <xdr:rowOff>114300</xdr:rowOff>
    </xdr:from>
    <xdr:to>
      <xdr:col>43</xdr:col>
      <xdr:colOff>0</xdr:colOff>
      <xdr:row>32</xdr:row>
      <xdr:rowOff>180975</xdr:rowOff>
    </xdr:to>
    <xdr:pic>
      <xdr:nvPicPr>
        <xdr:cNvPr id="43169" name="Picture 31">
          <a:extLst>
            <a:ext uri="{FF2B5EF4-FFF2-40B4-BE49-F238E27FC236}">
              <a16:creationId xmlns:a16="http://schemas.microsoft.com/office/drawing/2014/main" id="{C27C056E-436C-456B-89C1-9F4BCB690C4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2098000" y="2971800"/>
          <a:ext cx="4114800" cy="3305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161925</xdr:colOff>
      <xdr:row>0</xdr:row>
      <xdr:rowOff>0</xdr:rowOff>
    </xdr:from>
    <xdr:to>
      <xdr:col>43</xdr:col>
      <xdr:colOff>0</xdr:colOff>
      <xdr:row>15</xdr:row>
      <xdr:rowOff>123825</xdr:rowOff>
    </xdr:to>
    <xdr:pic>
      <xdr:nvPicPr>
        <xdr:cNvPr id="43170" name="Picture 32">
          <a:extLst>
            <a:ext uri="{FF2B5EF4-FFF2-40B4-BE49-F238E27FC236}">
              <a16:creationId xmlns:a16="http://schemas.microsoft.com/office/drawing/2014/main" id="{D3ADC4F1-FA50-40EB-9FCB-DF1536941BAF}"/>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2107525" y="0"/>
          <a:ext cx="4105275"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ungalag.FRC/AppData/Local/Microsoft/Windows/INetCache/Content.Outlook/UMSO0W8F/NBFIXXXXXXXq01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йлан бэлдэх зааварчилгаа"/>
      <sheetName val="Statistic"/>
      <sheetName val="Application"/>
      <sheetName val="iRate"/>
      <sheetName val="Wallet"/>
      <sheetName val="Gender"/>
      <sheetName val="Greenloan"/>
      <sheetName val="Greenloan_info"/>
      <sheetName val="BALANCE"/>
      <sheetName val="BALANCESHEET"/>
      <sheetName val="INCOME"/>
      <sheetName val="Capital"/>
      <sheetName val="Liquidity"/>
      <sheetName val="Forex"/>
      <sheetName val="Provision"/>
      <sheetName val="ALM"/>
      <sheetName val="Top40"/>
      <sheetName val="Insider"/>
      <sheetName val="Source"/>
      <sheetName val="Provide"/>
      <sheetName val="Ipotec"/>
      <sheetName val="Securities"/>
      <sheetName val="Bond"/>
      <sheetName val="Trust"/>
      <sheetName val="Off-balance"/>
      <sheetName val="Money transfer"/>
      <sheetName val="Ratio"/>
    </sheetNames>
    <sheetDataSet>
      <sheetData sheetId="0" refreshError="1"/>
      <sheetData sheetId="1">
        <row r="3">
          <cell r="A3" t="str">
            <v>БАНК БУС САНХҮҮГИЙН БАЙГУУЛЛАГЫН НЭР</v>
          </cell>
        </row>
        <row r="60">
          <cell r="B60" t="str">
            <v>ГҮЙЦЭТГЭХ ЗАХИРАЛ.................................................................//</v>
          </cell>
        </row>
        <row r="62">
          <cell r="B62" t="str">
            <v>ЕРӨНХИЙ НЯГТЛАН БОДОГЧ....................................................//</v>
          </cell>
        </row>
      </sheetData>
      <sheetData sheetId="2" refreshError="1"/>
      <sheetData sheetId="3" refreshError="1"/>
      <sheetData sheetId="4" refreshError="1"/>
      <sheetData sheetId="5" refreshError="1"/>
      <sheetData sheetId="6" refreshError="1"/>
      <sheetData sheetId="7" refreshError="1"/>
      <sheetData sheetId="8">
        <row r="4">
          <cell r="A4" t="str">
            <v>БАНК БУС САНХҮҮГИЙН БАЙГУУЛЛАГА</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frc.mn/resource/frc/Document/2020/02/20/uc4siobjqalyiea1/a3.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toc.mn/post/116"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toc.mn/post/116"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A42"/>
  <sheetViews>
    <sheetView tabSelected="1" workbookViewId="0">
      <selection activeCell="A2" sqref="A2"/>
    </sheetView>
  </sheetViews>
  <sheetFormatPr defaultRowHeight="12.75" x14ac:dyDescent="0.2"/>
  <cols>
    <col min="1" max="1" width="109.7109375" style="3" customWidth="1"/>
    <col min="2" max="16384" width="9.140625" style="3"/>
  </cols>
  <sheetData>
    <row r="1" spans="1:1" ht="51.75" thickBot="1" x14ac:dyDescent="0.25">
      <c r="A1" s="577" t="s">
        <v>1160</v>
      </c>
    </row>
    <row r="2" spans="1:1" ht="41.25" thickBot="1" x14ac:dyDescent="0.25">
      <c r="A2" s="594" t="s">
        <v>1153</v>
      </c>
    </row>
    <row r="3" spans="1:1" x14ac:dyDescent="0.2">
      <c r="A3" s="577"/>
    </row>
    <row r="4" spans="1:1" x14ac:dyDescent="0.2">
      <c r="A4" s="9" t="s">
        <v>1121</v>
      </c>
    </row>
    <row r="5" spans="1:1" x14ac:dyDescent="0.2">
      <c r="A5" s="3" t="s">
        <v>1112</v>
      </c>
    </row>
    <row r="6" spans="1:1" x14ac:dyDescent="0.2">
      <c r="A6" s="3" t="s">
        <v>1113</v>
      </c>
    </row>
    <row r="7" spans="1:1" x14ac:dyDescent="0.2">
      <c r="A7" s="3" t="s">
        <v>1111</v>
      </c>
    </row>
    <row r="8" spans="1:1" x14ac:dyDescent="0.2">
      <c r="A8" s="3" t="s">
        <v>1110</v>
      </c>
    </row>
    <row r="9" spans="1:1" x14ac:dyDescent="0.2">
      <c r="A9" s="3" t="s">
        <v>1162</v>
      </c>
    </row>
    <row r="10" spans="1:1" x14ac:dyDescent="0.2">
      <c r="A10" s="3" t="s">
        <v>1150</v>
      </c>
    </row>
    <row r="11" spans="1:1" x14ac:dyDescent="0.2">
      <c r="A11" s="3" t="s">
        <v>1151</v>
      </c>
    </row>
    <row r="12" spans="1:1" x14ac:dyDescent="0.2">
      <c r="A12" s="3" t="s">
        <v>1152</v>
      </c>
    </row>
    <row r="13" spans="1:1" x14ac:dyDescent="0.2">
      <c r="A13" s="586" t="s">
        <v>1154</v>
      </c>
    </row>
    <row r="14" spans="1:1" x14ac:dyDescent="0.2">
      <c r="A14" s="605" t="s">
        <v>1179</v>
      </c>
    </row>
    <row r="15" spans="1:1" x14ac:dyDescent="0.2">
      <c r="A15" s="578" t="s">
        <v>1149</v>
      </c>
    </row>
    <row r="16" spans="1:1" x14ac:dyDescent="0.2">
      <c r="A16" s="577" t="s">
        <v>1126</v>
      </c>
    </row>
    <row r="17" spans="1:1" x14ac:dyDescent="0.2">
      <c r="A17" s="577" t="s">
        <v>1127</v>
      </c>
    </row>
    <row r="18" spans="1:1" x14ac:dyDescent="0.2">
      <c r="A18" s="577" t="s">
        <v>1128</v>
      </c>
    </row>
    <row r="19" spans="1:1" x14ac:dyDescent="0.2">
      <c r="A19" s="577" t="s">
        <v>1129</v>
      </c>
    </row>
    <row r="20" spans="1:1" x14ac:dyDescent="0.2">
      <c r="A20" s="577" t="s">
        <v>1143</v>
      </c>
    </row>
    <row r="21" spans="1:1" x14ac:dyDescent="0.2">
      <c r="A21" s="579" t="s">
        <v>1130</v>
      </c>
    </row>
    <row r="22" spans="1:1" x14ac:dyDescent="0.2">
      <c r="A22" s="580" t="s">
        <v>1131</v>
      </c>
    </row>
    <row r="23" spans="1:1" x14ac:dyDescent="0.2">
      <c r="A23" s="579" t="s">
        <v>1132</v>
      </c>
    </row>
    <row r="24" spans="1:1" x14ac:dyDescent="0.2">
      <c r="A24" s="580" t="s">
        <v>1133</v>
      </c>
    </row>
    <row r="25" spans="1:1" x14ac:dyDescent="0.2">
      <c r="A25" s="581" t="s">
        <v>1134</v>
      </c>
    </row>
    <row r="26" spans="1:1" ht="25.5" x14ac:dyDescent="0.2">
      <c r="A26" s="577" t="s">
        <v>1135</v>
      </c>
    </row>
    <row r="27" spans="1:1" ht="25.5" x14ac:dyDescent="0.2">
      <c r="A27" s="577" t="s">
        <v>1136</v>
      </c>
    </row>
    <row r="28" spans="1:1" x14ac:dyDescent="0.2">
      <c r="A28" s="577" t="s">
        <v>1137</v>
      </c>
    </row>
    <row r="29" spans="1:1" x14ac:dyDescent="0.2">
      <c r="A29" s="577" t="s">
        <v>1138</v>
      </c>
    </row>
    <row r="30" spans="1:1" x14ac:dyDescent="0.2">
      <c r="A30" s="577"/>
    </row>
    <row r="31" spans="1:1" x14ac:dyDescent="0.2">
      <c r="A31" s="581" t="s">
        <v>1139</v>
      </c>
    </row>
    <row r="32" spans="1:1" x14ac:dyDescent="0.2">
      <c r="A32" s="577" t="s">
        <v>1128</v>
      </c>
    </row>
    <row r="33" spans="1:1" x14ac:dyDescent="0.2">
      <c r="A33" s="577"/>
    </row>
    <row r="34" spans="1:1" x14ac:dyDescent="0.2">
      <c r="A34" s="581" t="s">
        <v>1140</v>
      </c>
    </row>
    <row r="35" spans="1:1" x14ac:dyDescent="0.2">
      <c r="A35" s="579" t="s">
        <v>1144</v>
      </c>
    </row>
    <row r="36" spans="1:1" x14ac:dyDescent="0.2">
      <c r="A36" s="580"/>
    </row>
    <row r="37" spans="1:1" x14ac:dyDescent="0.2">
      <c r="A37" s="581" t="s">
        <v>1141</v>
      </c>
    </row>
    <row r="38" spans="1:1" x14ac:dyDescent="0.2">
      <c r="A38" s="577" t="s">
        <v>1145</v>
      </c>
    </row>
    <row r="39" spans="1:1" x14ac:dyDescent="0.2">
      <c r="A39" s="580"/>
    </row>
    <row r="40" spans="1:1" x14ac:dyDescent="0.2">
      <c r="A40" s="579" t="s">
        <v>1142</v>
      </c>
    </row>
    <row r="41" spans="1:1" x14ac:dyDescent="0.2">
      <c r="A41" s="599" t="s">
        <v>1161</v>
      </c>
    </row>
    <row r="42" spans="1:1" x14ac:dyDescent="0.2">
      <c r="A42" s="580"/>
    </row>
  </sheetData>
  <sheetProtection password="CA9F" sheet="1"/>
  <hyperlinks>
    <hyperlink ref="A13" r:id="rId1" display="7. ББСБ-ын НББ-ийг хөтлөх үлгрэчилсэн заавар" xr:uid="{00000000-0004-0000-0000-000000000000}"/>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pageSetUpPr fitToPage="1"/>
  </sheetPr>
  <dimension ref="A2:H127"/>
  <sheetViews>
    <sheetView workbookViewId="0"/>
  </sheetViews>
  <sheetFormatPr defaultRowHeight="12.75" x14ac:dyDescent="0.2"/>
  <cols>
    <col min="1" max="1" width="4.28515625" style="3" customWidth="1"/>
    <col min="2" max="2" width="73.42578125" style="3" bestFit="1" customWidth="1"/>
    <col min="3" max="3" width="17.7109375" style="57" customWidth="1"/>
    <col min="4" max="4" width="12.42578125" style="58" customWidth="1"/>
    <col min="5" max="5" width="4.85546875" style="3" customWidth="1"/>
    <col min="6" max="6" width="71.85546875" style="3" bestFit="1" customWidth="1"/>
    <col min="7" max="7" width="17.7109375" style="57" customWidth="1"/>
    <col min="8" max="8" width="14.85546875" style="58" customWidth="1"/>
    <col min="9" max="16384" width="9.140625" style="3"/>
  </cols>
  <sheetData>
    <row r="2" spans="1:8" x14ac:dyDescent="0.2">
      <c r="A2" s="652" t="s">
        <v>438</v>
      </c>
      <c r="B2" s="652"/>
      <c r="C2" s="652"/>
      <c r="D2" s="652"/>
      <c r="E2" s="652"/>
      <c r="F2" s="652"/>
      <c r="G2" s="652"/>
      <c r="H2" s="652"/>
    </row>
    <row r="3" spans="1:8" x14ac:dyDescent="0.2">
      <c r="A3" s="670" t="str">
        <f>+BALANCE!A3</f>
        <v>БАНК БУС САНХҮҮГИЙН БАЙГУУЛЛАГЫН НЭР</v>
      </c>
      <c r="B3" s="670"/>
      <c r="C3" s="670"/>
      <c r="D3" s="670"/>
      <c r="E3" s="670"/>
      <c r="F3" s="670"/>
      <c r="G3" s="670"/>
      <c r="H3" s="670"/>
    </row>
    <row r="4" spans="1:8" x14ac:dyDescent="0.2">
      <c r="A4" s="652" t="str">
        <f>+BALANCE!A4</f>
        <v>БАНК БУС САНХҮҮГИЙН БАЙГУУЛЛАГА</v>
      </c>
      <c r="B4" s="652"/>
      <c r="C4" s="652"/>
      <c r="D4" s="652"/>
      <c r="E4" s="652"/>
      <c r="F4" s="652"/>
      <c r="G4" s="652"/>
      <c r="H4" s="652"/>
    </row>
    <row r="5" spans="1:8" x14ac:dyDescent="0.2">
      <c r="A5" s="1"/>
      <c r="B5" s="1"/>
      <c r="C5" s="1"/>
      <c r="D5" s="1"/>
      <c r="E5" s="1"/>
      <c r="F5" s="1"/>
      <c r="G5" s="1"/>
      <c r="H5" s="1"/>
    </row>
    <row r="6" spans="1:8" ht="15.75" customHeight="1" x14ac:dyDescent="0.2">
      <c r="A6" s="731">
        <f>+BALANCE!A6</f>
        <v>44834</v>
      </c>
      <c r="B6" s="731"/>
      <c r="G6" s="732" t="s">
        <v>439</v>
      </c>
      <c r="H6" s="732"/>
    </row>
    <row r="7" spans="1:8" ht="17.25" customHeight="1" x14ac:dyDescent="0.2">
      <c r="A7" s="729" t="s">
        <v>440</v>
      </c>
      <c r="B7" s="729"/>
      <c r="C7" s="730">
        <f>+BALANCE!D7</f>
        <v>0</v>
      </c>
      <c r="D7" s="724" t="s">
        <v>441</v>
      </c>
      <c r="E7" s="729" t="s">
        <v>442</v>
      </c>
      <c r="F7" s="729"/>
      <c r="G7" s="730">
        <f>+BALANCE!H7</f>
        <v>0</v>
      </c>
      <c r="H7" s="724" t="s">
        <v>441</v>
      </c>
    </row>
    <row r="8" spans="1:8" x14ac:dyDescent="0.2">
      <c r="A8" s="729"/>
      <c r="B8" s="729"/>
      <c r="C8" s="730"/>
      <c r="D8" s="724"/>
      <c r="E8" s="729"/>
      <c r="F8" s="729"/>
      <c r="G8" s="730"/>
      <c r="H8" s="724"/>
    </row>
    <row r="9" spans="1:8" x14ac:dyDescent="0.2">
      <c r="A9" s="725" t="s">
        <v>443</v>
      </c>
      <c r="B9" s="725"/>
      <c r="C9" s="200">
        <f>+C10+C16+C31+C48+C65+C82+C86+C111</f>
        <v>0</v>
      </c>
      <c r="D9" s="201" t="e">
        <f>+C9/C116</f>
        <v>#DIV/0!</v>
      </c>
      <c r="E9" s="726" t="s">
        <v>444</v>
      </c>
      <c r="F9" s="726"/>
      <c r="G9" s="200">
        <f>+SUM(G10,G14,G33,G39,G42,G69)</f>
        <v>0</v>
      </c>
      <c r="H9" s="201" t="e">
        <f>+G9/G116</f>
        <v>#DIV/0!</v>
      </c>
    </row>
    <row r="10" spans="1:8" x14ac:dyDescent="0.2">
      <c r="A10" s="198">
        <v>1.1000000000000001</v>
      </c>
      <c r="B10" s="202" t="s">
        <v>51</v>
      </c>
      <c r="C10" s="200">
        <f>+SUM(C11:C15)</f>
        <v>0</v>
      </c>
      <c r="D10" s="201" t="e">
        <f>+C10/C116</f>
        <v>#DIV/0!</v>
      </c>
      <c r="E10" s="203">
        <v>1.1000000000000001</v>
      </c>
      <c r="F10" s="204" t="s">
        <v>52</v>
      </c>
      <c r="G10" s="200">
        <f>+G11</f>
        <v>0</v>
      </c>
      <c r="H10" s="201" t="e">
        <f>+G10/G116</f>
        <v>#DIV/0!</v>
      </c>
    </row>
    <row r="11" spans="1:8" x14ac:dyDescent="0.2">
      <c r="A11" s="198"/>
      <c r="B11" s="198" t="str">
        <f>+BALANCE!B11</f>
        <v>Бэлэн мөнгө</v>
      </c>
      <c r="C11" s="205">
        <f>+BALANCE!D11/1000</f>
        <v>0</v>
      </c>
      <c r="D11" s="206" t="e">
        <f>+C11/C116</f>
        <v>#DIV/0!</v>
      </c>
      <c r="E11" s="203"/>
      <c r="F11" s="207" t="s">
        <v>54</v>
      </c>
      <c r="G11" s="208">
        <f>+SUM(G12:G13)</f>
        <v>0</v>
      </c>
      <c r="H11" s="209" t="e">
        <f>+G11/G116</f>
        <v>#DIV/0!</v>
      </c>
    </row>
    <row r="12" spans="1:8" x14ac:dyDescent="0.2">
      <c r="A12" s="198"/>
      <c r="B12" s="198" t="s">
        <v>445</v>
      </c>
      <c r="C12" s="205">
        <f>+SUM(BALANCE!D19,BALANCE!D20,BALANCE!D29)/1000</f>
        <v>0</v>
      </c>
      <c r="D12" s="206" t="e">
        <f>+C12/C116</f>
        <v>#DIV/0!</v>
      </c>
      <c r="E12" s="203"/>
      <c r="F12" s="203" t="s">
        <v>446</v>
      </c>
      <c r="G12" s="205">
        <f>+BALANCE!H12/1000</f>
        <v>0</v>
      </c>
      <c r="H12" s="206" t="e">
        <f>+G12/G116</f>
        <v>#DIV/0!</v>
      </c>
    </row>
    <row r="13" spans="1:8" x14ac:dyDescent="0.2">
      <c r="A13" s="198"/>
      <c r="B13" s="198" t="s">
        <v>447</v>
      </c>
      <c r="C13" s="205">
        <f>+SUM(BALANCE!D24,BALANCE!D25,BALANCE!D32)/1000</f>
        <v>0</v>
      </c>
      <c r="D13" s="206" t="e">
        <f>+C13/C116</f>
        <v>#DIV/0!</v>
      </c>
      <c r="E13" s="203"/>
      <c r="F13" s="203" t="s">
        <v>448</v>
      </c>
      <c r="G13" s="205">
        <f>+BALANCE!H13/1000</f>
        <v>0</v>
      </c>
      <c r="H13" s="206" t="e">
        <f>+G13/G116</f>
        <v>#DIV/0!</v>
      </c>
    </row>
    <row r="14" spans="1:8" x14ac:dyDescent="0.2">
      <c r="A14" s="198"/>
      <c r="B14" s="198" t="s">
        <v>449</v>
      </c>
      <c r="C14" s="205">
        <f>+SUM(BALANCE!D21,BALANCE!D22,BALANCE!D30)/1000</f>
        <v>0</v>
      </c>
      <c r="D14" s="206" t="e">
        <f>+C14/C116</f>
        <v>#DIV/0!</v>
      </c>
      <c r="E14" s="203">
        <v>1.2</v>
      </c>
      <c r="F14" s="204" t="s">
        <v>450</v>
      </c>
      <c r="G14" s="200">
        <f>+SUM(G15,G24)</f>
        <v>0</v>
      </c>
      <c r="H14" s="201" t="e">
        <f>+G14/G116</f>
        <v>#DIV/0!</v>
      </c>
    </row>
    <row r="15" spans="1:8" x14ac:dyDescent="0.2">
      <c r="A15" s="198"/>
      <c r="B15" s="198" t="s">
        <v>451</v>
      </c>
      <c r="C15" s="205">
        <f>+SUM(BALANCE!D26,BALANCE!D27,BALANCE!D33)/1000</f>
        <v>0</v>
      </c>
      <c r="D15" s="206" t="e">
        <f>+C15/C116</f>
        <v>#DIV/0!</v>
      </c>
      <c r="E15" s="203"/>
      <c r="F15" s="207" t="s">
        <v>452</v>
      </c>
      <c r="G15" s="210">
        <f>+SUM(G16,G19,G20,G23)</f>
        <v>0</v>
      </c>
      <c r="H15" s="211" t="e">
        <f>+G15/G116</f>
        <v>#DIV/0!</v>
      </c>
    </row>
    <row r="16" spans="1:8" x14ac:dyDescent="0.2">
      <c r="A16" s="198">
        <v>1.2</v>
      </c>
      <c r="B16" s="202" t="s">
        <v>453</v>
      </c>
      <c r="C16" s="200">
        <f>+SUM(C17,C23,C29,-C30)</f>
        <v>0</v>
      </c>
      <c r="D16" s="201" t="e">
        <f>+C16/C116</f>
        <v>#DIV/0!</v>
      </c>
      <c r="E16" s="212"/>
      <c r="F16" s="203" t="s">
        <v>454</v>
      </c>
      <c r="G16" s="205">
        <f>+SUM(G17:G18)</f>
        <v>0</v>
      </c>
      <c r="H16" s="206" t="e">
        <f>+G16/G116</f>
        <v>#DIV/0!</v>
      </c>
    </row>
    <row r="17" spans="1:8" x14ac:dyDescent="0.2">
      <c r="A17" s="198"/>
      <c r="B17" s="213" t="s">
        <v>95</v>
      </c>
      <c r="C17" s="210">
        <f>+SUM(C18:C22)</f>
        <v>0</v>
      </c>
      <c r="D17" s="211" t="e">
        <f>+C17/C116</f>
        <v>#DIV/0!</v>
      </c>
      <c r="E17" s="203"/>
      <c r="F17" s="203" t="s">
        <v>455</v>
      </c>
      <c r="G17" s="205">
        <f>+SUM(BALANCE!H18,BALANCE!H25)/1000</f>
        <v>0</v>
      </c>
      <c r="H17" s="206" t="e">
        <f>+G17/G116</f>
        <v>#DIV/0!</v>
      </c>
    </row>
    <row r="18" spans="1:8" x14ac:dyDescent="0.2">
      <c r="A18" s="212"/>
      <c r="B18" s="203" t="s">
        <v>456</v>
      </c>
      <c r="C18" s="205">
        <f>+BALANCE!D36/1000</f>
        <v>0</v>
      </c>
      <c r="D18" s="206" t="e">
        <f>+C18/C116</f>
        <v>#DIV/0!</v>
      </c>
      <c r="E18" s="203"/>
      <c r="F18" s="203" t="s">
        <v>457</v>
      </c>
      <c r="G18" s="205">
        <f>SUM(BALANCE!H21+BALANCE!H28)/1000</f>
        <v>0</v>
      </c>
      <c r="H18" s="206" t="e">
        <f>+G18/G116</f>
        <v>#DIV/0!</v>
      </c>
    </row>
    <row r="19" spans="1:8" x14ac:dyDescent="0.2">
      <c r="A19" s="212"/>
      <c r="B19" s="203" t="s">
        <v>458</v>
      </c>
      <c r="C19" s="205">
        <f>+BALANCE!D37/1000</f>
        <v>0</v>
      </c>
      <c r="D19" s="206" t="e">
        <f>+C19/C116</f>
        <v>#DIV/0!</v>
      </c>
      <c r="E19" s="203"/>
      <c r="F19" s="203" t="s">
        <v>466</v>
      </c>
      <c r="G19" s="205">
        <f>SUM(BALANCE!H47+BALANCE!H50)/1000</f>
        <v>0</v>
      </c>
      <c r="H19" s="206" t="e">
        <f>+G19/G116</f>
        <v>#DIV/0!</v>
      </c>
    </row>
    <row r="20" spans="1:8" x14ac:dyDescent="0.2">
      <c r="A20" s="212"/>
      <c r="B20" s="203" t="s">
        <v>459</v>
      </c>
      <c r="C20" s="205">
        <f>+BALANCE!D38/1000</f>
        <v>0</v>
      </c>
      <c r="D20" s="206" t="e">
        <f>+C20/C116</f>
        <v>#DIV/0!</v>
      </c>
      <c r="E20" s="203"/>
      <c r="F20" s="203" t="s">
        <v>460</v>
      </c>
      <c r="G20" s="205">
        <f>+SUM(G21:G22)</f>
        <v>0</v>
      </c>
      <c r="H20" s="206" t="e">
        <f>+G20/G116</f>
        <v>#DIV/0!</v>
      </c>
    </row>
    <row r="21" spans="1:8" x14ac:dyDescent="0.2">
      <c r="A21" s="212"/>
      <c r="B21" s="203" t="s">
        <v>461</v>
      </c>
      <c r="C21" s="205">
        <f>+BALANCE!D39/1000</f>
        <v>0</v>
      </c>
      <c r="D21" s="206" t="e">
        <f>+C21/C116</f>
        <v>#DIV/0!</v>
      </c>
      <c r="E21" s="203"/>
      <c r="F21" s="203" t="s">
        <v>455</v>
      </c>
      <c r="G21" s="205">
        <f>SUM(BALANCE!H32+BALANCE!H39)/1000</f>
        <v>0</v>
      </c>
      <c r="H21" s="206" t="e">
        <f>+G21/G116</f>
        <v>#DIV/0!</v>
      </c>
    </row>
    <row r="22" spans="1:8" x14ac:dyDescent="0.2">
      <c r="A22" s="212"/>
      <c r="B22" s="203" t="s">
        <v>462</v>
      </c>
      <c r="C22" s="205">
        <f>+BALANCE!D40/1000</f>
        <v>0</v>
      </c>
      <c r="D22" s="206" t="e">
        <f>+C22/C116</f>
        <v>#DIV/0!</v>
      </c>
      <c r="E22" s="203"/>
      <c r="F22" s="203" t="s">
        <v>457</v>
      </c>
      <c r="G22" s="205">
        <f>SUM(BALANCE!H35+BALANCE!H42)/1000</f>
        <v>0</v>
      </c>
      <c r="H22" s="206" t="e">
        <f>+G22/G116</f>
        <v>#DIV/0!</v>
      </c>
    </row>
    <row r="23" spans="1:8" x14ac:dyDescent="0.2">
      <c r="A23" s="212"/>
      <c r="B23" s="207" t="s">
        <v>103</v>
      </c>
      <c r="C23" s="210">
        <f>+SUM(C24:C28)</f>
        <v>0</v>
      </c>
      <c r="D23" s="211" t="e">
        <f>+C23/C116</f>
        <v>#DIV/0!</v>
      </c>
      <c r="E23" s="203"/>
      <c r="F23" s="203" t="s">
        <v>463</v>
      </c>
      <c r="G23" s="205">
        <f>SUM(BALANCE!H54+BALANCE!H57)/1000</f>
        <v>0</v>
      </c>
      <c r="H23" s="206" t="e">
        <f>+G23/G116</f>
        <v>#DIV/0!</v>
      </c>
    </row>
    <row r="24" spans="1:8" x14ac:dyDescent="0.2">
      <c r="A24" s="212"/>
      <c r="B24" s="203" t="s">
        <v>456</v>
      </c>
      <c r="C24" s="205">
        <f>+BALANCE!D42/1000</f>
        <v>0</v>
      </c>
      <c r="D24" s="206" t="e">
        <f>+C24/C116</f>
        <v>#DIV/0!</v>
      </c>
      <c r="E24" s="203"/>
      <c r="F24" s="207" t="s">
        <v>464</v>
      </c>
      <c r="G24" s="210">
        <f>+SUM(G25,G28,G29,G32)</f>
        <v>0</v>
      </c>
      <c r="H24" s="211" t="e">
        <f>+G24/G116</f>
        <v>#DIV/0!</v>
      </c>
    </row>
    <row r="25" spans="1:8" x14ac:dyDescent="0.2">
      <c r="A25" s="212"/>
      <c r="B25" s="203" t="s">
        <v>465</v>
      </c>
      <c r="C25" s="205">
        <f>+BALANCE!D43/1000</f>
        <v>0</v>
      </c>
      <c r="D25" s="206" t="e">
        <f>+C25/C116</f>
        <v>#DIV/0!</v>
      </c>
      <c r="E25" s="212"/>
      <c r="F25" s="203" t="s">
        <v>454</v>
      </c>
      <c r="G25" s="205">
        <f>+SUM(G26:G27)</f>
        <v>0</v>
      </c>
      <c r="H25" s="206" t="e">
        <f>+G25/G116</f>
        <v>#DIV/0!</v>
      </c>
    </row>
    <row r="26" spans="1:8" x14ac:dyDescent="0.2">
      <c r="A26" s="212"/>
      <c r="B26" s="203" t="s">
        <v>459</v>
      </c>
      <c r="C26" s="205">
        <f>+BALANCE!D44/1000</f>
        <v>0</v>
      </c>
      <c r="D26" s="206" t="e">
        <f>+C26/C116</f>
        <v>#DIV/0!</v>
      </c>
      <c r="E26" s="203"/>
      <c r="F26" s="203" t="s">
        <v>455</v>
      </c>
      <c r="G26" s="205">
        <f>SUM(BALANCE!H19+BALANCE!H26)/1000</f>
        <v>0</v>
      </c>
      <c r="H26" s="206" t="e">
        <f>+G26/G116</f>
        <v>#DIV/0!</v>
      </c>
    </row>
    <row r="27" spans="1:8" x14ac:dyDescent="0.2">
      <c r="A27" s="212"/>
      <c r="B27" s="203" t="s">
        <v>461</v>
      </c>
      <c r="C27" s="205">
        <f>+BALANCE!D45/1000</f>
        <v>0</v>
      </c>
      <c r="D27" s="206" t="e">
        <f>+C27/C116</f>
        <v>#DIV/0!</v>
      </c>
      <c r="E27" s="203"/>
      <c r="F27" s="203" t="s">
        <v>457</v>
      </c>
      <c r="G27" s="205">
        <f>SUM(BALANCE!H22+BALANCE!H29)/1000</f>
        <v>0</v>
      </c>
      <c r="H27" s="206" t="e">
        <f>+G27/G116</f>
        <v>#DIV/0!</v>
      </c>
    </row>
    <row r="28" spans="1:8" x14ac:dyDescent="0.2">
      <c r="A28" s="212"/>
      <c r="B28" s="203" t="s">
        <v>462</v>
      </c>
      <c r="C28" s="205">
        <f>+BALANCE!D46/1000</f>
        <v>0</v>
      </c>
      <c r="D28" s="206" t="e">
        <f>+C28/C116</f>
        <v>#DIV/0!</v>
      </c>
      <c r="E28" s="203"/>
      <c r="F28" s="203" t="s">
        <v>466</v>
      </c>
      <c r="G28" s="205">
        <f>SUM(BALANCE!H48+BALANCE!H51)/1000</f>
        <v>0</v>
      </c>
      <c r="H28" s="206" t="e">
        <f>+G28/G116</f>
        <v>#DIV/0!</v>
      </c>
    </row>
    <row r="29" spans="1:8" x14ac:dyDescent="0.2">
      <c r="A29" s="212"/>
      <c r="B29" s="214" t="s">
        <v>107</v>
      </c>
      <c r="C29" s="208">
        <f>+BALANCE!D47/1000</f>
        <v>0</v>
      </c>
      <c r="D29" s="209" t="e">
        <f>+C29/C116</f>
        <v>#DIV/0!</v>
      </c>
      <c r="E29" s="212"/>
      <c r="F29" s="203" t="s">
        <v>460</v>
      </c>
      <c r="G29" s="205">
        <f>+SUM(G30:G31)</f>
        <v>0</v>
      </c>
      <c r="H29" s="206" t="e">
        <f>+G29/G116</f>
        <v>#DIV/0!</v>
      </c>
    </row>
    <row r="30" spans="1:8" x14ac:dyDescent="0.2">
      <c r="A30" s="212"/>
      <c r="B30" s="215" t="s">
        <v>467</v>
      </c>
      <c r="C30" s="205">
        <f>+BALANCE!D50/1000</f>
        <v>0</v>
      </c>
      <c r="D30" s="206" t="e">
        <f>+C30/C116</f>
        <v>#DIV/0!</v>
      </c>
      <c r="E30" s="203"/>
      <c r="F30" s="203" t="s">
        <v>455</v>
      </c>
      <c r="G30" s="205">
        <f>SUM(BALANCE!H33+BALANCE!H40)/1000</f>
        <v>0</v>
      </c>
      <c r="H30" s="206" t="e">
        <f>+G30/G116</f>
        <v>#DIV/0!</v>
      </c>
    </row>
    <row r="31" spans="1:8" x14ac:dyDescent="0.2">
      <c r="A31" s="203">
        <v>1.3</v>
      </c>
      <c r="B31" s="204" t="s">
        <v>113</v>
      </c>
      <c r="C31" s="200">
        <f>+C32-C47</f>
        <v>0</v>
      </c>
      <c r="D31" s="216" t="e">
        <f>+C31/C116</f>
        <v>#DIV/0!</v>
      </c>
      <c r="E31" s="203"/>
      <c r="F31" s="203" t="s">
        <v>457</v>
      </c>
      <c r="G31" s="205">
        <f>SUM(BALANCE!H36+BALANCE!H43)/1000</f>
        <v>0</v>
      </c>
      <c r="H31" s="206" t="e">
        <f>+G31/G116</f>
        <v>#DIV/0!</v>
      </c>
    </row>
    <row r="32" spans="1:8" x14ac:dyDescent="0.2">
      <c r="A32" s="198"/>
      <c r="B32" s="207" t="s">
        <v>468</v>
      </c>
      <c r="C32" s="210">
        <f>SUM(C33,C40)</f>
        <v>0</v>
      </c>
      <c r="D32" s="211" t="e">
        <f>+C32/C116</f>
        <v>#DIV/0!</v>
      </c>
      <c r="E32" s="212"/>
      <c r="F32" s="203" t="s">
        <v>463</v>
      </c>
      <c r="G32" s="205">
        <f>SUM(BALANCE!H55+BALANCE!H58)/1000</f>
        <v>0</v>
      </c>
      <c r="H32" s="206" t="e">
        <f>+G32/G116</f>
        <v>#DIV/0!</v>
      </c>
    </row>
    <row r="33" spans="1:8" x14ac:dyDescent="0.2">
      <c r="A33" s="203"/>
      <c r="B33" s="207" t="s">
        <v>469</v>
      </c>
      <c r="C33" s="210">
        <f>+SUM(C34:C36)</f>
        <v>0</v>
      </c>
      <c r="D33" s="211" t="e">
        <f>+C33/C116</f>
        <v>#DIV/0!</v>
      </c>
      <c r="E33" s="203">
        <v>1.3</v>
      </c>
      <c r="F33" s="204" t="s">
        <v>127</v>
      </c>
      <c r="G33" s="200">
        <f>+SUM(G34:G38)</f>
        <v>0</v>
      </c>
      <c r="H33" s="201" t="e">
        <f>+G33/G116</f>
        <v>#DIV/0!</v>
      </c>
    </row>
    <row r="34" spans="1:8" x14ac:dyDescent="0.2">
      <c r="A34" s="203"/>
      <c r="B34" s="203" t="s">
        <v>470</v>
      </c>
      <c r="C34" s="205">
        <f>+BALANCE!D53/1000</f>
        <v>0</v>
      </c>
      <c r="D34" s="206" t="e">
        <f>+C34/C116</f>
        <v>#DIV/0!</v>
      </c>
      <c r="E34" s="212"/>
      <c r="F34" s="203" t="s">
        <v>129</v>
      </c>
      <c r="G34" s="205">
        <f>+BALANCE!H60/1000</f>
        <v>0</v>
      </c>
      <c r="H34" s="206" t="e">
        <f>+G34/G116</f>
        <v>#DIV/0!</v>
      </c>
    </row>
    <row r="35" spans="1:8" x14ac:dyDescent="0.2">
      <c r="A35" s="203"/>
      <c r="B35" s="203" t="s">
        <v>1164</v>
      </c>
      <c r="C35" s="205">
        <f>+BALANCE!D69/1000</f>
        <v>0</v>
      </c>
      <c r="D35" s="206" t="e">
        <f>+C35/C116</f>
        <v>#DIV/0!</v>
      </c>
      <c r="E35" s="212"/>
      <c r="F35" s="203" t="s">
        <v>133</v>
      </c>
      <c r="G35" s="205">
        <f>+BALANCE!H63/1000</f>
        <v>0</v>
      </c>
      <c r="H35" s="206" t="e">
        <f>+G35/G116</f>
        <v>#DIV/0!</v>
      </c>
    </row>
    <row r="36" spans="1:8" x14ac:dyDescent="0.2">
      <c r="A36" s="203"/>
      <c r="B36" s="214" t="s">
        <v>471</v>
      </c>
      <c r="C36" s="208">
        <f>+SUM(C37:C39)</f>
        <v>0</v>
      </c>
      <c r="D36" s="209" t="e">
        <f>+C36/C116</f>
        <v>#DIV/0!</v>
      </c>
      <c r="E36" s="212"/>
      <c r="F36" s="203" t="s">
        <v>472</v>
      </c>
      <c r="G36" s="205">
        <f>+BALANCE!H66/1000</f>
        <v>0</v>
      </c>
      <c r="H36" s="206" t="e">
        <f>+G36/G116</f>
        <v>#DIV/0!</v>
      </c>
    </row>
    <row r="37" spans="1:8" x14ac:dyDescent="0.2">
      <c r="A37" s="203"/>
      <c r="B37" s="203" t="s">
        <v>473</v>
      </c>
      <c r="C37" s="205">
        <f>+BALANCE!D86/1000</f>
        <v>0</v>
      </c>
      <c r="D37" s="206" t="e">
        <f>+C37/C116</f>
        <v>#DIV/0!</v>
      </c>
      <c r="E37" s="212"/>
      <c r="F37" s="203" t="s">
        <v>139</v>
      </c>
      <c r="G37" s="205">
        <f>+BALANCE!H69/1000</f>
        <v>0</v>
      </c>
      <c r="H37" s="206" t="e">
        <f>+G37/G116</f>
        <v>#DIV/0!</v>
      </c>
    </row>
    <row r="38" spans="1:8" x14ac:dyDescent="0.2">
      <c r="A38" s="203"/>
      <c r="B38" s="203" t="s">
        <v>474</v>
      </c>
      <c r="C38" s="205">
        <f>+BALANCE!D102/1000</f>
        <v>0</v>
      </c>
      <c r="D38" s="206" t="e">
        <f>+C38/C116</f>
        <v>#DIV/0!</v>
      </c>
      <c r="E38" s="212"/>
      <c r="F38" s="203" t="s">
        <v>475</v>
      </c>
      <c r="G38" s="205">
        <f>+BALANCE!H72/1000</f>
        <v>0</v>
      </c>
      <c r="H38" s="206" t="e">
        <f>+G38/G116</f>
        <v>#DIV/0!</v>
      </c>
    </row>
    <row r="39" spans="1:8" x14ac:dyDescent="0.2">
      <c r="A39" s="203"/>
      <c r="B39" s="203" t="s">
        <v>476</v>
      </c>
      <c r="C39" s="205">
        <f>+BALANCE!D118/1000</f>
        <v>0</v>
      </c>
      <c r="D39" s="206" t="e">
        <f>+C39/C116</f>
        <v>#DIV/0!</v>
      </c>
      <c r="E39" s="203">
        <v>1.4</v>
      </c>
      <c r="F39" s="204" t="s">
        <v>145</v>
      </c>
      <c r="G39" s="200">
        <f>+SUM(G40:G41)</f>
        <v>0</v>
      </c>
      <c r="H39" s="201" t="e">
        <f>+G39/G116</f>
        <v>#DIV/0!</v>
      </c>
    </row>
    <row r="40" spans="1:8" x14ac:dyDescent="0.2">
      <c r="A40" s="203"/>
      <c r="B40" s="207" t="s">
        <v>477</v>
      </c>
      <c r="C40" s="210">
        <f>+SUM(C41:C43)</f>
        <v>0</v>
      </c>
      <c r="D40" s="211" t="e">
        <f>+C40/C116</f>
        <v>#DIV/0!</v>
      </c>
      <c r="E40" s="203"/>
      <c r="F40" s="203" t="s">
        <v>478</v>
      </c>
      <c r="G40" s="205">
        <f>+BALANCE!H76/1000</f>
        <v>0</v>
      </c>
      <c r="H40" s="206" t="e">
        <f>+G40/G116</f>
        <v>#DIV/0!</v>
      </c>
    </row>
    <row r="41" spans="1:8" x14ac:dyDescent="0.2">
      <c r="A41" s="203"/>
      <c r="B41" s="203" t="s">
        <v>470</v>
      </c>
      <c r="C41" s="205">
        <f>+BALANCE!D61/1000</f>
        <v>0</v>
      </c>
      <c r="D41" s="206" t="e">
        <f>+C41/C116</f>
        <v>#DIV/0!</v>
      </c>
      <c r="E41" s="203"/>
      <c r="F41" s="203" t="s">
        <v>479</v>
      </c>
      <c r="G41" s="205">
        <f>+BALANCE!H77/1000</f>
        <v>0</v>
      </c>
      <c r="H41" s="206" t="e">
        <f>+G41/G116</f>
        <v>#DIV/0!</v>
      </c>
    </row>
    <row r="42" spans="1:8" x14ac:dyDescent="0.2">
      <c r="A42" s="203"/>
      <c r="B42" s="203" t="s">
        <v>1164</v>
      </c>
      <c r="C42" s="205">
        <f>+BALANCE!D77/1000</f>
        <v>0</v>
      </c>
      <c r="D42" s="206" t="e">
        <f>+C42/C116</f>
        <v>#DIV/0!</v>
      </c>
      <c r="E42" s="203">
        <v>1.5</v>
      </c>
      <c r="F42" s="204" t="s">
        <v>148</v>
      </c>
      <c r="G42" s="200">
        <f>+SUM(G43,G56)</f>
        <v>0</v>
      </c>
      <c r="H42" s="201" t="e">
        <f>+G42/G116</f>
        <v>#DIV/0!</v>
      </c>
    </row>
    <row r="43" spans="1:8" x14ac:dyDescent="0.2">
      <c r="A43" s="203"/>
      <c r="B43" s="214" t="s">
        <v>471</v>
      </c>
      <c r="C43" s="208">
        <f>+SUM(C44:C46)</f>
        <v>0</v>
      </c>
      <c r="D43" s="209" t="e">
        <f>+C43/C116</f>
        <v>#DIV/0!</v>
      </c>
      <c r="E43" s="212"/>
      <c r="F43" s="207" t="s">
        <v>480</v>
      </c>
      <c r="G43" s="210">
        <f>+SUM(G44,G47,G50,G53)</f>
        <v>0</v>
      </c>
      <c r="H43" s="211" t="e">
        <f>+G43/G116</f>
        <v>#DIV/0!</v>
      </c>
    </row>
    <row r="44" spans="1:8" x14ac:dyDescent="0.2">
      <c r="A44" s="203"/>
      <c r="B44" s="203" t="s">
        <v>481</v>
      </c>
      <c r="C44" s="205">
        <f>+BALANCE!D94/1000</f>
        <v>0</v>
      </c>
      <c r="D44" s="206" t="e">
        <f>+C44/C116</f>
        <v>#DIV/0!</v>
      </c>
      <c r="E44" s="212"/>
      <c r="F44" s="203" t="s">
        <v>482</v>
      </c>
      <c r="G44" s="205">
        <f>+G45+G46</f>
        <v>0</v>
      </c>
      <c r="H44" s="206" t="e">
        <f>+G44/G116</f>
        <v>#DIV/0!</v>
      </c>
    </row>
    <row r="45" spans="1:8" x14ac:dyDescent="0.2">
      <c r="A45" s="203"/>
      <c r="B45" s="203" t="s">
        <v>483</v>
      </c>
      <c r="C45" s="205">
        <f>+BALANCE!D110/1000</f>
        <v>0</v>
      </c>
      <c r="D45" s="206" t="e">
        <f>+C45/C116</f>
        <v>#DIV/0!</v>
      </c>
      <c r="E45" s="203"/>
      <c r="F45" s="203" t="s">
        <v>484</v>
      </c>
      <c r="G45" s="205">
        <f>+BALANCE!H81/1000</f>
        <v>0</v>
      </c>
      <c r="H45" s="206" t="e">
        <f>+G45/G116</f>
        <v>#DIV/0!</v>
      </c>
    </row>
    <row r="46" spans="1:8" x14ac:dyDescent="0.2">
      <c r="A46" s="203"/>
      <c r="B46" s="203" t="s">
        <v>476</v>
      </c>
      <c r="C46" s="205">
        <f>+BALANCE!D126/1000</f>
        <v>0</v>
      </c>
      <c r="D46" s="206" t="e">
        <f>+C46/C116</f>
        <v>#DIV/0!</v>
      </c>
      <c r="E46" s="203"/>
      <c r="F46" s="203" t="s">
        <v>485</v>
      </c>
      <c r="G46" s="205">
        <f>+BALANCE!H82/1000</f>
        <v>0</v>
      </c>
      <c r="H46" s="206" t="e">
        <f>+G46/G116</f>
        <v>#DIV/0!</v>
      </c>
    </row>
    <row r="47" spans="1:8" x14ac:dyDescent="0.2">
      <c r="A47" s="203"/>
      <c r="B47" s="217" t="s">
        <v>486</v>
      </c>
      <c r="C47" s="205">
        <f>+BALANCE!D134/1000</f>
        <v>0</v>
      </c>
      <c r="D47" s="206" t="e">
        <f>+C47/C116</f>
        <v>#DIV/0!</v>
      </c>
      <c r="E47" s="212"/>
      <c r="F47" s="203" t="s">
        <v>487</v>
      </c>
      <c r="G47" s="205">
        <f>+G48+G49</f>
        <v>0</v>
      </c>
      <c r="H47" s="206" t="e">
        <f>+G47/G116</f>
        <v>#DIV/0!</v>
      </c>
    </row>
    <row r="48" spans="1:8" x14ac:dyDescent="0.2">
      <c r="A48" s="203">
        <v>1.4</v>
      </c>
      <c r="B48" s="204" t="s">
        <v>199</v>
      </c>
      <c r="C48" s="218">
        <f>+C49-C64</f>
        <v>0</v>
      </c>
      <c r="D48" s="219" t="e">
        <f>+C48/C116</f>
        <v>#DIV/0!</v>
      </c>
      <c r="E48" s="203"/>
      <c r="F48" s="203" t="s">
        <v>484</v>
      </c>
      <c r="G48" s="205">
        <f>+BALANCE!H84/1000</f>
        <v>0</v>
      </c>
      <c r="H48" s="206" t="e">
        <f>+G48/G116</f>
        <v>#DIV/0!</v>
      </c>
    </row>
    <row r="49" spans="1:8" x14ac:dyDescent="0.2">
      <c r="A49" s="203"/>
      <c r="B49" s="207" t="s">
        <v>488</v>
      </c>
      <c r="C49" s="210">
        <f>+SUM(C50,C57)</f>
        <v>0</v>
      </c>
      <c r="D49" s="211" t="e">
        <f>+C49/C116</f>
        <v>#DIV/0!</v>
      </c>
      <c r="E49" s="203"/>
      <c r="F49" s="203" t="s">
        <v>485</v>
      </c>
      <c r="G49" s="205">
        <f>+BALANCE!H85/1000</f>
        <v>0</v>
      </c>
      <c r="H49" s="206" t="e">
        <f>+G49/G116</f>
        <v>#DIV/0!</v>
      </c>
    </row>
    <row r="50" spans="1:8" x14ac:dyDescent="0.2">
      <c r="A50" s="203"/>
      <c r="B50" s="207" t="s">
        <v>489</v>
      </c>
      <c r="C50" s="210">
        <f>+SUM(C51:C53)</f>
        <v>0</v>
      </c>
      <c r="D50" s="211" t="e">
        <f>+C50/C116</f>
        <v>#DIV/0!</v>
      </c>
      <c r="E50" s="212"/>
      <c r="F50" s="203" t="s">
        <v>490</v>
      </c>
      <c r="G50" s="205">
        <f>+SUM(G51:G52)</f>
        <v>0</v>
      </c>
      <c r="H50" s="206" t="e">
        <f>+G50/G116</f>
        <v>#DIV/0!</v>
      </c>
    </row>
    <row r="51" spans="1:8" x14ac:dyDescent="0.2">
      <c r="A51" s="203"/>
      <c r="B51" s="203" t="s">
        <v>470</v>
      </c>
      <c r="C51" s="205">
        <f>+BALANCE!D138/1000</f>
        <v>0</v>
      </c>
      <c r="D51" s="206" t="e">
        <f>+C51/C116</f>
        <v>#DIV/0!</v>
      </c>
      <c r="E51" s="203"/>
      <c r="F51" s="203" t="s">
        <v>484</v>
      </c>
      <c r="G51" s="205">
        <f>+BALANCE!H87/1000</f>
        <v>0</v>
      </c>
      <c r="H51" s="206" t="e">
        <f>+G51/G116</f>
        <v>#DIV/0!</v>
      </c>
    </row>
    <row r="52" spans="1:8" x14ac:dyDescent="0.2">
      <c r="A52" s="203"/>
      <c r="B52" s="203" t="s">
        <v>1164</v>
      </c>
      <c r="C52" s="205">
        <f>+BALANCE!D141/1000</f>
        <v>0</v>
      </c>
      <c r="D52" s="206" t="e">
        <f>+C52/C116</f>
        <v>#DIV/0!</v>
      </c>
      <c r="E52" s="203"/>
      <c r="F52" s="203" t="s">
        <v>485</v>
      </c>
      <c r="G52" s="205">
        <f>+BALANCE!H88/1000</f>
        <v>0</v>
      </c>
      <c r="H52" s="206" t="e">
        <f>+G52/G116</f>
        <v>#DIV/0!</v>
      </c>
    </row>
    <row r="53" spans="1:8" x14ac:dyDescent="0.2">
      <c r="A53" s="203"/>
      <c r="B53" s="214" t="s">
        <v>471</v>
      </c>
      <c r="C53" s="208">
        <f>+SUM(C54:C56)</f>
        <v>0</v>
      </c>
      <c r="D53" s="209" t="e">
        <f>+C53/C116</f>
        <v>#DIV/0!</v>
      </c>
      <c r="E53" s="212"/>
      <c r="F53" s="203" t="s">
        <v>128</v>
      </c>
      <c r="G53" s="205">
        <f>+SUM(G54:G55)</f>
        <v>0</v>
      </c>
      <c r="H53" s="206" t="e">
        <f>+G53/G116</f>
        <v>#DIV/0!</v>
      </c>
    </row>
    <row r="54" spans="1:8" x14ac:dyDescent="0.2">
      <c r="A54" s="203"/>
      <c r="B54" s="203" t="s">
        <v>473</v>
      </c>
      <c r="C54" s="205">
        <f>+BALANCE!D145/1000</f>
        <v>0</v>
      </c>
      <c r="D54" s="206" t="e">
        <f>+C54/C116</f>
        <v>#DIV/0!</v>
      </c>
      <c r="E54" s="203"/>
      <c r="F54" s="203" t="s">
        <v>484</v>
      </c>
      <c r="G54" s="205">
        <f>+BALANCE!H90/1000</f>
        <v>0</v>
      </c>
      <c r="H54" s="206" t="e">
        <f>+G54/G116</f>
        <v>#DIV/0!</v>
      </c>
    </row>
    <row r="55" spans="1:8" x14ac:dyDescent="0.2">
      <c r="A55" s="203"/>
      <c r="B55" s="203" t="s">
        <v>474</v>
      </c>
      <c r="C55" s="205">
        <f>+BALANCE!D148/1000</f>
        <v>0</v>
      </c>
      <c r="D55" s="206" t="e">
        <f>+C55/C116</f>
        <v>#DIV/0!</v>
      </c>
      <c r="E55" s="203"/>
      <c r="F55" s="203" t="s">
        <v>485</v>
      </c>
      <c r="G55" s="205">
        <f>+BALANCE!H91/1000</f>
        <v>0</v>
      </c>
      <c r="H55" s="206" t="e">
        <f>+G55/G116</f>
        <v>#DIV/0!</v>
      </c>
    </row>
    <row r="56" spans="1:8" x14ac:dyDescent="0.2">
      <c r="A56" s="203"/>
      <c r="B56" s="203" t="s">
        <v>476</v>
      </c>
      <c r="C56" s="205">
        <f>+BALANCE!D151/1000</f>
        <v>0</v>
      </c>
      <c r="D56" s="206" t="e">
        <f>+C56/C116</f>
        <v>#DIV/0!</v>
      </c>
      <c r="E56" s="212"/>
      <c r="F56" s="207" t="s">
        <v>491</v>
      </c>
      <c r="G56" s="210">
        <f>+SUM(G57,G60,G63,G66)</f>
        <v>0</v>
      </c>
      <c r="H56" s="211" t="e">
        <f>+G56/G116</f>
        <v>#DIV/0!</v>
      </c>
    </row>
    <row r="57" spans="1:8" x14ac:dyDescent="0.2">
      <c r="A57" s="203"/>
      <c r="B57" s="207" t="s">
        <v>492</v>
      </c>
      <c r="C57" s="210">
        <f>+SUM(C58:C60)</f>
        <v>0</v>
      </c>
      <c r="D57" s="211" t="e">
        <f>+C57/C116</f>
        <v>#DIV/0!</v>
      </c>
      <c r="E57" s="212"/>
      <c r="F57" s="203" t="s">
        <v>482</v>
      </c>
      <c r="G57" s="205">
        <f>+SUM(G58:G59)</f>
        <v>0</v>
      </c>
      <c r="H57" s="206" t="e">
        <f>+G57/G116</f>
        <v>#DIV/0!</v>
      </c>
    </row>
    <row r="58" spans="1:8" x14ac:dyDescent="0.2">
      <c r="A58" s="203"/>
      <c r="B58" s="203" t="s">
        <v>470</v>
      </c>
      <c r="C58" s="205">
        <f>+BALANCE!D139/1000</f>
        <v>0</v>
      </c>
      <c r="D58" s="206" t="e">
        <f>+C58/C116</f>
        <v>#DIV/0!</v>
      </c>
      <c r="E58" s="203"/>
      <c r="F58" s="203" t="s">
        <v>484</v>
      </c>
      <c r="G58" s="205">
        <f>+BALANCE!H94/1000</f>
        <v>0</v>
      </c>
      <c r="H58" s="206" t="e">
        <f>+G58/G116</f>
        <v>#DIV/0!</v>
      </c>
    </row>
    <row r="59" spans="1:8" x14ac:dyDescent="0.2">
      <c r="A59" s="203"/>
      <c r="B59" s="203" t="s">
        <v>1164</v>
      </c>
      <c r="C59" s="205">
        <f>+BALANCE!D142/1000</f>
        <v>0</v>
      </c>
      <c r="D59" s="206" t="e">
        <f>+C59/C116</f>
        <v>#DIV/0!</v>
      </c>
      <c r="E59" s="203"/>
      <c r="F59" s="203" t="s">
        <v>485</v>
      </c>
      <c r="G59" s="205">
        <f>+BALANCE!H95/1000</f>
        <v>0</v>
      </c>
      <c r="H59" s="206" t="e">
        <f>+G59/G116</f>
        <v>#DIV/0!</v>
      </c>
    </row>
    <row r="60" spans="1:8" x14ac:dyDescent="0.2">
      <c r="A60" s="203"/>
      <c r="B60" s="214" t="s">
        <v>471</v>
      </c>
      <c r="C60" s="208">
        <f>+SUM(C61:C63)</f>
        <v>0</v>
      </c>
      <c r="D60" s="209" t="e">
        <f>+C60/C116</f>
        <v>#DIV/0!</v>
      </c>
      <c r="E60" s="203"/>
      <c r="F60" s="203" t="s">
        <v>487</v>
      </c>
      <c r="G60" s="205">
        <f>+SUM(G61:G62)</f>
        <v>0</v>
      </c>
      <c r="H60" s="206" t="e">
        <f>+G60/G116</f>
        <v>#DIV/0!</v>
      </c>
    </row>
    <row r="61" spans="1:8" x14ac:dyDescent="0.2">
      <c r="A61" s="203"/>
      <c r="B61" s="203" t="s">
        <v>473</v>
      </c>
      <c r="C61" s="205">
        <f>+BALANCE!D146/1000</f>
        <v>0</v>
      </c>
      <c r="D61" s="206" t="e">
        <f>+C61/C116</f>
        <v>#DIV/0!</v>
      </c>
      <c r="E61" s="203"/>
      <c r="F61" s="203" t="s">
        <v>484</v>
      </c>
      <c r="G61" s="205">
        <f>+BALANCE!H97/1000</f>
        <v>0</v>
      </c>
      <c r="H61" s="206" t="e">
        <f>+G61/G116</f>
        <v>#DIV/0!</v>
      </c>
    </row>
    <row r="62" spans="1:8" x14ac:dyDescent="0.2">
      <c r="A62" s="203"/>
      <c r="B62" s="203" t="s">
        <v>474</v>
      </c>
      <c r="C62" s="205">
        <f>+BALANCE!D149/1000</f>
        <v>0</v>
      </c>
      <c r="D62" s="206" t="e">
        <f>+C62/C116</f>
        <v>#DIV/0!</v>
      </c>
      <c r="E62" s="203"/>
      <c r="F62" s="203" t="s">
        <v>485</v>
      </c>
      <c r="G62" s="205">
        <f>+BALANCE!H98/1000</f>
        <v>0</v>
      </c>
      <c r="H62" s="206" t="e">
        <f>+G62/G116</f>
        <v>#DIV/0!</v>
      </c>
    </row>
    <row r="63" spans="1:8" x14ac:dyDescent="0.2">
      <c r="A63" s="203"/>
      <c r="B63" s="203" t="s">
        <v>476</v>
      </c>
      <c r="C63" s="205">
        <f>+BALANCE!D152/1000</f>
        <v>0</v>
      </c>
      <c r="D63" s="206" t="e">
        <f>+C63/C116</f>
        <v>#DIV/0!</v>
      </c>
      <c r="E63" s="203"/>
      <c r="F63" s="203" t="s">
        <v>490</v>
      </c>
      <c r="G63" s="205">
        <f>+SUM(G64:G65)</f>
        <v>0</v>
      </c>
      <c r="H63" s="206" t="e">
        <f>+G63/G116</f>
        <v>#DIV/0!</v>
      </c>
    </row>
    <row r="64" spans="1:8" x14ac:dyDescent="0.2">
      <c r="A64" s="203"/>
      <c r="B64" s="220" t="s">
        <v>493</v>
      </c>
      <c r="C64" s="205">
        <f>+BALANCE!D153/1000</f>
        <v>0</v>
      </c>
      <c r="D64" s="206" t="e">
        <f>+C64/C116</f>
        <v>#DIV/0!</v>
      </c>
      <c r="E64" s="203"/>
      <c r="F64" s="203" t="s">
        <v>484</v>
      </c>
      <c r="G64" s="205">
        <f>+BALANCE!H100/1000</f>
        <v>0</v>
      </c>
      <c r="H64" s="206" t="e">
        <f>+G64/G116</f>
        <v>#DIV/0!</v>
      </c>
    </row>
    <row r="65" spans="1:8" x14ac:dyDescent="0.2">
      <c r="A65" s="203">
        <v>1.5</v>
      </c>
      <c r="B65" s="204" t="s">
        <v>494</v>
      </c>
      <c r="C65" s="218">
        <f>+C66-C81</f>
        <v>0</v>
      </c>
      <c r="D65" s="219" t="e">
        <f>+C65/C116</f>
        <v>#DIV/0!</v>
      </c>
      <c r="E65" s="203"/>
      <c r="F65" s="203" t="s">
        <v>485</v>
      </c>
      <c r="G65" s="205">
        <f>+BALANCE!H101/1000</f>
        <v>0</v>
      </c>
      <c r="H65" s="206" t="e">
        <f>+G65/G116</f>
        <v>#DIV/0!</v>
      </c>
    </row>
    <row r="66" spans="1:8" x14ac:dyDescent="0.2">
      <c r="A66" s="203"/>
      <c r="B66" s="207" t="s">
        <v>495</v>
      </c>
      <c r="C66" s="210">
        <f>+SUM(C67,C74)</f>
        <v>0</v>
      </c>
      <c r="D66" s="211" t="e">
        <f>+C66/C116</f>
        <v>#DIV/0!</v>
      </c>
      <c r="E66" s="203"/>
      <c r="F66" s="203" t="s">
        <v>128</v>
      </c>
      <c r="G66" s="205">
        <f>+SUM(G67:G68)</f>
        <v>0</v>
      </c>
      <c r="H66" s="206" t="e">
        <f>+G66/G116</f>
        <v>#DIV/0!</v>
      </c>
    </row>
    <row r="67" spans="1:8" x14ac:dyDescent="0.2">
      <c r="A67" s="203"/>
      <c r="B67" s="207" t="s">
        <v>496</v>
      </c>
      <c r="C67" s="210">
        <f>+SUM(C68:C70)</f>
        <v>0</v>
      </c>
      <c r="D67" s="211" t="e">
        <f>+C67/C116</f>
        <v>#DIV/0!</v>
      </c>
      <c r="E67" s="203"/>
      <c r="F67" s="203" t="s">
        <v>484</v>
      </c>
      <c r="G67" s="205">
        <f>+BALANCE!H103/1000</f>
        <v>0</v>
      </c>
      <c r="H67" s="206" t="e">
        <f>+G67/G116</f>
        <v>#DIV/0!</v>
      </c>
    </row>
    <row r="68" spans="1:8" x14ac:dyDescent="0.2">
      <c r="A68" s="203"/>
      <c r="B68" s="203" t="s">
        <v>470</v>
      </c>
      <c r="C68" s="205">
        <f>+BALANCE!D157/1000</f>
        <v>0</v>
      </c>
      <c r="D68" s="206" t="e">
        <f>+C68/C116</f>
        <v>#DIV/0!</v>
      </c>
      <c r="E68" s="203"/>
      <c r="F68" s="203" t="s">
        <v>485</v>
      </c>
      <c r="G68" s="205">
        <f>+BALANCE!H104/1000</f>
        <v>0</v>
      </c>
      <c r="H68" s="206" t="e">
        <f>+G68/G116</f>
        <v>#DIV/0!</v>
      </c>
    </row>
    <row r="69" spans="1:8" x14ac:dyDescent="0.2">
      <c r="A69" s="203"/>
      <c r="B69" s="203" t="s">
        <v>1164</v>
      </c>
      <c r="C69" s="205">
        <f>+BALANCE!D160/1000</f>
        <v>0</v>
      </c>
      <c r="D69" s="206" t="e">
        <f>+C69/C116</f>
        <v>#DIV/0!</v>
      </c>
      <c r="E69" s="203">
        <v>1.6</v>
      </c>
      <c r="F69" s="204" t="s">
        <v>168</v>
      </c>
      <c r="G69" s="200">
        <f>+SUM(G70,G80,G81)</f>
        <v>0</v>
      </c>
      <c r="H69" s="201" t="e">
        <f>+G69/G116</f>
        <v>#DIV/0!</v>
      </c>
    </row>
    <row r="70" spans="1:8" x14ac:dyDescent="0.2">
      <c r="A70" s="203"/>
      <c r="B70" s="214" t="s">
        <v>497</v>
      </c>
      <c r="C70" s="208">
        <f>+SUM(C71:C73)</f>
        <v>0</v>
      </c>
      <c r="D70" s="209" t="e">
        <f>+C70/C116</f>
        <v>#DIV/0!</v>
      </c>
      <c r="E70" s="198"/>
      <c r="F70" s="207" t="s">
        <v>169</v>
      </c>
      <c r="G70" s="210">
        <f>+SUM(G71,G74,G77)</f>
        <v>0</v>
      </c>
      <c r="H70" s="211" t="e">
        <f>+G70/G116</f>
        <v>#DIV/0!</v>
      </c>
    </row>
    <row r="71" spans="1:8" x14ac:dyDescent="0.2">
      <c r="A71" s="203"/>
      <c r="B71" s="203" t="s">
        <v>473</v>
      </c>
      <c r="C71" s="205">
        <f>+BALANCE!D164/1000</f>
        <v>0</v>
      </c>
      <c r="D71" s="206" t="e">
        <f>+C71/C116</f>
        <v>#DIV/0!</v>
      </c>
      <c r="E71" s="203"/>
      <c r="F71" s="207" t="s">
        <v>498</v>
      </c>
      <c r="G71" s="210">
        <f>+SUM(G72:G73)</f>
        <v>0</v>
      </c>
      <c r="H71" s="211" t="e">
        <f>+G71/G116</f>
        <v>#DIV/0!</v>
      </c>
    </row>
    <row r="72" spans="1:8" ht="15" x14ac:dyDescent="0.2">
      <c r="A72" s="203"/>
      <c r="B72" s="203" t="s">
        <v>474</v>
      </c>
      <c r="C72" s="205">
        <f>+BALANCE!D167/1000</f>
        <v>0</v>
      </c>
      <c r="D72" s="206" t="e">
        <f>+C72/C116</f>
        <v>#DIV/0!</v>
      </c>
      <c r="E72" s="221"/>
      <c r="F72" s="203" t="s">
        <v>484</v>
      </c>
      <c r="G72" s="205">
        <f>+BALANCE!H107/1000</f>
        <v>0</v>
      </c>
      <c r="H72" s="206" t="e">
        <f>+G72/G116</f>
        <v>#DIV/0!</v>
      </c>
    </row>
    <row r="73" spans="1:8" ht="15" x14ac:dyDescent="0.2">
      <c r="A73" s="203"/>
      <c r="B73" s="203" t="s">
        <v>476</v>
      </c>
      <c r="C73" s="205">
        <f>+BALANCE!D170/1000</f>
        <v>0</v>
      </c>
      <c r="D73" s="206" t="e">
        <f>+C73/C116</f>
        <v>#DIV/0!</v>
      </c>
      <c r="E73" s="221"/>
      <c r="F73" s="203" t="s">
        <v>485</v>
      </c>
      <c r="G73" s="205">
        <f>+BALANCE!H108/1000</f>
        <v>0</v>
      </c>
      <c r="H73" s="206" t="e">
        <f>+G73/G116</f>
        <v>#DIV/0!</v>
      </c>
    </row>
    <row r="74" spans="1:8" x14ac:dyDescent="0.2">
      <c r="A74" s="203"/>
      <c r="B74" s="207" t="s">
        <v>499</v>
      </c>
      <c r="C74" s="210">
        <f>+SUM(C75:C77)</f>
        <v>0</v>
      </c>
      <c r="D74" s="211" t="e">
        <f>+C74/C116</f>
        <v>#DIV/0!</v>
      </c>
      <c r="E74" s="203"/>
      <c r="F74" s="207" t="s">
        <v>193</v>
      </c>
      <c r="G74" s="210">
        <f>+SUM(G75:G76)</f>
        <v>0</v>
      </c>
      <c r="H74" s="211" t="e">
        <f>+G74/G116</f>
        <v>#DIV/0!</v>
      </c>
    </row>
    <row r="75" spans="1:8" ht="15" x14ac:dyDescent="0.2">
      <c r="A75" s="203"/>
      <c r="B75" s="203" t="s">
        <v>470</v>
      </c>
      <c r="C75" s="205">
        <f>+BALANCE!D158/1000</f>
        <v>0</v>
      </c>
      <c r="D75" s="206" t="e">
        <f>+C75/C116</f>
        <v>#DIV/0!</v>
      </c>
      <c r="E75" s="221"/>
      <c r="F75" s="203" t="s">
        <v>484</v>
      </c>
      <c r="G75" s="205">
        <f>+BALANCE!H109/1000</f>
        <v>0</v>
      </c>
      <c r="H75" s="206" t="e">
        <f>+G75/G116</f>
        <v>#DIV/0!</v>
      </c>
    </row>
    <row r="76" spans="1:8" ht="15" x14ac:dyDescent="0.2">
      <c r="A76" s="203"/>
      <c r="B76" s="203" t="s">
        <v>1164</v>
      </c>
      <c r="C76" s="205">
        <f>+BALANCE!D161/1000</f>
        <v>0</v>
      </c>
      <c r="D76" s="206" t="e">
        <f>+C76/C116</f>
        <v>#DIV/0!</v>
      </c>
      <c r="E76" s="221"/>
      <c r="F76" s="203" t="s">
        <v>485</v>
      </c>
      <c r="G76" s="205">
        <f>+BALANCE!H110/1000</f>
        <v>0</v>
      </c>
      <c r="H76" s="206" t="e">
        <f>+G76/G116</f>
        <v>#DIV/0!</v>
      </c>
    </row>
    <row r="77" spans="1:8" x14ac:dyDescent="0.2">
      <c r="A77" s="203"/>
      <c r="B77" s="214" t="s">
        <v>471</v>
      </c>
      <c r="C77" s="208">
        <f>+SUM(C78:C80)</f>
        <v>0</v>
      </c>
      <c r="D77" s="209" t="e">
        <f>+C77/C116</f>
        <v>#DIV/0!</v>
      </c>
      <c r="E77" s="203"/>
      <c r="F77" s="207" t="s">
        <v>128</v>
      </c>
      <c r="G77" s="210">
        <f>+SUM(G78:G79)</f>
        <v>0</v>
      </c>
      <c r="H77" s="211" t="e">
        <f>+G77/G116</f>
        <v>#DIV/0!</v>
      </c>
    </row>
    <row r="78" spans="1:8" ht="15" x14ac:dyDescent="0.2">
      <c r="A78" s="203"/>
      <c r="B78" s="203" t="s">
        <v>473</v>
      </c>
      <c r="C78" s="205">
        <f>+BALANCE!D165/1000</f>
        <v>0</v>
      </c>
      <c r="D78" s="206" t="e">
        <f>+C78/C116</f>
        <v>#DIV/0!</v>
      </c>
      <c r="E78" s="221"/>
      <c r="F78" s="203" t="s">
        <v>484</v>
      </c>
      <c r="G78" s="205">
        <f>+BALANCE!H111/1000</f>
        <v>0</v>
      </c>
      <c r="H78" s="206" t="e">
        <f>+G78/G116</f>
        <v>#DIV/0!</v>
      </c>
    </row>
    <row r="79" spans="1:8" ht="15" x14ac:dyDescent="0.2">
      <c r="A79" s="203"/>
      <c r="B79" s="203" t="s">
        <v>474</v>
      </c>
      <c r="C79" s="205">
        <f>+BALANCE!D168/1000</f>
        <v>0</v>
      </c>
      <c r="D79" s="206" t="e">
        <f>+C79/C116</f>
        <v>#DIV/0!</v>
      </c>
      <c r="E79" s="221"/>
      <c r="F79" s="203" t="s">
        <v>485</v>
      </c>
      <c r="G79" s="205">
        <f>+BALANCE!H112/1000</f>
        <v>0</v>
      </c>
      <c r="H79" s="206" t="e">
        <f>+G79/G116</f>
        <v>#DIV/0!</v>
      </c>
    </row>
    <row r="80" spans="1:8" x14ac:dyDescent="0.2">
      <c r="A80" s="203"/>
      <c r="B80" s="203" t="s">
        <v>476</v>
      </c>
      <c r="C80" s="205">
        <f>+BALANCE!D171/1000</f>
        <v>0</v>
      </c>
      <c r="D80" s="206" t="e">
        <f>+C80/C116</f>
        <v>#DIV/0!</v>
      </c>
      <c r="E80" s="203"/>
      <c r="F80" s="207" t="s">
        <v>177</v>
      </c>
      <c r="G80" s="210">
        <f>+BALANCE!H113/1000</f>
        <v>0</v>
      </c>
      <c r="H80" s="211" t="e">
        <f>+G80/G116</f>
        <v>#DIV/0!</v>
      </c>
    </row>
    <row r="81" spans="1:8" x14ac:dyDescent="0.2">
      <c r="A81" s="203"/>
      <c r="B81" s="217" t="s">
        <v>500</v>
      </c>
      <c r="C81" s="205">
        <f>+BALANCE!D172/1000</f>
        <v>0</v>
      </c>
      <c r="D81" s="206" t="e">
        <f>+C81/C116</f>
        <v>#DIV/0!</v>
      </c>
      <c r="E81" s="203"/>
      <c r="F81" s="207" t="s">
        <v>501</v>
      </c>
      <c r="G81" s="210">
        <f>+BALANCE!H121/1000</f>
        <v>0</v>
      </c>
      <c r="H81" s="211" t="e">
        <f>+G81/G116</f>
        <v>#DIV/0!</v>
      </c>
    </row>
    <row r="82" spans="1:8" ht="13.5" customHeight="1" x14ac:dyDescent="0.2">
      <c r="A82" s="203">
        <v>1.6</v>
      </c>
      <c r="B82" s="204" t="s">
        <v>502</v>
      </c>
      <c r="C82" s="218">
        <f>+C83-C84+C85</f>
        <v>0</v>
      </c>
      <c r="D82" s="219" t="e">
        <f>+C82/C116</f>
        <v>#DIV/0!</v>
      </c>
      <c r="E82" s="726" t="s">
        <v>503</v>
      </c>
      <c r="F82" s="726"/>
      <c r="G82" s="200">
        <f>+SUM(G83,G87,G91,G94,G97)</f>
        <v>0</v>
      </c>
      <c r="H82" s="201" t="e">
        <f>+G82/G116</f>
        <v>#DIV/0!</v>
      </c>
    </row>
    <row r="83" spans="1:8" x14ac:dyDescent="0.2">
      <c r="A83" s="203"/>
      <c r="B83" s="207" t="s">
        <v>504</v>
      </c>
      <c r="C83" s="210">
        <f>+SUM(BALANCE!D176,BALANCE!D177,BALANCE!D178)/1000</f>
        <v>0</v>
      </c>
      <c r="D83" s="211" t="e">
        <f>+C83/C116</f>
        <v>#DIV/0!</v>
      </c>
      <c r="E83" s="203">
        <v>2.1</v>
      </c>
      <c r="F83" s="204" t="s">
        <v>195</v>
      </c>
      <c r="G83" s="200">
        <f>G84+G85-G86</f>
        <v>0</v>
      </c>
      <c r="H83" s="201" t="e">
        <f>+G83/G116</f>
        <v>#DIV/0!</v>
      </c>
    </row>
    <row r="84" spans="1:8" x14ac:dyDescent="0.2">
      <c r="A84" s="203"/>
      <c r="B84" s="217" t="s">
        <v>505</v>
      </c>
      <c r="C84" s="205">
        <f>+BALANCE!D184/1000</f>
        <v>0</v>
      </c>
      <c r="D84" s="206" t="e">
        <f>+C84/C116</f>
        <v>#DIV/0!</v>
      </c>
      <c r="E84" s="203"/>
      <c r="F84" s="203" t="s">
        <v>197</v>
      </c>
      <c r="G84" s="205">
        <f>+BALANCE!H134/1000</f>
        <v>0</v>
      </c>
      <c r="H84" s="206" t="e">
        <f>+G84/G116</f>
        <v>#DIV/0!</v>
      </c>
    </row>
    <row r="85" spans="1:8" x14ac:dyDescent="0.2">
      <c r="A85" s="203"/>
      <c r="B85" s="212" t="s">
        <v>252</v>
      </c>
      <c r="C85" s="205">
        <f>+BALANCE!D182/1000</f>
        <v>0</v>
      </c>
      <c r="D85" s="206" t="e">
        <f>+C85/C116</f>
        <v>#DIV/0!</v>
      </c>
      <c r="E85" s="203"/>
      <c r="F85" s="203" t="s">
        <v>198</v>
      </c>
      <c r="G85" s="205">
        <f>+BALANCE!H135/1000</f>
        <v>0</v>
      </c>
      <c r="H85" s="206" t="e">
        <f>+G85/G116</f>
        <v>#DIV/0!</v>
      </c>
    </row>
    <row r="86" spans="1:8" x14ac:dyDescent="0.2">
      <c r="A86" s="203">
        <v>1.7</v>
      </c>
      <c r="B86" s="204" t="s">
        <v>257</v>
      </c>
      <c r="C86" s="218">
        <f>+C87+C93+C110</f>
        <v>0</v>
      </c>
      <c r="D86" s="201" t="e">
        <f>+C86/C116</f>
        <v>#DIV/0!</v>
      </c>
      <c r="E86" s="203"/>
      <c r="F86" s="203" t="s">
        <v>506</v>
      </c>
      <c r="G86" s="205">
        <f>+BALANCE!H136/1000</f>
        <v>0</v>
      </c>
      <c r="H86" s="206" t="e">
        <f>+G86/G116</f>
        <v>#DIV/0!</v>
      </c>
    </row>
    <row r="87" spans="1:8" x14ac:dyDescent="0.2">
      <c r="A87" s="203"/>
      <c r="B87" s="207" t="s">
        <v>507</v>
      </c>
      <c r="C87" s="210">
        <f>+SUM(C88:C92)</f>
        <v>0</v>
      </c>
      <c r="D87" s="211" t="e">
        <f>+C87/C116</f>
        <v>#DIV/0!</v>
      </c>
      <c r="E87" s="203">
        <v>2.2000000000000002</v>
      </c>
      <c r="F87" s="204" t="s">
        <v>202</v>
      </c>
      <c r="G87" s="200">
        <f>+SUM(G88:G90)</f>
        <v>0</v>
      </c>
      <c r="H87" s="201" t="e">
        <f>+G87/G116</f>
        <v>#DIV/0!</v>
      </c>
    </row>
    <row r="88" spans="1:8" x14ac:dyDescent="0.2">
      <c r="A88" s="203"/>
      <c r="B88" s="203" t="s">
        <v>193</v>
      </c>
      <c r="C88" s="205">
        <f>+BALANCE!D188/1000</f>
        <v>0</v>
      </c>
      <c r="D88" s="206" t="e">
        <f>+C88/C116</f>
        <v>#DIV/0!</v>
      </c>
      <c r="E88" s="203"/>
      <c r="F88" s="203" t="s">
        <v>204</v>
      </c>
      <c r="G88" s="205">
        <f>+BALANCE!H138/1000</f>
        <v>0</v>
      </c>
      <c r="H88" s="206" t="e">
        <f>+G88/G116</f>
        <v>#DIV/0!</v>
      </c>
    </row>
    <row r="89" spans="1:8" x14ac:dyDescent="0.2">
      <c r="A89" s="203"/>
      <c r="B89" s="203" t="s">
        <v>498</v>
      </c>
      <c r="C89" s="205">
        <f>+BALANCE!D191/1000</f>
        <v>0</v>
      </c>
      <c r="D89" s="206" t="e">
        <f>+C89/C116</f>
        <v>#DIV/0!</v>
      </c>
      <c r="E89" s="203"/>
      <c r="F89" s="203" t="s">
        <v>206</v>
      </c>
      <c r="G89" s="205">
        <f>+BALANCE!H139/1000</f>
        <v>0</v>
      </c>
      <c r="H89" s="206" t="e">
        <f>+G89/G116</f>
        <v>#DIV/0!</v>
      </c>
    </row>
    <row r="90" spans="1:8" x14ac:dyDescent="0.2">
      <c r="A90" s="203"/>
      <c r="B90" s="203" t="s">
        <v>508</v>
      </c>
      <c r="C90" s="205">
        <f>+BALANCE!D194/1000</f>
        <v>0</v>
      </c>
      <c r="D90" s="206" t="e">
        <f>+C90/C116</f>
        <v>#DIV/0!</v>
      </c>
      <c r="E90" s="203"/>
      <c r="F90" s="203" t="s">
        <v>509</v>
      </c>
      <c r="G90" s="205">
        <f>+BALANCE!H140/1000</f>
        <v>0</v>
      </c>
      <c r="H90" s="206" t="e">
        <f>+G90/G116</f>
        <v>#DIV/0!</v>
      </c>
    </row>
    <row r="91" spans="1:8" x14ac:dyDescent="0.2">
      <c r="A91" s="203"/>
      <c r="B91" s="203" t="s">
        <v>510</v>
      </c>
      <c r="C91" s="205">
        <f>+BALANCE!D197/1000</f>
        <v>0</v>
      </c>
      <c r="D91" s="206" t="e">
        <f>+C91/C116</f>
        <v>#DIV/0!</v>
      </c>
      <c r="E91" s="203">
        <v>2.2999999999999998</v>
      </c>
      <c r="F91" s="204" t="s">
        <v>208</v>
      </c>
      <c r="G91" s="200">
        <f>+SUM(G92:G93)</f>
        <v>0</v>
      </c>
      <c r="H91" s="201" t="e">
        <f>+G91/G116</f>
        <v>#DIV/0!</v>
      </c>
    </row>
    <row r="92" spans="1:8" x14ac:dyDescent="0.2">
      <c r="A92" s="203"/>
      <c r="B92" s="203" t="s">
        <v>128</v>
      </c>
      <c r="C92" s="205">
        <f>+BALANCE!D200/1000</f>
        <v>0</v>
      </c>
      <c r="D92" s="206" t="e">
        <f>+C92/C116</f>
        <v>#DIV/0!</v>
      </c>
      <c r="E92" s="203"/>
      <c r="F92" s="203" t="s">
        <v>209</v>
      </c>
      <c r="G92" s="205">
        <f>+BALANCE!H142/1000</f>
        <v>0</v>
      </c>
      <c r="H92" s="206" t="e">
        <f>+G92/G116</f>
        <v>#DIV/0!</v>
      </c>
    </row>
    <row r="93" spans="1:8" x14ac:dyDescent="0.2">
      <c r="A93" s="203"/>
      <c r="B93" s="207" t="s">
        <v>511</v>
      </c>
      <c r="C93" s="210">
        <f>+C94-C109</f>
        <v>0</v>
      </c>
      <c r="D93" s="211" t="e">
        <f>+C93/C116</f>
        <v>#DIV/0!</v>
      </c>
      <c r="E93" s="203"/>
      <c r="F93" s="203" t="s">
        <v>211</v>
      </c>
      <c r="G93" s="205">
        <f>+BALANCE!H143/1000</f>
        <v>0</v>
      </c>
      <c r="H93" s="206" t="e">
        <f>+G93/G116</f>
        <v>#DIV/0!</v>
      </c>
    </row>
    <row r="94" spans="1:8" x14ac:dyDescent="0.2">
      <c r="A94" s="203"/>
      <c r="B94" s="207" t="s">
        <v>512</v>
      </c>
      <c r="C94" s="210">
        <f>+C95+C102</f>
        <v>0</v>
      </c>
      <c r="D94" s="211" t="e">
        <f>+C94/C116</f>
        <v>#DIV/0!</v>
      </c>
      <c r="E94" s="203">
        <v>2.4</v>
      </c>
      <c r="F94" s="204" t="s">
        <v>513</v>
      </c>
      <c r="G94" s="200">
        <f>+SUM(G95:G96)</f>
        <v>0</v>
      </c>
      <c r="H94" s="201" t="e">
        <f>+G94/G116</f>
        <v>#DIV/0!</v>
      </c>
    </row>
    <row r="95" spans="1:8" x14ac:dyDescent="0.2">
      <c r="A95" s="203"/>
      <c r="B95" s="203" t="s">
        <v>514</v>
      </c>
      <c r="C95" s="205">
        <f>+SUM(C96:C98)</f>
        <v>0</v>
      </c>
      <c r="D95" s="206" t="e">
        <f>+C95/C116</f>
        <v>#DIV/0!</v>
      </c>
      <c r="E95" s="203"/>
      <c r="F95" s="203" t="s">
        <v>515</v>
      </c>
      <c r="G95" s="205">
        <f>+BALANCE!H329/1000</f>
        <v>0</v>
      </c>
      <c r="H95" s="206" t="e">
        <f>+G95/G116</f>
        <v>#DIV/0!</v>
      </c>
    </row>
    <row r="96" spans="1:8" x14ac:dyDescent="0.2">
      <c r="A96" s="203"/>
      <c r="B96" s="203" t="s">
        <v>470</v>
      </c>
      <c r="C96" s="205">
        <f>+BALANCE!D205/1000</f>
        <v>0</v>
      </c>
      <c r="D96" s="206" t="e">
        <f>+C96/C116</f>
        <v>#DIV/0!</v>
      </c>
      <c r="E96" s="203"/>
      <c r="F96" s="203" t="s">
        <v>516</v>
      </c>
      <c r="G96" s="205">
        <f>+SUM(BALANCE!H147,-BALANCE!H148)/1000</f>
        <v>0</v>
      </c>
      <c r="H96" s="206" t="e">
        <f>+G96/G116</f>
        <v>#DIV/0!</v>
      </c>
    </row>
    <row r="97" spans="1:8" x14ac:dyDescent="0.2">
      <c r="A97" s="203"/>
      <c r="B97" s="203" t="s">
        <v>1164</v>
      </c>
      <c r="C97" s="205">
        <f>+BALANCE!D208/1000</f>
        <v>0</v>
      </c>
      <c r="D97" s="206" t="e">
        <f>+C97/C116</f>
        <v>#DIV/0!</v>
      </c>
      <c r="E97" s="226">
        <v>2.5</v>
      </c>
      <c r="F97" s="204" t="s">
        <v>219</v>
      </c>
      <c r="G97" s="200">
        <f>+BALANCE!H149/1000</f>
        <v>0</v>
      </c>
      <c r="H97" s="201" t="e">
        <f>+G97/G116</f>
        <v>#DIV/0!</v>
      </c>
    </row>
    <row r="98" spans="1:8" x14ac:dyDescent="0.2">
      <c r="A98" s="203"/>
      <c r="B98" s="214" t="s">
        <v>471</v>
      </c>
      <c r="C98" s="208">
        <f>+SUM(C99:C101)</f>
        <v>0</v>
      </c>
      <c r="D98" s="209" t="e">
        <f>+C98/C116</f>
        <v>#DIV/0!</v>
      </c>
      <c r="E98" s="222"/>
      <c r="F98" s="222"/>
      <c r="G98" s="223"/>
      <c r="H98" s="227"/>
    </row>
    <row r="99" spans="1:8" x14ac:dyDescent="0.2">
      <c r="A99" s="203"/>
      <c r="B99" s="203" t="s">
        <v>473</v>
      </c>
      <c r="C99" s="205">
        <f>+BALANCE!D212/1000</f>
        <v>0</v>
      </c>
      <c r="D99" s="206" t="e">
        <f>+C99/C116</f>
        <v>#DIV/0!</v>
      </c>
      <c r="E99" s="230"/>
      <c r="F99" s="230"/>
      <c r="G99" s="232"/>
      <c r="H99" s="228"/>
    </row>
    <row r="100" spans="1:8" ht="15" x14ac:dyDescent="0.2">
      <c r="A100" s="203"/>
      <c r="B100" s="203" t="s">
        <v>474</v>
      </c>
      <c r="C100" s="205">
        <f>+BALANCE!D215/1000</f>
        <v>0</v>
      </c>
      <c r="D100" s="206" t="e">
        <f>+C100/C116</f>
        <v>#DIV/0!</v>
      </c>
      <c r="E100" s="231"/>
      <c r="F100" s="230"/>
      <c r="G100" s="232"/>
      <c r="H100" s="228"/>
    </row>
    <row r="101" spans="1:8" x14ac:dyDescent="0.2">
      <c r="A101" s="203"/>
      <c r="B101" s="203" t="s">
        <v>476</v>
      </c>
      <c r="C101" s="205">
        <f>+BALANCE!D218/1000</f>
        <v>0</v>
      </c>
      <c r="D101" s="206" t="e">
        <f>+C101/C116</f>
        <v>#DIV/0!</v>
      </c>
      <c r="E101" s="230"/>
      <c r="F101" s="230"/>
      <c r="G101" s="232"/>
      <c r="H101" s="228"/>
    </row>
    <row r="102" spans="1:8" x14ac:dyDescent="0.2">
      <c r="A102" s="203"/>
      <c r="B102" s="203" t="s">
        <v>517</v>
      </c>
      <c r="C102" s="205">
        <f>+SUM(C103:C105)</f>
        <v>0</v>
      </c>
      <c r="D102" s="206" t="e">
        <f>+C102/C116</f>
        <v>#DIV/0!</v>
      </c>
      <c r="E102" s="230"/>
      <c r="F102" s="230"/>
      <c r="G102" s="232"/>
      <c r="H102" s="228"/>
    </row>
    <row r="103" spans="1:8" x14ac:dyDescent="0.2">
      <c r="A103" s="203"/>
      <c r="B103" s="203" t="s">
        <v>470</v>
      </c>
      <c r="C103" s="205">
        <f>+BALANCE!D206/1000</f>
        <v>0</v>
      </c>
      <c r="D103" s="206" t="e">
        <f>+C103/C116</f>
        <v>#DIV/0!</v>
      </c>
      <c r="E103" s="230"/>
      <c r="F103" s="230"/>
      <c r="G103" s="232"/>
      <c r="H103" s="228"/>
    </row>
    <row r="104" spans="1:8" x14ac:dyDescent="0.2">
      <c r="A104" s="203"/>
      <c r="B104" s="203" t="s">
        <v>1164</v>
      </c>
      <c r="C104" s="205">
        <f>+BALANCE!D209/1000</f>
        <v>0</v>
      </c>
      <c r="D104" s="206" t="e">
        <f>+C104/C116</f>
        <v>#DIV/0!</v>
      </c>
      <c r="E104" s="230"/>
      <c r="F104" s="230"/>
      <c r="G104" s="232"/>
      <c r="H104" s="228"/>
    </row>
    <row r="105" spans="1:8" x14ac:dyDescent="0.2">
      <c r="A105" s="203"/>
      <c r="B105" s="214" t="s">
        <v>518</v>
      </c>
      <c r="C105" s="208">
        <f>+SUM(C106:C108)</f>
        <v>0</v>
      </c>
      <c r="D105" s="209" t="e">
        <f>+C105/C116</f>
        <v>#DIV/0!</v>
      </c>
      <c r="E105" s="230"/>
      <c r="F105" s="230"/>
      <c r="G105" s="232"/>
      <c r="H105" s="228"/>
    </row>
    <row r="106" spans="1:8" x14ac:dyDescent="0.2">
      <c r="A106" s="203"/>
      <c r="B106" s="203" t="s">
        <v>473</v>
      </c>
      <c r="C106" s="205">
        <f>+BALANCE!D213/1000</f>
        <v>0</v>
      </c>
      <c r="D106" s="206" t="e">
        <f>+C106/C116</f>
        <v>#DIV/0!</v>
      </c>
      <c r="E106" s="230"/>
      <c r="F106" s="230"/>
      <c r="G106" s="232"/>
      <c r="H106" s="228"/>
    </row>
    <row r="107" spans="1:8" x14ac:dyDescent="0.2">
      <c r="A107" s="203"/>
      <c r="B107" s="203" t="s">
        <v>474</v>
      </c>
      <c r="C107" s="205">
        <f>+BALANCE!D216/1000</f>
        <v>0</v>
      </c>
      <c r="D107" s="206" t="e">
        <f>+C107/C116</f>
        <v>#DIV/0!</v>
      </c>
      <c r="E107" s="230"/>
      <c r="F107" s="230"/>
      <c r="G107" s="232"/>
      <c r="H107" s="228"/>
    </row>
    <row r="108" spans="1:8" x14ac:dyDescent="0.2">
      <c r="A108" s="203"/>
      <c r="B108" s="203" t="s">
        <v>476</v>
      </c>
      <c r="C108" s="205">
        <f>+BALANCE!D219/1000</f>
        <v>0</v>
      </c>
      <c r="D108" s="206" t="e">
        <f>+C108/C116</f>
        <v>#DIV/0!</v>
      </c>
      <c r="E108" s="230"/>
      <c r="F108" s="230"/>
      <c r="G108" s="232"/>
      <c r="H108" s="228"/>
    </row>
    <row r="109" spans="1:8" x14ac:dyDescent="0.2">
      <c r="A109" s="203"/>
      <c r="B109" s="217" t="s">
        <v>519</v>
      </c>
      <c r="C109" s="205">
        <f>+BALANCE!D220/1000</f>
        <v>0</v>
      </c>
      <c r="D109" s="206" t="e">
        <f>+C109/C116</f>
        <v>#DIV/0!</v>
      </c>
      <c r="E109" s="230"/>
      <c r="F109" s="230"/>
      <c r="G109" s="232"/>
      <c r="H109" s="228"/>
    </row>
    <row r="110" spans="1:8" x14ac:dyDescent="0.2">
      <c r="A110" s="203"/>
      <c r="B110" s="207" t="s">
        <v>520</v>
      </c>
      <c r="C110" s="210">
        <f>+BALANCE!D222/1000</f>
        <v>0</v>
      </c>
      <c r="D110" s="211" t="e">
        <f>+C110/C116</f>
        <v>#DIV/0!</v>
      </c>
      <c r="E110" s="230"/>
      <c r="F110" s="230"/>
      <c r="G110" s="232"/>
      <c r="H110" s="228"/>
    </row>
    <row r="111" spans="1:8" x14ac:dyDescent="0.2">
      <c r="A111" s="203">
        <v>1.8</v>
      </c>
      <c r="B111" s="204" t="s">
        <v>521</v>
      </c>
      <c r="C111" s="200">
        <f>+BALANCE!D230/1000</f>
        <v>0</v>
      </c>
      <c r="D111" s="201" t="e">
        <f>+C111/C116</f>
        <v>#DIV/0!</v>
      </c>
      <c r="E111" s="230"/>
      <c r="F111" s="230"/>
      <c r="G111" s="232"/>
      <c r="H111" s="228"/>
    </row>
    <row r="112" spans="1:8" x14ac:dyDescent="0.2">
      <c r="A112" s="727" t="s">
        <v>522</v>
      </c>
      <c r="B112" s="727"/>
      <c r="C112" s="200">
        <f>+C113</f>
        <v>0</v>
      </c>
      <c r="D112" s="201" t="e">
        <f>+C112/C116</f>
        <v>#DIV/0!</v>
      </c>
      <c r="E112" s="230"/>
      <c r="F112" s="230"/>
      <c r="G112" s="232"/>
      <c r="H112" s="228"/>
    </row>
    <row r="113" spans="1:8" x14ac:dyDescent="0.2">
      <c r="A113" s="203">
        <v>2.1</v>
      </c>
      <c r="B113" s="204" t="s">
        <v>523</v>
      </c>
      <c r="C113" s="200">
        <f>+C114-C115</f>
        <v>0</v>
      </c>
      <c r="D113" s="201" t="e">
        <f>+C113/C116</f>
        <v>#DIV/0!</v>
      </c>
      <c r="E113" s="230"/>
      <c r="F113" s="230"/>
      <c r="G113" s="232"/>
      <c r="H113" s="228"/>
    </row>
    <row r="114" spans="1:8" x14ac:dyDescent="0.2">
      <c r="A114" s="203"/>
      <c r="B114" s="203" t="s">
        <v>524</v>
      </c>
      <c r="C114" s="205">
        <f>BALANCE!D243/1000</f>
        <v>0</v>
      </c>
      <c r="D114" s="206" t="e">
        <f>+C114/C116</f>
        <v>#DIV/0!</v>
      </c>
      <c r="E114" s="230"/>
      <c r="F114" s="230"/>
      <c r="G114" s="232"/>
      <c r="H114" s="228"/>
    </row>
    <row r="115" spans="1:8" x14ac:dyDescent="0.2">
      <c r="A115" s="203"/>
      <c r="B115" s="217" t="s">
        <v>525</v>
      </c>
      <c r="C115" s="205">
        <f>+BALANCE!D249/1000</f>
        <v>0</v>
      </c>
      <c r="D115" s="206" t="e">
        <f>+C115/C116</f>
        <v>#DIV/0!</v>
      </c>
      <c r="E115" s="224"/>
      <c r="F115" s="224"/>
      <c r="G115" s="225"/>
      <c r="H115" s="229"/>
    </row>
    <row r="116" spans="1:8" x14ac:dyDescent="0.2">
      <c r="A116" s="728" t="s">
        <v>526</v>
      </c>
      <c r="B116" s="728"/>
      <c r="C116" s="200">
        <f>+C9+C112</f>
        <v>0</v>
      </c>
      <c r="D116" s="201" t="e">
        <f>+C116/C116</f>
        <v>#DIV/0!</v>
      </c>
      <c r="E116" s="728" t="s">
        <v>527</v>
      </c>
      <c r="F116" s="728"/>
      <c r="G116" s="200">
        <f>+SUM(G9,G82)</f>
        <v>0</v>
      </c>
      <c r="H116" s="201" t="e">
        <f>+G116/G116</f>
        <v>#DIV/0!</v>
      </c>
    </row>
    <row r="117" spans="1:8" x14ac:dyDescent="0.2">
      <c r="A117" s="13"/>
      <c r="B117" s="13"/>
      <c r="C117" s="59"/>
      <c r="D117" s="60"/>
      <c r="E117" s="13"/>
      <c r="F117" s="13"/>
      <c r="G117" s="61">
        <f>+C116-G116</f>
        <v>0</v>
      </c>
      <c r="H117" s="60"/>
    </row>
    <row r="118" spans="1:8" x14ac:dyDescent="0.2">
      <c r="A118" s="13"/>
      <c r="B118" s="13"/>
      <c r="C118" s="59"/>
      <c r="D118" s="60"/>
      <c r="E118" s="13"/>
      <c r="F118" s="13"/>
      <c r="G118" s="59"/>
      <c r="H118" s="60"/>
    </row>
    <row r="119" spans="1:8" x14ac:dyDescent="0.2">
      <c r="B119" s="62" t="s">
        <v>36</v>
      </c>
      <c r="C119" s="12"/>
      <c r="D119" s="60"/>
      <c r="E119" s="13"/>
      <c r="F119" s="14"/>
    </row>
    <row r="120" spans="1:8" x14ac:dyDescent="0.2">
      <c r="C120" s="12"/>
      <c r="D120" s="60"/>
      <c r="E120" s="13"/>
      <c r="F120" s="14"/>
    </row>
    <row r="121" spans="1:8" ht="15" customHeight="1" x14ac:dyDescent="0.2">
      <c r="C121" s="17" t="s">
        <v>437</v>
      </c>
      <c r="D121" s="63"/>
      <c r="E121" s="17"/>
    </row>
    <row r="122" spans="1:8" x14ac:dyDescent="0.2">
      <c r="B122" s="15"/>
      <c r="C122" s="12"/>
      <c r="D122" s="60"/>
      <c r="E122" s="13"/>
      <c r="F122" s="14"/>
    </row>
    <row r="123" spans="1:8" ht="15" customHeight="1" x14ac:dyDescent="0.2">
      <c r="B123" s="15"/>
      <c r="C123" s="658" t="str">
        <f>+BALANCE!D361</f>
        <v>ГҮЙЦЭТГЭХ ЗАХИРАЛ.................................................................//</v>
      </c>
      <c r="D123" s="658"/>
      <c r="E123" s="658"/>
      <c r="F123" s="658"/>
    </row>
    <row r="124" spans="1:8" ht="15" customHeight="1" x14ac:dyDescent="0.2">
      <c r="B124" s="15"/>
      <c r="C124" s="64"/>
      <c r="D124" s="64"/>
      <c r="E124" s="64"/>
      <c r="F124" s="64"/>
    </row>
    <row r="125" spans="1:8" ht="15" customHeight="1" x14ac:dyDescent="0.2">
      <c r="B125" s="15"/>
      <c r="C125" s="658" t="str">
        <f>+BALANCE!D363</f>
        <v>ЕРӨНХИЙ НЯГТЛАН БОДОГЧ....................................................//</v>
      </c>
      <c r="D125" s="658"/>
      <c r="E125" s="658"/>
      <c r="F125" s="658"/>
    </row>
    <row r="126" spans="1:8" ht="15" customHeight="1" x14ac:dyDescent="0.2">
      <c r="B126" s="15"/>
      <c r="C126" s="64"/>
      <c r="D126" s="64"/>
      <c r="E126" s="64"/>
      <c r="F126" s="64"/>
    </row>
    <row r="127" spans="1:8" ht="15" customHeight="1" x14ac:dyDescent="0.2">
      <c r="B127" s="15"/>
      <c r="C127" s="658">
        <f>+BALANCE!D365</f>
        <v>0</v>
      </c>
      <c r="D127" s="658"/>
      <c r="E127" s="658"/>
      <c r="F127" s="658"/>
    </row>
  </sheetData>
  <sheetProtection password="CA9F" sheet="1"/>
  <mergeCells count="20">
    <mergeCell ref="A2:H2"/>
    <mergeCell ref="A3:H3"/>
    <mergeCell ref="A4:H4"/>
    <mergeCell ref="A6:B6"/>
    <mergeCell ref="G6:H6"/>
    <mergeCell ref="C123:F123"/>
    <mergeCell ref="C125:F125"/>
    <mergeCell ref="C127:F127"/>
    <mergeCell ref="H7:H8"/>
    <mergeCell ref="A9:B9"/>
    <mergeCell ref="E9:F9"/>
    <mergeCell ref="E82:F82"/>
    <mergeCell ref="A112:B112"/>
    <mergeCell ref="A116:B116"/>
    <mergeCell ref="E116:F116"/>
    <mergeCell ref="A7:B8"/>
    <mergeCell ref="C7:C8"/>
    <mergeCell ref="D7:D8"/>
    <mergeCell ref="E7:F8"/>
    <mergeCell ref="G7:G8"/>
  </mergeCells>
  <pageMargins left="0.7" right="0.7" top="0.75" bottom="0.75" header="0.3" footer="0.3"/>
  <pageSetup paperSize="9" scale="6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pageSetUpPr fitToPage="1"/>
  </sheetPr>
  <dimension ref="A2:F152"/>
  <sheetViews>
    <sheetView workbookViewId="0"/>
  </sheetViews>
  <sheetFormatPr defaultRowHeight="12.75" x14ac:dyDescent="0.2"/>
  <cols>
    <col min="1" max="1" width="4.7109375" style="3" bestFit="1" customWidth="1"/>
    <col min="2" max="2" width="5.5703125" style="3" customWidth="1"/>
    <col min="3" max="3" width="57.85546875" style="3" customWidth="1"/>
    <col min="4" max="4" width="10.7109375" style="49" customWidth="1"/>
    <col min="5" max="5" width="17.7109375" style="467" customWidth="1"/>
    <col min="6" max="6" width="9.140625" style="465"/>
    <col min="7" max="16384" width="9.140625" style="3"/>
  </cols>
  <sheetData>
    <row r="2" spans="1:6" x14ac:dyDescent="0.2">
      <c r="A2" s="652" t="s">
        <v>528</v>
      </c>
      <c r="B2" s="652"/>
      <c r="C2" s="652"/>
      <c r="D2" s="652"/>
      <c r="E2" s="652"/>
      <c r="F2" s="652"/>
    </row>
    <row r="3" spans="1:6" x14ac:dyDescent="0.2">
      <c r="A3" s="670" t="str">
        <f>+BALANCE!A3</f>
        <v>БАНК БУС САНХҮҮГИЙН БАЙГУУЛЛАГЫН НЭР</v>
      </c>
      <c r="B3" s="670"/>
      <c r="C3" s="670"/>
      <c r="D3" s="670"/>
      <c r="E3" s="670"/>
      <c r="F3" s="670"/>
    </row>
    <row r="4" spans="1:6" x14ac:dyDescent="0.2">
      <c r="A4" s="652" t="str">
        <f>+BALANCE!A4</f>
        <v>БАНК БУС САНХҮҮГИЙН БАЙГУУЛЛАГА</v>
      </c>
      <c r="B4" s="652"/>
      <c r="C4" s="652"/>
      <c r="D4" s="652"/>
      <c r="E4" s="652"/>
      <c r="F4" s="652"/>
    </row>
    <row r="5" spans="1:6" ht="12.75" customHeight="1" x14ac:dyDescent="0.2">
      <c r="A5" s="745">
        <f>+BALANCE!A6</f>
        <v>44834</v>
      </c>
      <c r="B5" s="745"/>
      <c r="C5" s="745"/>
      <c r="D5" s="746" t="s">
        <v>439</v>
      </c>
      <c r="E5" s="746"/>
      <c r="F5" s="746"/>
    </row>
    <row r="6" spans="1:6" ht="15" customHeight="1" x14ac:dyDescent="0.2">
      <c r="A6" s="664" t="s">
        <v>529</v>
      </c>
      <c r="B6" s="664"/>
      <c r="C6" s="664"/>
      <c r="D6" s="742" t="s">
        <v>47</v>
      </c>
      <c r="E6" s="743">
        <f>BALANCE!D7</f>
        <v>0</v>
      </c>
      <c r="F6" s="744" t="s">
        <v>530</v>
      </c>
    </row>
    <row r="7" spans="1:6" x14ac:dyDescent="0.2">
      <c r="A7" s="664"/>
      <c r="B7" s="664"/>
      <c r="C7" s="664"/>
      <c r="D7" s="742"/>
      <c r="E7" s="743"/>
      <c r="F7" s="744"/>
    </row>
    <row r="8" spans="1:6" ht="15" customHeight="1" x14ac:dyDescent="0.2">
      <c r="A8" s="458" t="s">
        <v>5</v>
      </c>
      <c r="B8" s="741" t="s">
        <v>531</v>
      </c>
      <c r="C8" s="741"/>
      <c r="D8" s="741"/>
      <c r="E8" s="437">
        <f>+SUM(E9,E17,E25,E31)</f>
        <v>0</v>
      </c>
      <c r="F8" s="438" t="e">
        <f>+E8/E138</f>
        <v>#DIV/0!</v>
      </c>
    </row>
    <row r="9" spans="1:6" ht="15.75" customHeight="1" x14ac:dyDescent="0.2">
      <c r="A9" s="439"/>
      <c r="B9" s="440">
        <v>1.1000000000000001</v>
      </c>
      <c r="C9" s="738" t="s">
        <v>532</v>
      </c>
      <c r="D9" s="738"/>
      <c r="E9" s="441">
        <f>+SUM(E10:E16)</f>
        <v>0</v>
      </c>
      <c r="F9" s="442" t="e">
        <f>+E9/E138</f>
        <v>#DIV/0!</v>
      </c>
    </row>
    <row r="10" spans="1:6" x14ac:dyDescent="0.2">
      <c r="A10" s="439"/>
      <c r="B10" s="443" t="s">
        <v>533</v>
      </c>
      <c r="C10" s="444" t="s">
        <v>116</v>
      </c>
      <c r="D10" s="445">
        <v>4101</v>
      </c>
      <c r="E10" s="446">
        <f>+BALANCE!H155/1000</f>
        <v>0</v>
      </c>
      <c r="F10" s="447" t="e">
        <f>+E10/E138</f>
        <v>#DIV/0!</v>
      </c>
    </row>
    <row r="11" spans="1:6" x14ac:dyDescent="0.2">
      <c r="A11" s="439"/>
      <c r="B11" s="443" t="s">
        <v>534</v>
      </c>
      <c r="C11" s="444" t="s">
        <v>118</v>
      </c>
      <c r="D11" s="445">
        <v>4102</v>
      </c>
      <c r="E11" s="446">
        <f>+BALANCE!H156/1000</f>
        <v>0</v>
      </c>
      <c r="F11" s="447" t="e">
        <f>+E11/E138</f>
        <v>#DIV/0!</v>
      </c>
    </row>
    <row r="12" spans="1:6" x14ac:dyDescent="0.2">
      <c r="A12" s="439"/>
      <c r="B12" s="443" t="s">
        <v>535</v>
      </c>
      <c r="C12" s="444" t="s">
        <v>230</v>
      </c>
      <c r="D12" s="445">
        <v>4103</v>
      </c>
      <c r="E12" s="446">
        <f>+BALANCE!H157/1000</f>
        <v>0</v>
      </c>
      <c r="F12" s="447" t="e">
        <f>+E12/E138</f>
        <v>#DIV/0!</v>
      </c>
    </row>
    <row r="13" spans="1:6" x14ac:dyDescent="0.2">
      <c r="A13" s="439"/>
      <c r="B13" s="443" t="s">
        <v>536</v>
      </c>
      <c r="C13" s="444" t="s">
        <v>120</v>
      </c>
      <c r="D13" s="445">
        <v>4104</v>
      </c>
      <c r="E13" s="446">
        <f>+BALANCE!H158/1000</f>
        <v>0</v>
      </c>
      <c r="F13" s="447" t="e">
        <f>+E13/E138</f>
        <v>#DIV/0!</v>
      </c>
    </row>
    <row r="14" spans="1:6" x14ac:dyDescent="0.2">
      <c r="A14" s="439"/>
      <c r="B14" s="443" t="s">
        <v>537</v>
      </c>
      <c r="C14" s="444" t="s">
        <v>538</v>
      </c>
      <c r="D14" s="445">
        <v>4105</v>
      </c>
      <c r="E14" s="446">
        <f>+BALANCE!H159/1000</f>
        <v>0</v>
      </c>
      <c r="F14" s="447" t="e">
        <f>+E14/E138</f>
        <v>#DIV/0!</v>
      </c>
    </row>
    <row r="15" spans="1:6" x14ac:dyDescent="0.2">
      <c r="A15" s="439"/>
      <c r="B15" s="443" t="s">
        <v>539</v>
      </c>
      <c r="C15" s="444" t="s">
        <v>126</v>
      </c>
      <c r="D15" s="445">
        <v>4106</v>
      </c>
      <c r="E15" s="446">
        <f>+BALANCE!H160/1000</f>
        <v>0</v>
      </c>
      <c r="F15" s="447" t="e">
        <f>+E15/E138</f>
        <v>#DIV/0!</v>
      </c>
    </row>
    <row r="16" spans="1:6" x14ac:dyDescent="0.2">
      <c r="A16" s="439"/>
      <c r="B16" s="443" t="s">
        <v>540</v>
      </c>
      <c r="C16" s="444" t="s">
        <v>128</v>
      </c>
      <c r="D16" s="445">
        <v>4107</v>
      </c>
      <c r="E16" s="446">
        <f>+BALANCE!H161/1000</f>
        <v>0</v>
      </c>
      <c r="F16" s="447" t="e">
        <f>+E16/E138</f>
        <v>#DIV/0!</v>
      </c>
    </row>
    <row r="17" spans="1:6" x14ac:dyDescent="0.2">
      <c r="A17" s="439"/>
      <c r="B17" s="440">
        <v>1.2</v>
      </c>
      <c r="C17" s="737" t="s">
        <v>541</v>
      </c>
      <c r="D17" s="737"/>
      <c r="E17" s="441">
        <f>+SUM(E18:E24)</f>
        <v>0</v>
      </c>
      <c r="F17" s="442" t="e">
        <f>+E17/E138</f>
        <v>#DIV/0!</v>
      </c>
    </row>
    <row r="18" spans="1:6" x14ac:dyDescent="0.2">
      <c r="A18" s="439"/>
      <c r="B18" s="443" t="s">
        <v>542</v>
      </c>
      <c r="C18" s="444" t="s">
        <v>116</v>
      </c>
      <c r="D18" s="445">
        <v>4111</v>
      </c>
      <c r="E18" s="446">
        <f>+BALANCE!H163/1000</f>
        <v>0</v>
      </c>
      <c r="F18" s="447" t="e">
        <f>+E18/E138</f>
        <v>#DIV/0!</v>
      </c>
    </row>
    <row r="19" spans="1:6" x14ac:dyDescent="0.2">
      <c r="A19" s="439"/>
      <c r="B19" s="443" t="s">
        <v>543</v>
      </c>
      <c r="C19" s="444" t="s">
        <v>118</v>
      </c>
      <c r="D19" s="445">
        <v>4112</v>
      </c>
      <c r="E19" s="446">
        <f>+BALANCE!H164/1000</f>
        <v>0</v>
      </c>
      <c r="F19" s="447" t="e">
        <f>+E19/E138</f>
        <v>#DIV/0!</v>
      </c>
    </row>
    <row r="20" spans="1:6" x14ac:dyDescent="0.2">
      <c r="A20" s="439"/>
      <c r="B20" s="443" t="s">
        <v>544</v>
      </c>
      <c r="C20" s="444" t="s">
        <v>230</v>
      </c>
      <c r="D20" s="445">
        <v>4113</v>
      </c>
      <c r="E20" s="446">
        <f>+BALANCE!H165/1000</f>
        <v>0</v>
      </c>
      <c r="F20" s="447" t="e">
        <f>+E20/E138</f>
        <v>#DIV/0!</v>
      </c>
    </row>
    <row r="21" spans="1:6" x14ac:dyDescent="0.2">
      <c r="A21" s="439"/>
      <c r="B21" s="443" t="s">
        <v>545</v>
      </c>
      <c r="C21" s="444" t="s">
        <v>120</v>
      </c>
      <c r="D21" s="448">
        <v>4114</v>
      </c>
      <c r="E21" s="446">
        <f>+BALANCE!H166/1000</f>
        <v>0</v>
      </c>
      <c r="F21" s="447" t="e">
        <f>+E21/E138</f>
        <v>#DIV/0!</v>
      </c>
    </row>
    <row r="22" spans="1:6" x14ac:dyDescent="0.2">
      <c r="A22" s="439"/>
      <c r="B22" s="443" t="s">
        <v>546</v>
      </c>
      <c r="C22" s="444" t="s">
        <v>124</v>
      </c>
      <c r="D22" s="448">
        <v>4115</v>
      </c>
      <c r="E22" s="446">
        <f>+BALANCE!H167/1000</f>
        <v>0</v>
      </c>
      <c r="F22" s="447" t="e">
        <f>+E22/E138</f>
        <v>#DIV/0!</v>
      </c>
    </row>
    <row r="23" spans="1:6" x14ac:dyDescent="0.2">
      <c r="A23" s="439"/>
      <c r="B23" s="443" t="s">
        <v>547</v>
      </c>
      <c r="C23" s="444" t="s">
        <v>126</v>
      </c>
      <c r="D23" s="448">
        <v>4116</v>
      </c>
      <c r="E23" s="446">
        <f>+BALANCE!H168/1000</f>
        <v>0</v>
      </c>
      <c r="F23" s="447" t="e">
        <f>+E23/E138</f>
        <v>#DIV/0!</v>
      </c>
    </row>
    <row r="24" spans="1:6" x14ac:dyDescent="0.2">
      <c r="A24" s="439"/>
      <c r="B24" s="443" t="s">
        <v>548</v>
      </c>
      <c r="C24" s="444" t="s">
        <v>128</v>
      </c>
      <c r="D24" s="448">
        <v>4117</v>
      </c>
      <c r="E24" s="446">
        <f>+BALANCE!H169/1000</f>
        <v>0</v>
      </c>
      <c r="F24" s="447" t="e">
        <f>+E24/E138</f>
        <v>#DIV/0!</v>
      </c>
    </row>
    <row r="25" spans="1:6" x14ac:dyDescent="0.2">
      <c r="A25" s="439"/>
      <c r="B25" s="440">
        <v>1.3</v>
      </c>
      <c r="C25" s="738" t="s">
        <v>549</v>
      </c>
      <c r="D25" s="738"/>
      <c r="E25" s="441">
        <f>+SUM(E26:E30)</f>
        <v>0</v>
      </c>
      <c r="F25" s="442" t="e">
        <f>+E25/E138</f>
        <v>#DIV/0!</v>
      </c>
    </row>
    <row r="26" spans="1:6" x14ac:dyDescent="0.2">
      <c r="A26" s="439"/>
      <c r="B26" s="443" t="s">
        <v>550</v>
      </c>
      <c r="C26" s="444" t="s">
        <v>96</v>
      </c>
      <c r="D26" s="448">
        <v>4201</v>
      </c>
      <c r="E26" s="446">
        <f>+BALANCE!H171/1000</f>
        <v>0</v>
      </c>
      <c r="F26" s="447" t="e">
        <f>+E26/E138</f>
        <v>#DIV/0!</v>
      </c>
    </row>
    <row r="27" spans="1:6" x14ac:dyDescent="0.2">
      <c r="A27" s="439"/>
      <c r="B27" s="443" t="s">
        <v>551</v>
      </c>
      <c r="C27" s="444" t="s">
        <v>97</v>
      </c>
      <c r="D27" s="448">
        <v>4202</v>
      </c>
      <c r="E27" s="446">
        <f>+BALANCE!H172/1000</f>
        <v>0</v>
      </c>
      <c r="F27" s="447" t="e">
        <f>+E27/E138</f>
        <v>#DIV/0!</v>
      </c>
    </row>
    <row r="28" spans="1:6" x14ac:dyDescent="0.2">
      <c r="A28" s="439"/>
      <c r="B28" s="443" t="s">
        <v>552</v>
      </c>
      <c r="C28" s="444" t="s">
        <v>99</v>
      </c>
      <c r="D28" s="448">
        <v>4203</v>
      </c>
      <c r="E28" s="446">
        <f>+BALANCE!H173/1000</f>
        <v>0</v>
      </c>
      <c r="F28" s="447" t="e">
        <f>+E28/E138</f>
        <v>#DIV/0!</v>
      </c>
    </row>
    <row r="29" spans="1:6" x14ac:dyDescent="0.2">
      <c r="A29" s="439"/>
      <c r="B29" s="443" t="s">
        <v>553</v>
      </c>
      <c r="C29" s="444" t="s">
        <v>101</v>
      </c>
      <c r="D29" s="448">
        <v>4204</v>
      </c>
      <c r="E29" s="446">
        <f>+BALANCE!H174/1000</f>
        <v>0</v>
      </c>
      <c r="F29" s="447" t="e">
        <f>+E29/E138</f>
        <v>#DIV/0!</v>
      </c>
    </row>
    <row r="30" spans="1:6" x14ac:dyDescent="0.2">
      <c r="A30" s="439"/>
      <c r="B30" s="443" t="s">
        <v>554</v>
      </c>
      <c r="C30" s="444" t="s">
        <v>102</v>
      </c>
      <c r="D30" s="445">
        <v>4205</v>
      </c>
      <c r="E30" s="446">
        <f>+BALANCE!H175/1000</f>
        <v>0</v>
      </c>
      <c r="F30" s="447" t="e">
        <f>+E30/E138</f>
        <v>#DIV/0!</v>
      </c>
    </row>
    <row r="31" spans="1:6" ht="15" customHeight="1" x14ac:dyDescent="0.2">
      <c r="A31" s="439"/>
      <c r="B31" s="440">
        <v>1.4</v>
      </c>
      <c r="C31" s="738" t="s">
        <v>555</v>
      </c>
      <c r="D31" s="738"/>
      <c r="E31" s="449">
        <f>+SUM(E32:E37)-E38</f>
        <v>0</v>
      </c>
      <c r="F31" s="442" t="e">
        <f>+E31/E138</f>
        <v>#DIV/0!</v>
      </c>
    </row>
    <row r="32" spans="1:6" x14ac:dyDescent="0.2">
      <c r="A32" s="439"/>
      <c r="B32" s="443" t="s">
        <v>556</v>
      </c>
      <c r="C32" s="444" t="s">
        <v>243</v>
      </c>
      <c r="D32" s="445">
        <v>4301</v>
      </c>
      <c r="E32" s="446">
        <f>+BALANCE!H177/1000</f>
        <v>0</v>
      </c>
      <c r="F32" s="447" t="e">
        <f>+E32/E138</f>
        <v>#DIV/0!</v>
      </c>
    </row>
    <row r="33" spans="1:6" x14ac:dyDescent="0.2">
      <c r="A33" s="443"/>
      <c r="B33" s="443" t="s">
        <v>557</v>
      </c>
      <c r="C33" s="450" t="s">
        <v>558</v>
      </c>
      <c r="D33" s="445">
        <v>4302</v>
      </c>
      <c r="E33" s="446">
        <f>+BALANCE!H178/1000</f>
        <v>0</v>
      </c>
      <c r="F33" s="447" t="e">
        <f>+E33/E138</f>
        <v>#DIV/0!</v>
      </c>
    </row>
    <row r="34" spans="1:6" x14ac:dyDescent="0.2">
      <c r="A34" s="443"/>
      <c r="B34" s="443" t="s">
        <v>559</v>
      </c>
      <c r="C34" s="444" t="s">
        <v>247</v>
      </c>
      <c r="D34" s="445">
        <v>4311</v>
      </c>
      <c r="E34" s="446">
        <f>+BALANCE!H179/1000</f>
        <v>0</v>
      </c>
      <c r="F34" s="447" t="e">
        <f>+E34/E138</f>
        <v>#DIV/0!</v>
      </c>
    </row>
    <row r="35" spans="1:6" x14ac:dyDescent="0.2">
      <c r="A35" s="443"/>
      <c r="B35" s="443" t="s">
        <v>560</v>
      </c>
      <c r="C35" s="450" t="s">
        <v>561</v>
      </c>
      <c r="D35" s="445">
        <v>4312</v>
      </c>
      <c r="E35" s="446">
        <f>+BALANCE!H180/1000</f>
        <v>0</v>
      </c>
      <c r="F35" s="447" t="e">
        <f>+E35/E138</f>
        <v>#DIV/0!</v>
      </c>
    </row>
    <row r="36" spans="1:6" x14ac:dyDescent="0.2">
      <c r="A36" s="443"/>
      <c r="B36" s="443" t="s">
        <v>562</v>
      </c>
      <c r="C36" s="444" t="s">
        <v>563</v>
      </c>
      <c r="D36" s="445">
        <v>4321</v>
      </c>
      <c r="E36" s="446">
        <f>+BALANCE!H181/1000</f>
        <v>0</v>
      </c>
      <c r="F36" s="447" t="e">
        <f>+E36/E138</f>
        <v>#DIV/0!</v>
      </c>
    </row>
    <row r="37" spans="1:6" x14ac:dyDescent="0.2">
      <c r="A37" s="443"/>
      <c r="B37" s="443" t="s">
        <v>564</v>
      </c>
      <c r="C37" s="444" t="s">
        <v>565</v>
      </c>
      <c r="D37" s="445">
        <v>4322</v>
      </c>
      <c r="E37" s="446">
        <f>+BALANCE!H182/1000</f>
        <v>0</v>
      </c>
      <c r="F37" s="447" t="e">
        <f>+E37/E138</f>
        <v>#DIV/0!</v>
      </c>
    </row>
    <row r="38" spans="1:6" x14ac:dyDescent="0.2">
      <c r="A38" s="443"/>
      <c r="B38" s="443" t="s">
        <v>566</v>
      </c>
      <c r="C38" s="451" t="s">
        <v>567</v>
      </c>
      <c r="D38" s="452">
        <v>4323</v>
      </c>
      <c r="E38" s="453">
        <f>+BALANCE!H183/1000</f>
        <v>0</v>
      </c>
      <c r="F38" s="447" t="e">
        <f>+E38/E138</f>
        <v>#DIV/0!</v>
      </c>
    </row>
    <row r="39" spans="1:6" ht="15.75" customHeight="1" x14ac:dyDescent="0.2">
      <c r="A39" s="458" t="s">
        <v>27</v>
      </c>
      <c r="B39" s="739" t="s">
        <v>568</v>
      </c>
      <c r="C39" s="739"/>
      <c r="D39" s="739"/>
      <c r="E39" s="437">
        <f>+SUM(E40,E41,E42,E43)-E44</f>
        <v>0</v>
      </c>
      <c r="F39" s="438" t="e">
        <f>+E39/E139</f>
        <v>#DIV/0!</v>
      </c>
    </row>
    <row r="40" spans="1:6" x14ac:dyDescent="0.2">
      <c r="A40" s="443"/>
      <c r="B40" s="443">
        <v>2.1</v>
      </c>
      <c r="C40" s="444" t="s">
        <v>569</v>
      </c>
      <c r="D40" s="445">
        <v>5101</v>
      </c>
      <c r="E40" s="446">
        <f>+BALANCE!D256/1000</f>
        <v>0</v>
      </c>
      <c r="F40" s="447" t="e">
        <f>+E40/E139</f>
        <v>#DIV/0!</v>
      </c>
    </row>
    <row r="41" spans="1:6" x14ac:dyDescent="0.2">
      <c r="A41" s="443"/>
      <c r="B41" s="443">
        <v>2.2000000000000002</v>
      </c>
      <c r="C41" s="444" t="s">
        <v>570</v>
      </c>
      <c r="D41" s="445">
        <v>5102</v>
      </c>
      <c r="E41" s="446">
        <f>+BALANCE!D257/1000</f>
        <v>0</v>
      </c>
      <c r="F41" s="447" t="e">
        <f>+E41/E139</f>
        <v>#DIV/0!</v>
      </c>
    </row>
    <row r="42" spans="1:6" x14ac:dyDescent="0.2">
      <c r="A42" s="443"/>
      <c r="B42" s="443">
        <v>2.2999999999999998</v>
      </c>
      <c r="C42" s="444" t="s">
        <v>336</v>
      </c>
      <c r="D42" s="445">
        <v>5103</v>
      </c>
      <c r="E42" s="446">
        <f>+BALANCE!D258/1000</f>
        <v>0</v>
      </c>
      <c r="F42" s="447" t="e">
        <f>+E42/E139</f>
        <v>#DIV/0!</v>
      </c>
    </row>
    <row r="43" spans="1:6" x14ac:dyDescent="0.2">
      <c r="A43" s="443"/>
      <c r="B43" s="443">
        <v>2.4</v>
      </c>
      <c r="C43" s="444" t="s">
        <v>337</v>
      </c>
      <c r="D43" s="445">
        <v>5104</v>
      </c>
      <c r="E43" s="446">
        <f>+BALANCE!D259/1000</f>
        <v>0</v>
      </c>
      <c r="F43" s="447" t="e">
        <f>+E43/E139</f>
        <v>#DIV/0!</v>
      </c>
    </row>
    <row r="44" spans="1:6" x14ac:dyDescent="0.2">
      <c r="A44" s="443"/>
      <c r="B44" s="443">
        <v>2.5</v>
      </c>
      <c r="C44" s="454" t="s">
        <v>571</v>
      </c>
      <c r="D44" s="455">
        <v>5105</v>
      </c>
      <c r="E44" s="453">
        <f>+BALANCE!D260/1000</f>
        <v>0</v>
      </c>
      <c r="F44" s="447" t="e">
        <f>+E44/E139</f>
        <v>#DIV/0!</v>
      </c>
    </row>
    <row r="45" spans="1:6" ht="15.75" customHeight="1" x14ac:dyDescent="0.2">
      <c r="A45" s="458" t="s">
        <v>572</v>
      </c>
      <c r="B45" s="739" t="s">
        <v>573</v>
      </c>
      <c r="C45" s="739"/>
      <c r="D45" s="739"/>
      <c r="E45" s="437">
        <f>+E8-E39</f>
        <v>0</v>
      </c>
      <c r="F45" s="438" t="e">
        <f>+E45/E138</f>
        <v>#DIV/0!</v>
      </c>
    </row>
    <row r="46" spans="1:6" ht="15.75" customHeight="1" x14ac:dyDescent="0.2">
      <c r="A46" s="458" t="s">
        <v>574</v>
      </c>
      <c r="B46" s="739" t="s">
        <v>575</v>
      </c>
      <c r="C46" s="739"/>
      <c r="D46" s="739"/>
      <c r="E46" s="437">
        <f>+SUM(E47,E50,E53)</f>
        <v>0</v>
      </c>
      <c r="F46" s="438" t="e">
        <f>+E46/E138</f>
        <v>#DIV/0!</v>
      </c>
    </row>
    <row r="47" spans="1:6" ht="15" customHeight="1" x14ac:dyDescent="0.2">
      <c r="A47" s="439"/>
      <c r="B47" s="440">
        <v>4.0999999999999996</v>
      </c>
      <c r="C47" s="737" t="s">
        <v>576</v>
      </c>
      <c r="D47" s="737"/>
      <c r="E47" s="441">
        <f>+SUM(E48:E49)</f>
        <v>0</v>
      </c>
      <c r="F47" s="442" t="e">
        <f>+E47/E138</f>
        <v>#DIV/0!</v>
      </c>
    </row>
    <row r="48" spans="1:6" x14ac:dyDescent="0.2">
      <c r="A48" s="439"/>
      <c r="B48" s="443" t="s">
        <v>577</v>
      </c>
      <c r="C48" s="444" t="s">
        <v>260</v>
      </c>
      <c r="D48" s="445">
        <v>4401</v>
      </c>
      <c r="E48" s="446">
        <f>+BALANCE!H187/1000</f>
        <v>0</v>
      </c>
      <c r="F48" s="447" t="e">
        <f>+E48/E138</f>
        <v>#DIV/0!</v>
      </c>
    </row>
    <row r="49" spans="1:6" x14ac:dyDescent="0.2">
      <c r="A49" s="439"/>
      <c r="B49" s="443" t="s">
        <v>578</v>
      </c>
      <c r="C49" s="444" t="s">
        <v>579</v>
      </c>
      <c r="D49" s="445">
        <v>4402</v>
      </c>
      <c r="E49" s="446">
        <f>+BALANCE!H188/1000</f>
        <v>0</v>
      </c>
      <c r="F49" s="447" t="e">
        <f>+E49/E138</f>
        <v>#DIV/0!</v>
      </c>
    </row>
    <row r="50" spans="1:6" x14ac:dyDescent="0.2">
      <c r="A50" s="439"/>
      <c r="B50" s="440">
        <v>4.2</v>
      </c>
      <c r="C50" s="737" t="s">
        <v>580</v>
      </c>
      <c r="D50" s="737"/>
      <c r="E50" s="441">
        <f>+SUM(E51:E52)</f>
        <v>0</v>
      </c>
      <c r="F50" s="442" t="e">
        <f>+E50/E138</f>
        <v>#DIV/0!</v>
      </c>
    </row>
    <row r="51" spans="1:6" x14ac:dyDescent="0.2">
      <c r="A51" s="439"/>
      <c r="B51" s="443" t="s">
        <v>581</v>
      </c>
      <c r="C51" s="444" t="s">
        <v>266</v>
      </c>
      <c r="D51" s="445">
        <v>4411</v>
      </c>
      <c r="E51" s="446">
        <f>+BALANCE!H190/1000</f>
        <v>0</v>
      </c>
      <c r="F51" s="447" t="e">
        <f>+E51/E138</f>
        <v>#DIV/0!</v>
      </c>
    </row>
    <row r="52" spans="1:6" x14ac:dyDescent="0.2">
      <c r="A52" s="439"/>
      <c r="B52" s="443" t="s">
        <v>582</v>
      </c>
      <c r="C52" s="444" t="s">
        <v>268</v>
      </c>
      <c r="D52" s="445">
        <v>4412</v>
      </c>
      <c r="E52" s="446">
        <f>+BALANCE!H191/1000</f>
        <v>0</v>
      </c>
      <c r="F52" s="447" t="e">
        <f>+E52/E138</f>
        <v>#DIV/0!</v>
      </c>
    </row>
    <row r="53" spans="1:6" x14ac:dyDescent="0.2">
      <c r="A53" s="439"/>
      <c r="B53" s="440">
        <v>4.3</v>
      </c>
      <c r="C53" s="737" t="s">
        <v>583</v>
      </c>
      <c r="D53" s="737"/>
      <c r="E53" s="441">
        <f>+SUM(E54:E60)</f>
        <v>0</v>
      </c>
      <c r="F53" s="442" t="e">
        <f>+E53/E138</f>
        <v>#DIV/0!</v>
      </c>
    </row>
    <row r="54" spans="1:6" x14ac:dyDescent="0.2">
      <c r="A54" s="439"/>
      <c r="B54" s="443" t="s">
        <v>584</v>
      </c>
      <c r="C54" s="450" t="s">
        <v>272</v>
      </c>
      <c r="D54" s="445">
        <v>4421</v>
      </c>
      <c r="E54" s="446">
        <f>+BALANCE!H193/1000</f>
        <v>0</v>
      </c>
      <c r="F54" s="447" t="e">
        <f>+E54/E138</f>
        <v>#DIV/0!</v>
      </c>
    </row>
    <row r="55" spans="1:6" x14ac:dyDescent="0.2">
      <c r="A55" s="439"/>
      <c r="B55" s="443" t="s">
        <v>585</v>
      </c>
      <c r="C55" s="444" t="s">
        <v>274</v>
      </c>
      <c r="D55" s="445">
        <v>4422</v>
      </c>
      <c r="E55" s="446">
        <f>+BALANCE!H194/1000</f>
        <v>0</v>
      </c>
      <c r="F55" s="447" t="e">
        <f>+E55/E138</f>
        <v>#DIV/0!</v>
      </c>
    </row>
    <row r="56" spans="1:6" x14ac:dyDescent="0.2">
      <c r="A56" s="439"/>
      <c r="B56" s="443" t="s">
        <v>586</v>
      </c>
      <c r="C56" s="444" t="s">
        <v>276</v>
      </c>
      <c r="D56" s="445">
        <v>4423</v>
      </c>
      <c r="E56" s="446">
        <f>+BALANCE!H195/1000</f>
        <v>0</v>
      </c>
      <c r="F56" s="447" t="e">
        <f>+E56/E138</f>
        <v>#DIV/0!</v>
      </c>
    </row>
    <row r="57" spans="1:6" x14ac:dyDescent="0.2">
      <c r="A57" s="439"/>
      <c r="B57" s="443" t="s">
        <v>587</v>
      </c>
      <c r="C57" s="450" t="s">
        <v>278</v>
      </c>
      <c r="D57" s="445">
        <v>4424</v>
      </c>
      <c r="E57" s="446">
        <f>+BALANCE!H196/1000</f>
        <v>0</v>
      </c>
      <c r="F57" s="447" t="e">
        <f>+E57/E138</f>
        <v>#DIV/0!</v>
      </c>
    </row>
    <row r="58" spans="1:6" x14ac:dyDescent="0.2">
      <c r="A58" s="439"/>
      <c r="B58" s="443" t="s">
        <v>588</v>
      </c>
      <c r="C58" s="444" t="s">
        <v>280</v>
      </c>
      <c r="D58" s="445">
        <v>4425</v>
      </c>
      <c r="E58" s="446">
        <f>+BALANCE!H197/1000</f>
        <v>0</v>
      </c>
      <c r="F58" s="447" t="e">
        <f>+E58/E138</f>
        <v>#DIV/0!</v>
      </c>
    </row>
    <row r="59" spans="1:6" x14ac:dyDescent="0.2">
      <c r="A59" s="439"/>
      <c r="B59" s="443" t="s">
        <v>589</v>
      </c>
      <c r="C59" s="444" t="s">
        <v>282</v>
      </c>
      <c r="D59" s="445">
        <v>4426</v>
      </c>
      <c r="E59" s="446">
        <f>+BALANCE!H198/1000</f>
        <v>0</v>
      </c>
      <c r="F59" s="447" t="e">
        <f>+E59/E138</f>
        <v>#DIV/0!</v>
      </c>
    </row>
    <row r="60" spans="1:6" x14ac:dyDescent="0.2">
      <c r="A60" s="439"/>
      <c r="B60" s="443" t="s">
        <v>590</v>
      </c>
      <c r="C60" s="444" t="s">
        <v>162</v>
      </c>
      <c r="D60" s="445">
        <v>4427</v>
      </c>
      <c r="E60" s="446">
        <f>+BALANCE!H199/1000</f>
        <v>0</v>
      </c>
      <c r="F60" s="447" t="e">
        <f>+E60/E138</f>
        <v>#DIV/0!</v>
      </c>
    </row>
    <row r="61" spans="1:6" ht="15.75" customHeight="1" x14ac:dyDescent="0.2">
      <c r="A61" s="458" t="s">
        <v>591</v>
      </c>
      <c r="B61" s="739" t="s">
        <v>592</v>
      </c>
      <c r="C61" s="739"/>
      <c r="D61" s="739"/>
      <c r="E61" s="437">
        <f>+SUM(E62,E67,E77)</f>
        <v>0</v>
      </c>
      <c r="F61" s="438" t="e">
        <f>+E61/E139</f>
        <v>#DIV/0!</v>
      </c>
    </row>
    <row r="62" spans="1:6" ht="15" customHeight="1" x14ac:dyDescent="0.2">
      <c r="A62" s="443"/>
      <c r="B62" s="440">
        <v>5.0999999999999996</v>
      </c>
      <c r="C62" s="737" t="s">
        <v>593</v>
      </c>
      <c r="D62" s="737"/>
      <c r="E62" s="441">
        <f>+SUM(E63:E66)</f>
        <v>0</v>
      </c>
      <c r="F62" s="442" t="e">
        <f>+E62/E139</f>
        <v>#DIV/0!</v>
      </c>
    </row>
    <row r="63" spans="1:6" x14ac:dyDescent="0.2">
      <c r="A63" s="443"/>
      <c r="B63" s="443" t="s">
        <v>594</v>
      </c>
      <c r="C63" s="444" t="s">
        <v>348</v>
      </c>
      <c r="D63" s="445">
        <v>5211</v>
      </c>
      <c r="E63" s="446">
        <f>+BALANCE!D271/1000</f>
        <v>0</v>
      </c>
      <c r="F63" s="447" t="e">
        <f>+E63/E139</f>
        <v>#DIV/0!</v>
      </c>
    </row>
    <row r="64" spans="1:6" x14ac:dyDescent="0.2">
      <c r="A64" s="443"/>
      <c r="B64" s="443" t="s">
        <v>595</v>
      </c>
      <c r="C64" s="444" t="s">
        <v>349</v>
      </c>
      <c r="D64" s="445">
        <v>5212</v>
      </c>
      <c r="E64" s="446">
        <f>+BALANCE!D272/1000</f>
        <v>0</v>
      </c>
      <c r="F64" s="447" t="e">
        <f>+E64/E139</f>
        <v>#DIV/0!</v>
      </c>
    </row>
    <row r="65" spans="1:6" x14ac:dyDescent="0.2">
      <c r="A65" s="443"/>
      <c r="B65" s="443" t="s">
        <v>596</v>
      </c>
      <c r="C65" s="444" t="s">
        <v>597</v>
      </c>
      <c r="D65" s="445">
        <v>5213</v>
      </c>
      <c r="E65" s="446">
        <f>+BALANCE!D273/1000</f>
        <v>0</v>
      </c>
      <c r="F65" s="447" t="e">
        <f>+E65/E139</f>
        <v>#DIV/0!</v>
      </c>
    </row>
    <row r="66" spans="1:6" x14ac:dyDescent="0.2">
      <c r="A66" s="443"/>
      <c r="B66" s="443" t="s">
        <v>598</v>
      </c>
      <c r="C66" s="444" t="s">
        <v>351</v>
      </c>
      <c r="D66" s="445">
        <v>5214</v>
      </c>
      <c r="E66" s="446">
        <f>+BALANCE!D274/1000</f>
        <v>0</v>
      </c>
      <c r="F66" s="447" t="e">
        <f>+E66/E139</f>
        <v>#DIV/0!</v>
      </c>
    </row>
    <row r="67" spans="1:6" ht="15" customHeight="1" x14ac:dyDescent="0.2">
      <c r="A67" s="443"/>
      <c r="B67" s="440">
        <v>5.2</v>
      </c>
      <c r="C67" s="738" t="s">
        <v>599</v>
      </c>
      <c r="D67" s="738"/>
      <c r="E67" s="441">
        <f>+SUM(E68:E76)</f>
        <v>0</v>
      </c>
      <c r="F67" s="442" t="e">
        <f>+E67/E139</f>
        <v>#DIV/0!</v>
      </c>
    </row>
    <row r="68" spans="1:6" x14ac:dyDescent="0.2">
      <c r="A68" s="443"/>
      <c r="B68" s="443" t="s">
        <v>600</v>
      </c>
      <c r="C68" s="444" t="s">
        <v>353</v>
      </c>
      <c r="D68" s="445">
        <v>5221</v>
      </c>
      <c r="E68" s="446">
        <f>+BALANCE!D276/1000</f>
        <v>0</v>
      </c>
      <c r="F68" s="447" t="e">
        <f>+E68/E139</f>
        <v>#DIV/0!</v>
      </c>
    </row>
    <row r="69" spans="1:6" x14ac:dyDescent="0.2">
      <c r="A69" s="443"/>
      <c r="B69" s="443" t="s">
        <v>601</v>
      </c>
      <c r="C69" s="450" t="s">
        <v>354</v>
      </c>
      <c r="D69" s="445">
        <v>5222</v>
      </c>
      <c r="E69" s="446">
        <f>+BALANCE!D277/1000</f>
        <v>0</v>
      </c>
      <c r="F69" s="447" t="e">
        <f>+E69/E139</f>
        <v>#DIV/0!</v>
      </c>
    </row>
    <row r="70" spans="1:6" x14ac:dyDescent="0.2">
      <c r="A70" s="443"/>
      <c r="B70" s="443" t="s">
        <v>602</v>
      </c>
      <c r="C70" s="450" t="s">
        <v>355</v>
      </c>
      <c r="D70" s="445">
        <v>5223</v>
      </c>
      <c r="E70" s="446">
        <f>+BALANCE!D278/1000</f>
        <v>0</v>
      </c>
      <c r="F70" s="447" t="e">
        <f>+E70/E139</f>
        <v>#DIV/0!</v>
      </c>
    </row>
    <row r="71" spans="1:6" x14ac:dyDescent="0.2">
      <c r="A71" s="443"/>
      <c r="B71" s="443" t="s">
        <v>603</v>
      </c>
      <c r="C71" s="450" t="s">
        <v>356</v>
      </c>
      <c r="D71" s="445">
        <v>5224</v>
      </c>
      <c r="E71" s="446">
        <f>+BALANCE!D279/1000</f>
        <v>0</v>
      </c>
      <c r="F71" s="447" t="e">
        <f>+E71/E139</f>
        <v>#DIV/0!</v>
      </c>
    </row>
    <row r="72" spans="1:6" x14ac:dyDescent="0.2">
      <c r="A72" s="443"/>
      <c r="B72" s="443" t="s">
        <v>604</v>
      </c>
      <c r="C72" s="444" t="s">
        <v>357</v>
      </c>
      <c r="D72" s="445">
        <v>5225</v>
      </c>
      <c r="E72" s="446">
        <f>+BALANCE!D280/1000</f>
        <v>0</v>
      </c>
      <c r="F72" s="447" t="e">
        <f>+E72/E139</f>
        <v>#DIV/0!</v>
      </c>
    </row>
    <row r="73" spans="1:6" x14ac:dyDescent="0.2">
      <c r="A73" s="443"/>
      <c r="B73" s="443" t="s">
        <v>605</v>
      </c>
      <c r="C73" s="444" t="s">
        <v>358</v>
      </c>
      <c r="D73" s="445">
        <v>5226</v>
      </c>
      <c r="E73" s="446">
        <f>+BALANCE!D281/1000</f>
        <v>0</v>
      </c>
      <c r="F73" s="447" t="e">
        <f>+E73/E139</f>
        <v>#DIV/0!</v>
      </c>
    </row>
    <row r="74" spans="1:6" x14ac:dyDescent="0.2">
      <c r="A74" s="443"/>
      <c r="B74" s="443" t="s">
        <v>606</v>
      </c>
      <c r="C74" s="444" t="s">
        <v>607</v>
      </c>
      <c r="D74" s="445">
        <v>5227</v>
      </c>
      <c r="E74" s="446">
        <f>+BALANCE!D282/1000</f>
        <v>0</v>
      </c>
      <c r="F74" s="447" t="e">
        <f>+E74/E139</f>
        <v>#DIV/0!</v>
      </c>
    </row>
    <row r="75" spans="1:6" x14ac:dyDescent="0.2">
      <c r="A75" s="443"/>
      <c r="B75" s="443" t="s">
        <v>608</v>
      </c>
      <c r="C75" s="444" t="s">
        <v>360</v>
      </c>
      <c r="D75" s="445">
        <v>5228</v>
      </c>
      <c r="E75" s="446">
        <f>+BALANCE!D283/1000</f>
        <v>0</v>
      </c>
      <c r="F75" s="447" t="e">
        <f>+E75/E139</f>
        <v>#DIV/0!</v>
      </c>
    </row>
    <row r="76" spans="1:6" x14ac:dyDescent="0.2">
      <c r="A76" s="443"/>
      <c r="B76" s="443" t="s">
        <v>609</v>
      </c>
      <c r="C76" s="444" t="s">
        <v>128</v>
      </c>
      <c r="D76" s="445">
        <v>5229</v>
      </c>
      <c r="E76" s="446">
        <f>+BALANCE!D284/1000</f>
        <v>0</v>
      </c>
      <c r="F76" s="447" t="e">
        <f>+E76/E139</f>
        <v>#DIV/0!</v>
      </c>
    </row>
    <row r="77" spans="1:6" x14ac:dyDescent="0.2">
      <c r="A77" s="443"/>
      <c r="B77" s="440">
        <v>5.3</v>
      </c>
      <c r="C77" s="738" t="s">
        <v>610</v>
      </c>
      <c r="D77" s="738"/>
      <c r="E77" s="441">
        <f>+SUM(E78:E106)</f>
        <v>0</v>
      </c>
      <c r="F77" s="442" t="e">
        <f>+E77/E139</f>
        <v>#DIV/0!</v>
      </c>
    </row>
    <row r="78" spans="1:6" ht="25.5" x14ac:dyDescent="0.2">
      <c r="A78" s="443"/>
      <c r="B78" s="443" t="s">
        <v>611</v>
      </c>
      <c r="C78" s="444" t="s">
        <v>362</v>
      </c>
      <c r="D78" s="445">
        <v>5231</v>
      </c>
      <c r="E78" s="446">
        <f>+BALANCE!D286/1000</f>
        <v>0</v>
      </c>
      <c r="F78" s="447" t="e">
        <f>+E78/E139</f>
        <v>#DIV/0!</v>
      </c>
    </row>
    <row r="79" spans="1:6" ht="25.5" x14ac:dyDescent="0.2">
      <c r="A79" s="443"/>
      <c r="B79" s="443" t="s">
        <v>612</v>
      </c>
      <c r="C79" s="444" t="s">
        <v>613</v>
      </c>
      <c r="D79" s="445">
        <v>5232</v>
      </c>
      <c r="E79" s="446">
        <f>+BALANCE!D287/1000</f>
        <v>0</v>
      </c>
      <c r="F79" s="447" t="e">
        <f>+E79/E139</f>
        <v>#DIV/0!</v>
      </c>
    </row>
    <row r="80" spans="1:6" ht="25.5" x14ac:dyDescent="0.2">
      <c r="A80" s="443"/>
      <c r="B80" s="443" t="s">
        <v>614</v>
      </c>
      <c r="C80" s="444" t="s">
        <v>364</v>
      </c>
      <c r="D80" s="445">
        <v>5233</v>
      </c>
      <c r="E80" s="446">
        <f>+BALANCE!D288/1000</f>
        <v>0</v>
      </c>
      <c r="F80" s="447" t="e">
        <f>+E80/E139</f>
        <v>#DIV/0!</v>
      </c>
    </row>
    <row r="81" spans="1:6" ht="25.5" x14ac:dyDescent="0.2">
      <c r="A81" s="443"/>
      <c r="B81" s="443" t="s">
        <v>615</v>
      </c>
      <c r="C81" s="444" t="s">
        <v>365</v>
      </c>
      <c r="D81" s="445">
        <v>5234</v>
      </c>
      <c r="E81" s="446">
        <f>+BALANCE!D289/1000</f>
        <v>0</v>
      </c>
      <c r="F81" s="447" t="e">
        <f>+E81/E139</f>
        <v>#DIV/0!</v>
      </c>
    </row>
    <row r="82" spans="1:6" x14ac:dyDescent="0.2">
      <c r="A82" s="443"/>
      <c r="B82" s="443" t="s">
        <v>616</v>
      </c>
      <c r="C82" s="444" t="s">
        <v>366</v>
      </c>
      <c r="D82" s="445">
        <v>5235</v>
      </c>
      <c r="E82" s="446">
        <f>+BALANCE!D290/1000</f>
        <v>0</v>
      </c>
      <c r="F82" s="447" t="e">
        <f>+E82/E139</f>
        <v>#DIV/0!</v>
      </c>
    </row>
    <row r="83" spans="1:6" x14ac:dyDescent="0.2">
      <c r="A83" s="443"/>
      <c r="B83" s="443" t="s">
        <v>617</v>
      </c>
      <c r="C83" s="444" t="s">
        <v>367</v>
      </c>
      <c r="D83" s="445">
        <v>5236</v>
      </c>
      <c r="E83" s="446">
        <f>+BALANCE!D291/1000</f>
        <v>0</v>
      </c>
      <c r="F83" s="447" t="e">
        <f>+E83/E139</f>
        <v>#DIV/0!</v>
      </c>
    </row>
    <row r="84" spans="1:6" x14ac:dyDescent="0.2">
      <c r="A84" s="443"/>
      <c r="B84" s="443" t="s">
        <v>618</v>
      </c>
      <c r="C84" s="450" t="s">
        <v>368</v>
      </c>
      <c r="D84" s="445">
        <v>5237</v>
      </c>
      <c r="E84" s="446">
        <f>+BALANCE!D292/1000</f>
        <v>0</v>
      </c>
      <c r="F84" s="447" t="e">
        <f>+E84/E139</f>
        <v>#DIV/0!</v>
      </c>
    </row>
    <row r="85" spans="1:6" x14ac:dyDescent="0.2">
      <c r="A85" s="443"/>
      <c r="B85" s="443" t="s">
        <v>619</v>
      </c>
      <c r="C85" s="444" t="s">
        <v>369</v>
      </c>
      <c r="D85" s="445">
        <v>5238</v>
      </c>
      <c r="E85" s="446">
        <f>+BALANCE!D293/1000</f>
        <v>0</v>
      </c>
      <c r="F85" s="447" t="e">
        <f>+E85/E139</f>
        <v>#DIV/0!</v>
      </c>
    </row>
    <row r="86" spans="1:6" x14ac:dyDescent="0.2">
      <c r="A86" s="443"/>
      <c r="B86" s="443" t="s">
        <v>620</v>
      </c>
      <c r="C86" s="444" t="s">
        <v>370</v>
      </c>
      <c r="D86" s="445">
        <v>5239</v>
      </c>
      <c r="E86" s="446">
        <f>+BALANCE!D294/1000</f>
        <v>0</v>
      </c>
      <c r="F86" s="447" t="e">
        <f>+E86/E139</f>
        <v>#DIV/0!</v>
      </c>
    </row>
    <row r="87" spans="1:6" x14ac:dyDescent="0.2">
      <c r="A87" s="443"/>
      <c r="B87" s="443" t="s">
        <v>621</v>
      </c>
      <c r="C87" s="444" t="s">
        <v>622</v>
      </c>
      <c r="D87" s="445">
        <v>5240</v>
      </c>
      <c r="E87" s="446">
        <f>+BALANCE!D295/1000</f>
        <v>0</v>
      </c>
      <c r="F87" s="447" t="e">
        <f>+E87/E139</f>
        <v>#DIV/0!</v>
      </c>
    </row>
    <row r="88" spans="1:6" x14ac:dyDescent="0.2">
      <c r="A88" s="443"/>
      <c r="B88" s="443" t="s">
        <v>623</v>
      </c>
      <c r="C88" s="444" t="s">
        <v>624</v>
      </c>
      <c r="D88" s="445">
        <v>5241</v>
      </c>
      <c r="E88" s="446">
        <f>+BALANCE!D296/1000</f>
        <v>0</v>
      </c>
      <c r="F88" s="447" t="e">
        <f>+E88/E139</f>
        <v>#DIV/0!</v>
      </c>
    </row>
    <row r="89" spans="1:6" x14ac:dyDescent="0.2">
      <c r="A89" s="443"/>
      <c r="B89" s="443" t="s">
        <v>625</v>
      </c>
      <c r="C89" s="444" t="s">
        <v>626</v>
      </c>
      <c r="D89" s="445">
        <v>5242</v>
      </c>
      <c r="E89" s="446">
        <f>+BALANCE!D297/1000</f>
        <v>0</v>
      </c>
      <c r="F89" s="447" t="e">
        <f>+E89/E139</f>
        <v>#DIV/0!</v>
      </c>
    </row>
    <row r="90" spans="1:6" ht="25.5" x14ac:dyDescent="0.2">
      <c r="A90" s="443"/>
      <c r="B90" s="443" t="s">
        <v>627</v>
      </c>
      <c r="C90" s="444" t="s">
        <v>628</v>
      </c>
      <c r="D90" s="445">
        <v>5243</v>
      </c>
      <c r="E90" s="446">
        <f>+BALANCE!D298/1000</f>
        <v>0</v>
      </c>
      <c r="F90" s="447" t="e">
        <f>+E90/E139</f>
        <v>#DIV/0!</v>
      </c>
    </row>
    <row r="91" spans="1:6" x14ac:dyDescent="0.2">
      <c r="A91" s="443"/>
      <c r="B91" s="443" t="s">
        <v>629</v>
      </c>
      <c r="C91" s="444" t="s">
        <v>375</v>
      </c>
      <c r="D91" s="445">
        <v>5244</v>
      </c>
      <c r="E91" s="446">
        <f>+BALANCE!D299/1000</f>
        <v>0</v>
      </c>
      <c r="F91" s="447" t="e">
        <f>+E91/E139</f>
        <v>#DIV/0!</v>
      </c>
    </row>
    <row r="92" spans="1:6" x14ac:dyDescent="0.2">
      <c r="A92" s="443"/>
      <c r="B92" s="443" t="s">
        <v>630</v>
      </c>
      <c r="C92" s="444" t="s">
        <v>376</v>
      </c>
      <c r="D92" s="445">
        <v>5245</v>
      </c>
      <c r="E92" s="446">
        <f>+BALANCE!D300/1000</f>
        <v>0</v>
      </c>
      <c r="F92" s="447" t="e">
        <f>+E92/E139</f>
        <v>#DIV/0!</v>
      </c>
    </row>
    <row r="93" spans="1:6" x14ac:dyDescent="0.2">
      <c r="A93" s="443"/>
      <c r="B93" s="443" t="s">
        <v>631</v>
      </c>
      <c r="C93" s="444" t="s">
        <v>377</v>
      </c>
      <c r="D93" s="445">
        <v>5246</v>
      </c>
      <c r="E93" s="446">
        <f>+BALANCE!D301/1000</f>
        <v>0</v>
      </c>
      <c r="F93" s="447" t="e">
        <f>+E93/E139</f>
        <v>#DIV/0!</v>
      </c>
    </row>
    <row r="94" spans="1:6" x14ac:dyDescent="0.2">
      <c r="A94" s="443"/>
      <c r="B94" s="443" t="s">
        <v>632</v>
      </c>
      <c r="C94" s="444" t="s">
        <v>378</v>
      </c>
      <c r="D94" s="445">
        <v>5247</v>
      </c>
      <c r="E94" s="446">
        <f>+BALANCE!D302/1000</f>
        <v>0</v>
      </c>
      <c r="F94" s="447" t="e">
        <f>+E94/E139</f>
        <v>#DIV/0!</v>
      </c>
    </row>
    <row r="95" spans="1:6" x14ac:dyDescent="0.2">
      <c r="A95" s="443"/>
      <c r="B95" s="443" t="s">
        <v>633</v>
      </c>
      <c r="C95" s="450" t="s">
        <v>379</v>
      </c>
      <c r="D95" s="445">
        <v>5248</v>
      </c>
      <c r="E95" s="446">
        <f>+BALANCE!D303/1000</f>
        <v>0</v>
      </c>
      <c r="F95" s="447" t="e">
        <f>+E95/E139</f>
        <v>#DIV/0!</v>
      </c>
    </row>
    <row r="96" spans="1:6" x14ac:dyDescent="0.2">
      <c r="A96" s="443"/>
      <c r="B96" s="443" t="s">
        <v>634</v>
      </c>
      <c r="C96" s="444" t="s">
        <v>380</v>
      </c>
      <c r="D96" s="445">
        <v>5249</v>
      </c>
      <c r="E96" s="446">
        <f>+BALANCE!D304/1000</f>
        <v>0</v>
      </c>
      <c r="F96" s="447" t="e">
        <f>+E96/E139</f>
        <v>#DIV/0!</v>
      </c>
    </row>
    <row r="97" spans="1:6" x14ac:dyDescent="0.2">
      <c r="A97" s="443"/>
      <c r="B97" s="443" t="s">
        <v>635</v>
      </c>
      <c r="C97" s="444" t="s">
        <v>381</v>
      </c>
      <c r="D97" s="445">
        <v>5250</v>
      </c>
      <c r="E97" s="446">
        <f>+BALANCE!D305/1000</f>
        <v>0</v>
      </c>
      <c r="F97" s="447" t="e">
        <f>+E97/E139</f>
        <v>#DIV/0!</v>
      </c>
    </row>
    <row r="98" spans="1:6" x14ac:dyDescent="0.2">
      <c r="A98" s="443"/>
      <c r="B98" s="443" t="s">
        <v>636</v>
      </c>
      <c r="C98" s="444" t="s">
        <v>382</v>
      </c>
      <c r="D98" s="445">
        <v>5251</v>
      </c>
      <c r="E98" s="446">
        <f>+BALANCE!D306/1000</f>
        <v>0</v>
      </c>
      <c r="F98" s="447" t="e">
        <f>+E98/E139</f>
        <v>#DIV/0!</v>
      </c>
    </row>
    <row r="99" spans="1:6" x14ac:dyDescent="0.2">
      <c r="A99" s="443"/>
      <c r="B99" s="443" t="s">
        <v>637</v>
      </c>
      <c r="C99" s="444" t="s">
        <v>638</v>
      </c>
      <c r="D99" s="445">
        <v>5252</v>
      </c>
      <c r="E99" s="446">
        <f>+BALANCE!D307/1000</f>
        <v>0</v>
      </c>
      <c r="F99" s="447" t="e">
        <f>+E99/E139</f>
        <v>#DIV/0!</v>
      </c>
    </row>
    <row r="100" spans="1:6" x14ac:dyDescent="0.2">
      <c r="A100" s="443"/>
      <c r="B100" s="443" t="s">
        <v>639</v>
      </c>
      <c r="C100" s="444" t="s">
        <v>384</v>
      </c>
      <c r="D100" s="445">
        <v>5253</v>
      </c>
      <c r="E100" s="446">
        <f>+BALANCE!D308/1000</f>
        <v>0</v>
      </c>
      <c r="F100" s="447" t="e">
        <f>+E100/E139</f>
        <v>#DIV/0!</v>
      </c>
    </row>
    <row r="101" spans="1:6" x14ac:dyDescent="0.2">
      <c r="A101" s="443"/>
      <c r="B101" s="443" t="s">
        <v>640</v>
      </c>
      <c r="C101" s="444" t="s">
        <v>385</v>
      </c>
      <c r="D101" s="445">
        <v>5254</v>
      </c>
      <c r="E101" s="446">
        <f>+BALANCE!D309/1000</f>
        <v>0</v>
      </c>
      <c r="F101" s="447" t="e">
        <f>+E101/E139</f>
        <v>#DIV/0!</v>
      </c>
    </row>
    <row r="102" spans="1:6" x14ac:dyDescent="0.2">
      <c r="A102" s="443"/>
      <c r="B102" s="443" t="s">
        <v>641</v>
      </c>
      <c r="C102" s="444" t="s">
        <v>386</v>
      </c>
      <c r="D102" s="445">
        <v>5255</v>
      </c>
      <c r="E102" s="446">
        <f>+BALANCE!D310/1000</f>
        <v>0</v>
      </c>
      <c r="F102" s="447" t="e">
        <f>+E102/E139</f>
        <v>#DIV/0!</v>
      </c>
    </row>
    <row r="103" spans="1:6" x14ac:dyDescent="0.2">
      <c r="A103" s="443"/>
      <c r="B103" s="443" t="s">
        <v>642</v>
      </c>
      <c r="C103" s="444" t="s">
        <v>387</v>
      </c>
      <c r="D103" s="445">
        <v>5256</v>
      </c>
      <c r="E103" s="446">
        <f>+BALANCE!D311/1000</f>
        <v>0</v>
      </c>
      <c r="F103" s="447" t="e">
        <f>+E103/E139</f>
        <v>#DIV/0!</v>
      </c>
    </row>
    <row r="104" spans="1:6" x14ac:dyDescent="0.2">
      <c r="A104" s="443"/>
      <c r="B104" s="443" t="s">
        <v>643</v>
      </c>
      <c r="C104" s="444" t="s">
        <v>644</v>
      </c>
      <c r="D104" s="445">
        <v>5257</v>
      </c>
      <c r="E104" s="446">
        <f>+BALANCE!D312/1000</f>
        <v>0</v>
      </c>
      <c r="F104" s="447" t="e">
        <f>+E104/E139</f>
        <v>#DIV/0!</v>
      </c>
    </row>
    <row r="105" spans="1:6" x14ac:dyDescent="0.2">
      <c r="A105" s="443"/>
      <c r="B105" s="443" t="s">
        <v>645</v>
      </c>
      <c r="C105" s="450" t="s">
        <v>389</v>
      </c>
      <c r="D105" s="445">
        <v>5258</v>
      </c>
      <c r="E105" s="446">
        <f>+BALANCE!D313/1000</f>
        <v>0</v>
      </c>
      <c r="F105" s="447" t="e">
        <f>+E105/E139</f>
        <v>#DIV/0!</v>
      </c>
    </row>
    <row r="106" spans="1:6" x14ac:dyDescent="0.2">
      <c r="A106" s="443"/>
      <c r="B106" s="443" t="s">
        <v>646</v>
      </c>
      <c r="C106" s="234" t="s">
        <v>390</v>
      </c>
      <c r="D106" s="456">
        <v>5259</v>
      </c>
      <c r="E106" s="446">
        <f>+BALANCE!D314/1000</f>
        <v>0</v>
      </c>
      <c r="F106" s="447" t="e">
        <f>+E106/E139</f>
        <v>#DIV/0!</v>
      </c>
    </row>
    <row r="107" spans="1:6" ht="15.75" customHeight="1" x14ac:dyDescent="0.2">
      <c r="A107" s="458" t="s">
        <v>647</v>
      </c>
      <c r="B107" s="739" t="s">
        <v>648</v>
      </c>
      <c r="C107" s="739"/>
      <c r="D107" s="739"/>
      <c r="E107" s="437">
        <f>+E46-E61</f>
        <v>0</v>
      </c>
      <c r="F107" s="438"/>
    </row>
    <row r="108" spans="1:6" ht="25.5" customHeight="1" x14ac:dyDescent="0.2">
      <c r="A108" s="458" t="s">
        <v>649</v>
      </c>
      <c r="B108" s="740" t="s">
        <v>650</v>
      </c>
      <c r="C108" s="740"/>
      <c r="D108" s="740"/>
      <c r="E108" s="437">
        <f>+E45+E107</f>
        <v>0</v>
      </c>
      <c r="F108" s="438"/>
    </row>
    <row r="109" spans="1:6" ht="15.75" customHeight="1" x14ac:dyDescent="0.2">
      <c r="A109" s="458" t="s">
        <v>651</v>
      </c>
      <c r="B109" s="739" t="s">
        <v>652</v>
      </c>
      <c r="C109" s="739"/>
      <c r="D109" s="739"/>
      <c r="E109" s="437">
        <f>+SUM(E110:E115)</f>
        <v>0</v>
      </c>
      <c r="F109" s="438" t="e">
        <f>+E109/E139</f>
        <v>#DIV/0!</v>
      </c>
    </row>
    <row r="110" spans="1:6" x14ac:dyDescent="0.2">
      <c r="A110" s="443"/>
      <c r="B110" s="443">
        <v>8.1</v>
      </c>
      <c r="C110" s="234" t="s">
        <v>341</v>
      </c>
      <c r="D110" s="456">
        <v>5201</v>
      </c>
      <c r="E110" s="446">
        <f>+BALANCE!D264/1000</f>
        <v>0</v>
      </c>
      <c r="F110" s="447" t="e">
        <f>+E110/E139</f>
        <v>#DIV/0!</v>
      </c>
    </row>
    <row r="111" spans="1:6" x14ac:dyDescent="0.2">
      <c r="A111" s="443"/>
      <c r="B111" s="443">
        <v>8.1999999999999993</v>
      </c>
      <c r="C111" s="234" t="s">
        <v>342</v>
      </c>
      <c r="D111" s="456">
        <v>5202</v>
      </c>
      <c r="E111" s="446">
        <f>+BALANCE!D265/1000</f>
        <v>0</v>
      </c>
      <c r="F111" s="447" t="e">
        <f>+E111/E139</f>
        <v>#DIV/0!</v>
      </c>
    </row>
    <row r="112" spans="1:6" x14ac:dyDescent="0.2">
      <c r="A112" s="443"/>
      <c r="B112" s="443">
        <v>8.3000000000000007</v>
      </c>
      <c r="C112" s="234" t="s">
        <v>653</v>
      </c>
      <c r="D112" s="456">
        <v>5203</v>
      </c>
      <c r="E112" s="446">
        <f>+BALANCE!D266/1000</f>
        <v>0</v>
      </c>
      <c r="F112" s="447" t="e">
        <f>+E112/E139</f>
        <v>#DIV/0!</v>
      </c>
    </row>
    <row r="113" spans="1:6" x14ac:dyDescent="0.2">
      <c r="A113" s="443"/>
      <c r="B113" s="443">
        <v>8.4</v>
      </c>
      <c r="C113" s="234" t="s">
        <v>344</v>
      </c>
      <c r="D113" s="456">
        <v>5204</v>
      </c>
      <c r="E113" s="446">
        <f>+BALANCE!D267/1000</f>
        <v>0</v>
      </c>
      <c r="F113" s="447" t="e">
        <f>+E113/E139</f>
        <v>#DIV/0!</v>
      </c>
    </row>
    <row r="114" spans="1:6" x14ac:dyDescent="0.2">
      <c r="A114" s="443"/>
      <c r="B114" s="443">
        <v>8.5</v>
      </c>
      <c r="C114" s="234" t="s">
        <v>345</v>
      </c>
      <c r="D114" s="456">
        <v>5205</v>
      </c>
      <c r="E114" s="446">
        <f>+BALANCE!D268/1000</f>
        <v>0</v>
      </c>
      <c r="F114" s="447" t="e">
        <f>+E114/E139</f>
        <v>#DIV/0!</v>
      </c>
    </row>
    <row r="115" spans="1:6" x14ac:dyDescent="0.2">
      <c r="A115" s="443"/>
      <c r="B115" s="443">
        <v>8.6</v>
      </c>
      <c r="C115" s="234" t="s">
        <v>346</v>
      </c>
      <c r="D115" s="456">
        <v>5206</v>
      </c>
      <c r="E115" s="446">
        <f>+BALANCE!D269/1000</f>
        <v>0</v>
      </c>
      <c r="F115" s="447" t="e">
        <f>+E115/E139</f>
        <v>#DIV/0!</v>
      </c>
    </row>
    <row r="116" spans="1:6" ht="15.75" customHeight="1" x14ac:dyDescent="0.2">
      <c r="A116" s="458" t="s">
        <v>654</v>
      </c>
      <c r="B116" s="739" t="s">
        <v>655</v>
      </c>
      <c r="C116" s="739"/>
      <c r="D116" s="739"/>
      <c r="E116" s="437">
        <f>+E108-E109</f>
        <v>0</v>
      </c>
      <c r="F116" s="438"/>
    </row>
    <row r="117" spans="1:6" ht="15.75" customHeight="1" x14ac:dyDescent="0.2">
      <c r="A117" s="458" t="s">
        <v>656</v>
      </c>
      <c r="B117" s="739" t="s">
        <v>657</v>
      </c>
      <c r="C117" s="739"/>
      <c r="D117" s="739"/>
      <c r="E117" s="437">
        <f>+SUM(E118:E123)</f>
        <v>0</v>
      </c>
      <c r="F117" s="438" t="e">
        <f>+E117/E138</f>
        <v>#DIV/0!</v>
      </c>
    </row>
    <row r="118" spans="1:6" x14ac:dyDescent="0.2">
      <c r="A118" s="443"/>
      <c r="B118" s="443">
        <v>10.1</v>
      </c>
      <c r="C118" s="444" t="s">
        <v>287</v>
      </c>
      <c r="D118" s="445">
        <v>4501</v>
      </c>
      <c r="E118" s="446">
        <f>+BALANCE!H201/1000</f>
        <v>0</v>
      </c>
      <c r="F118" s="447" t="e">
        <f>+E118/E138</f>
        <v>#DIV/0!</v>
      </c>
    </row>
    <row r="119" spans="1:6" x14ac:dyDescent="0.2">
      <c r="A119" s="443"/>
      <c r="B119" s="443">
        <v>10.199999999999999</v>
      </c>
      <c r="C119" s="444" t="s">
        <v>289</v>
      </c>
      <c r="D119" s="445">
        <v>4502</v>
      </c>
      <c r="E119" s="446">
        <f>+BALANCE!H202/1000</f>
        <v>0</v>
      </c>
      <c r="F119" s="447" t="e">
        <f>+E119/E138</f>
        <v>#DIV/0!</v>
      </c>
    </row>
    <row r="120" spans="1:6" x14ac:dyDescent="0.2">
      <c r="A120" s="443"/>
      <c r="B120" s="443">
        <v>10.3</v>
      </c>
      <c r="C120" s="444" t="s">
        <v>291</v>
      </c>
      <c r="D120" s="445">
        <v>4503</v>
      </c>
      <c r="E120" s="446">
        <f>+BALANCE!H203/1000</f>
        <v>0</v>
      </c>
      <c r="F120" s="447" t="e">
        <f>+E120/E138</f>
        <v>#DIV/0!</v>
      </c>
    </row>
    <row r="121" spans="1:6" x14ac:dyDescent="0.2">
      <c r="A121" s="443"/>
      <c r="B121" s="443">
        <v>10.4</v>
      </c>
      <c r="C121" s="444" t="s">
        <v>293</v>
      </c>
      <c r="D121" s="445">
        <v>4504</v>
      </c>
      <c r="E121" s="446">
        <f>+BALANCE!H204/1000</f>
        <v>0</v>
      </c>
      <c r="F121" s="447" t="e">
        <f>+E121/E138</f>
        <v>#DIV/0!</v>
      </c>
    </row>
    <row r="122" spans="1:6" x14ac:dyDescent="0.2">
      <c r="A122" s="443"/>
      <c r="B122" s="443">
        <v>10.5</v>
      </c>
      <c r="C122" s="444" t="s">
        <v>295</v>
      </c>
      <c r="D122" s="445">
        <v>4505</v>
      </c>
      <c r="E122" s="446">
        <f>+BALANCE!H205/1000</f>
        <v>0</v>
      </c>
      <c r="F122" s="447" t="e">
        <f>+E122/E138</f>
        <v>#DIV/0!</v>
      </c>
    </row>
    <row r="123" spans="1:6" x14ac:dyDescent="0.2">
      <c r="A123" s="443"/>
      <c r="B123" s="443">
        <v>10.6</v>
      </c>
      <c r="C123" s="444" t="s">
        <v>162</v>
      </c>
      <c r="D123" s="445">
        <v>4506</v>
      </c>
      <c r="E123" s="446">
        <f>+BALANCE!H206/1000</f>
        <v>0</v>
      </c>
      <c r="F123" s="447" t="e">
        <f>+E123/E138</f>
        <v>#DIV/0!</v>
      </c>
    </row>
    <row r="124" spans="1:6" ht="15.75" customHeight="1" x14ac:dyDescent="0.2">
      <c r="A124" s="458" t="s">
        <v>658</v>
      </c>
      <c r="B124" s="739" t="s">
        <v>659</v>
      </c>
      <c r="C124" s="739"/>
      <c r="D124" s="739"/>
      <c r="E124" s="437">
        <f>+SUM(E125:E130)</f>
        <v>0</v>
      </c>
      <c r="F124" s="438" t="e">
        <f>+E124/E139</f>
        <v>#DIV/0!</v>
      </c>
    </row>
    <row r="125" spans="1:6" x14ac:dyDescent="0.2">
      <c r="A125" s="443"/>
      <c r="B125" s="443">
        <v>11.1</v>
      </c>
      <c r="C125" s="444" t="s">
        <v>392</v>
      </c>
      <c r="D125" s="445">
        <v>5301</v>
      </c>
      <c r="E125" s="446">
        <f>+BALANCE!D316/1000</f>
        <v>0</v>
      </c>
      <c r="F125" s="447" t="e">
        <f>+E125/E139</f>
        <v>#DIV/0!</v>
      </c>
    </row>
    <row r="126" spans="1:6" x14ac:dyDescent="0.2">
      <c r="A126" s="443"/>
      <c r="B126" s="443">
        <v>11.2</v>
      </c>
      <c r="C126" s="444" t="s">
        <v>393</v>
      </c>
      <c r="D126" s="445">
        <v>5302</v>
      </c>
      <c r="E126" s="446">
        <f>+BALANCE!D317/1000</f>
        <v>0</v>
      </c>
      <c r="F126" s="447" t="e">
        <f>+E126/E139</f>
        <v>#DIV/0!</v>
      </c>
    </row>
    <row r="127" spans="1:6" x14ac:dyDescent="0.2">
      <c r="A127" s="443"/>
      <c r="B127" s="443">
        <v>11.3</v>
      </c>
      <c r="C127" s="444" t="s">
        <v>394</v>
      </c>
      <c r="D127" s="445">
        <v>5303</v>
      </c>
      <c r="E127" s="446">
        <f>+BALANCE!D318/1000</f>
        <v>0</v>
      </c>
      <c r="F127" s="447" t="e">
        <f>+E127/E139</f>
        <v>#DIV/0!</v>
      </c>
    </row>
    <row r="128" spans="1:6" x14ac:dyDescent="0.2">
      <c r="A128" s="443"/>
      <c r="B128" s="443">
        <v>11.4</v>
      </c>
      <c r="C128" s="444" t="s">
        <v>293</v>
      </c>
      <c r="D128" s="445">
        <v>5304</v>
      </c>
      <c r="E128" s="446">
        <f>+BALANCE!D319/1000</f>
        <v>0</v>
      </c>
      <c r="F128" s="447" t="e">
        <f>+E128/E139</f>
        <v>#DIV/0!</v>
      </c>
    </row>
    <row r="129" spans="1:6" x14ac:dyDescent="0.2">
      <c r="A129" s="443"/>
      <c r="B129" s="443">
        <v>11.5</v>
      </c>
      <c r="C129" s="444" t="s">
        <v>395</v>
      </c>
      <c r="D129" s="445">
        <v>5305</v>
      </c>
      <c r="E129" s="446">
        <f>+BALANCE!D320/1000</f>
        <v>0</v>
      </c>
      <c r="F129" s="447" t="e">
        <f>+E129/E139</f>
        <v>#DIV/0!</v>
      </c>
    </row>
    <row r="130" spans="1:6" x14ac:dyDescent="0.2">
      <c r="A130" s="443"/>
      <c r="B130" s="443">
        <v>11.6</v>
      </c>
      <c r="C130" s="444" t="s">
        <v>396</v>
      </c>
      <c r="D130" s="445">
        <v>5306</v>
      </c>
      <c r="E130" s="446">
        <f>+BALANCE!D321/1000</f>
        <v>0</v>
      </c>
      <c r="F130" s="447" t="e">
        <f>+E130/E139</f>
        <v>#DIV/0!</v>
      </c>
    </row>
    <row r="131" spans="1:6" ht="15.75" customHeight="1" x14ac:dyDescent="0.2">
      <c r="A131" s="458" t="s">
        <v>660</v>
      </c>
      <c r="B131" s="739" t="s">
        <v>661</v>
      </c>
      <c r="C131" s="739"/>
      <c r="D131" s="739"/>
      <c r="E131" s="437">
        <f>+E116+E117-E124</f>
        <v>0</v>
      </c>
      <c r="F131" s="438"/>
    </row>
    <row r="132" spans="1:6" x14ac:dyDescent="0.2">
      <c r="A132" s="439"/>
      <c r="B132" s="443">
        <v>13.1</v>
      </c>
      <c r="C132" s="37" t="s">
        <v>297</v>
      </c>
      <c r="D132" s="457">
        <v>4601</v>
      </c>
      <c r="E132" s="446">
        <f>+BALANCE!H207/1000</f>
        <v>0</v>
      </c>
      <c r="F132" s="447" t="e">
        <f>+E132/E138</f>
        <v>#DIV/0!</v>
      </c>
    </row>
    <row r="133" spans="1:6" x14ac:dyDescent="0.2">
      <c r="A133" s="439"/>
      <c r="B133" s="443">
        <v>14.1</v>
      </c>
      <c r="C133" s="37" t="s">
        <v>397</v>
      </c>
      <c r="D133" s="443">
        <v>5601</v>
      </c>
      <c r="E133" s="446">
        <f>+BALANCE!D322/1000</f>
        <v>0</v>
      </c>
      <c r="F133" s="447" t="e">
        <f>+E133/E139</f>
        <v>#DIV/0!</v>
      </c>
    </row>
    <row r="134" spans="1:6" ht="15.75" customHeight="1" x14ac:dyDescent="0.2">
      <c r="A134" s="458" t="s">
        <v>662</v>
      </c>
      <c r="B134" s="733" t="s">
        <v>663</v>
      </c>
      <c r="C134" s="733"/>
      <c r="D134" s="733"/>
      <c r="E134" s="437">
        <f>+E131+E132-E133</f>
        <v>0</v>
      </c>
      <c r="F134" s="438"/>
    </row>
    <row r="135" spans="1:6" x14ac:dyDescent="0.2">
      <c r="A135" s="459"/>
      <c r="B135" s="736" t="s">
        <v>399</v>
      </c>
      <c r="C135" s="736"/>
      <c r="D135" s="460">
        <v>5701</v>
      </c>
      <c r="E135" s="461">
        <f>+BALANCE!D325/1000</f>
        <v>0</v>
      </c>
      <c r="F135" s="447" t="e">
        <f>+E135/E139</f>
        <v>#DIV/0!</v>
      </c>
    </row>
    <row r="136" spans="1:6" ht="15.75" customHeight="1" x14ac:dyDescent="0.2">
      <c r="A136" s="458" t="s">
        <v>664</v>
      </c>
      <c r="B136" s="733" t="s">
        <v>665</v>
      </c>
      <c r="C136" s="733"/>
      <c r="D136" s="733"/>
      <c r="E136" s="437">
        <f>+E134-E135</f>
        <v>0</v>
      </c>
      <c r="F136" s="438"/>
    </row>
    <row r="138" spans="1:6" ht="15.75" customHeight="1" x14ac:dyDescent="0.2">
      <c r="C138" s="734" t="s">
        <v>666</v>
      </c>
      <c r="D138" s="734"/>
      <c r="E138" s="462">
        <f>+E8+E46+E117+E132</f>
        <v>0</v>
      </c>
      <c r="F138" s="463">
        <v>1</v>
      </c>
    </row>
    <row r="139" spans="1:6" ht="15.75" customHeight="1" x14ac:dyDescent="0.2">
      <c r="C139" s="734" t="s">
        <v>667</v>
      </c>
      <c r="D139" s="734"/>
      <c r="E139" s="462">
        <f>+E39+E61+E109+E124++E133+E135</f>
        <v>0</v>
      </c>
      <c r="F139" s="463">
        <v>1</v>
      </c>
    </row>
    <row r="140" spans="1:6" ht="15.75" customHeight="1" x14ac:dyDescent="0.2">
      <c r="C140" s="735" t="s">
        <v>668</v>
      </c>
      <c r="D140" s="735"/>
      <c r="E140" s="462">
        <f>E138-E139</f>
        <v>0</v>
      </c>
      <c r="F140" s="463">
        <v>1</v>
      </c>
    </row>
    <row r="143" spans="1:6" x14ac:dyDescent="0.2">
      <c r="A143" s="715" t="s">
        <v>36</v>
      </c>
      <c r="B143" s="716"/>
      <c r="C143" s="464"/>
      <c r="D143" s="464"/>
      <c r="E143" s="14"/>
    </row>
    <row r="144" spans="1:6" x14ac:dyDescent="0.2">
      <c r="A144" s="65"/>
      <c r="B144" s="66"/>
      <c r="C144" s="464"/>
      <c r="D144" s="464"/>
      <c r="E144" s="14"/>
    </row>
    <row r="145" spans="1:6" x14ac:dyDescent="0.2">
      <c r="A145" s="15"/>
      <c r="B145" s="16"/>
      <c r="C145" s="464"/>
      <c r="D145" s="464"/>
      <c r="E145" s="14"/>
    </row>
    <row r="146" spans="1:6" x14ac:dyDescent="0.2">
      <c r="A146" s="15"/>
      <c r="B146" s="67" t="s">
        <v>437</v>
      </c>
      <c r="C146" s="67"/>
      <c r="D146" s="67"/>
      <c r="E146" s="14"/>
    </row>
    <row r="147" spans="1:6" x14ac:dyDescent="0.2">
      <c r="A147" s="15"/>
      <c r="B147" s="16"/>
      <c r="C147" s="464"/>
      <c r="D147" s="464"/>
      <c r="E147" s="14"/>
    </row>
    <row r="148" spans="1:6" x14ac:dyDescent="0.2">
      <c r="A148" s="15"/>
      <c r="B148" s="16"/>
      <c r="C148" s="667" t="str">
        <f>+BALANCE!D361</f>
        <v>ГҮЙЦЭТГЭХ ЗАХИРАЛ.................................................................//</v>
      </c>
      <c r="D148" s="667"/>
      <c r="E148" s="667"/>
      <c r="F148" s="667"/>
    </row>
    <row r="149" spans="1:6" x14ac:dyDescent="0.2">
      <c r="A149" s="15"/>
      <c r="B149" s="16"/>
      <c r="C149" s="466"/>
      <c r="D149" s="466"/>
      <c r="E149" s="466"/>
      <c r="F149" s="466"/>
    </row>
    <row r="150" spans="1:6" x14ac:dyDescent="0.2">
      <c r="A150" s="15"/>
      <c r="B150" s="16"/>
      <c r="C150" s="667" t="str">
        <f>+BALANCE!D363</f>
        <v>ЕРӨНХИЙ НЯГТЛАН БОДОГЧ....................................................//</v>
      </c>
      <c r="D150" s="667"/>
      <c r="E150" s="667"/>
      <c r="F150" s="667"/>
    </row>
    <row r="151" spans="1:6" x14ac:dyDescent="0.2">
      <c r="A151" s="15"/>
      <c r="B151" s="16"/>
      <c r="C151" s="466"/>
      <c r="D151" s="466"/>
      <c r="E151" s="466"/>
      <c r="F151" s="466"/>
    </row>
    <row r="152" spans="1:6" x14ac:dyDescent="0.2">
      <c r="A152" s="15"/>
      <c r="B152" s="16"/>
      <c r="C152" s="667">
        <f>+BALANCE!D365</f>
        <v>0</v>
      </c>
      <c r="D152" s="667"/>
      <c r="E152" s="667"/>
      <c r="F152" s="667"/>
    </row>
  </sheetData>
  <sheetProtection password="CA9F" sheet="1"/>
  <mergeCells count="41">
    <mergeCell ref="A6:C7"/>
    <mergeCell ref="D6:D7"/>
    <mergeCell ref="E6:E7"/>
    <mergeCell ref="F6:F7"/>
    <mergeCell ref="A2:F2"/>
    <mergeCell ref="A3:F3"/>
    <mergeCell ref="A4:F4"/>
    <mergeCell ref="A5:C5"/>
    <mergeCell ref="D5:F5"/>
    <mergeCell ref="B61:D61"/>
    <mergeCell ref="B8:D8"/>
    <mergeCell ref="C9:D9"/>
    <mergeCell ref="C17:D17"/>
    <mergeCell ref="C25:D25"/>
    <mergeCell ref="C31:D31"/>
    <mergeCell ref="B39:D39"/>
    <mergeCell ref="B45:D45"/>
    <mergeCell ref="B46:D46"/>
    <mergeCell ref="C47:D47"/>
    <mergeCell ref="C50:D50"/>
    <mergeCell ref="C53:D53"/>
    <mergeCell ref="B135:C135"/>
    <mergeCell ref="C62:D62"/>
    <mergeCell ref="C67:D67"/>
    <mergeCell ref="C77:D77"/>
    <mergeCell ref="B107:D107"/>
    <mergeCell ref="B108:D108"/>
    <mergeCell ref="B109:D109"/>
    <mergeCell ref="B116:D116"/>
    <mergeCell ref="B117:D117"/>
    <mergeCell ref="B124:D124"/>
    <mergeCell ref="B131:D131"/>
    <mergeCell ref="B134:D134"/>
    <mergeCell ref="C148:F148"/>
    <mergeCell ref="C150:F150"/>
    <mergeCell ref="C152:F152"/>
    <mergeCell ref="B136:D136"/>
    <mergeCell ref="C138:D138"/>
    <mergeCell ref="C139:D139"/>
    <mergeCell ref="C140:D140"/>
    <mergeCell ref="A143:B143"/>
  </mergeCells>
  <pageMargins left="0.78740157480314965" right="0.78740157480314965" top="1.1811023622047243" bottom="0.59055118110236215" header="0.78740157480314965" footer="0.78740157480314965"/>
  <pageSetup paperSize="9" scale="82"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pageSetUpPr fitToPage="1"/>
  </sheetPr>
  <dimension ref="A2:F68"/>
  <sheetViews>
    <sheetView workbookViewId="0"/>
  </sheetViews>
  <sheetFormatPr defaultRowHeight="12.75" x14ac:dyDescent="0.2"/>
  <cols>
    <col min="1" max="1" width="3.28515625" style="3" bestFit="1" customWidth="1"/>
    <col min="2" max="2" width="55.28515625" style="3" customWidth="1"/>
    <col min="3" max="3" width="12.140625" style="3" customWidth="1"/>
    <col min="4" max="4" width="23.28515625" style="123" customWidth="1"/>
    <col min="5" max="5" width="16.140625" style="123" customWidth="1"/>
    <col min="6" max="6" width="14.140625" style="3" customWidth="1"/>
    <col min="7" max="16384" width="9.140625" style="3"/>
  </cols>
  <sheetData>
    <row r="2" spans="1:5" x14ac:dyDescent="0.2">
      <c r="A2" s="826" t="s">
        <v>669</v>
      </c>
      <c r="B2" s="826"/>
      <c r="C2" s="826"/>
      <c r="D2" s="826"/>
      <c r="E2" s="826"/>
    </row>
    <row r="3" spans="1:5" x14ac:dyDescent="0.2">
      <c r="A3" s="827" t="str">
        <f>+BALANCE!A3</f>
        <v>БАНК БУС САНХҮҮГИЙН БАЙГУУЛЛАГЫН НЭР</v>
      </c>
      <c r="B3" s="827"/>
      <c r="C3" s="827"/>
      <c r="D3" s="827"/>
      <c r="E3" s="827"/>
    </row>
    <row r="4" spans="1:5" ht="15" customHeight="1" x14ac:dyDescent="0.2">
      <c r="A4" s="828" t="str">
        <f>+BALANCE!A4</f>
        <v>БАНК БУС САНХҮҮГИЙН БАЙГУУЛЛАГА</v>
      </c>
      <c r="B4" s="828"/>
      <c r="C4" s="828"/>
      <c r="D4" s="828"/>
      <c r="E4" s="828"/>
    </row>
    <row r="5" spans="1:5" ht="15" customHeight="1" x14ac:dyDescent="0.2">
      <c r="A5" s="68"/>
      <c r="B5" s="68"/>
      <c r="C5" s="68"/>
      <c r="D5" s="68"/>
      <c r="E5" s="68"/>
    </row>
    <row r="6" spans="1:5" ht="13.5" thickBot="1" x14ac:dyDescent="0.25">
      <c r="A6" s="829">
        <f>+BALANCE!A6</f>
        <v>44834</v>
      </c>
      <c r="B6" s="830"/>
      <c r="C6" s="69"/>
      <c r="D6" s="130"/>
      <c r="E6" s="131" t="s">
        <v>439</v>
      </c>
    </row>
    <row r="7" spans="1:5" ht="13.5" thickTop="1" x14ac:dyDescent="0.2">
      <c r="A7" s="70"/>
      <c r="B7" s="831" t="s">
        <v>529</v>
      </c>
      <c r="C7" s="832"/>
      <c r="D7" s="833" t="s">
        <v>670</v>
      </c>
      <c r="E7" s="834"/>
    </row>
    <row r="8" spans="1:5" x14ac:dyDescent="0.2">
      <c r="A8" s="71" t="s">
        <v>671</v>
      </c>
      <c r="B8" s="815" t="s">
        <v>672</v>
      </c>
      <c r="C8" s="816"/>
      <c r="D8" s="817">
        <f>+SUM(D9,D19)-D17</f>
        <v>0</v>
      </c>
      <c r="E8" s="818"/>
    </row>
    <row r="9" spans="1:5" x14ac:dyDescent="0.2">
      <c r="A9" s="819" t="s">
        <v>673</v>
      </c>
      <c r="B9" s="820"/>
      <c r="C9" s="820"/>
      <c r="D9" s="821">
        <f>+SUM(D10,-D11,D12:E16)</f>
        <v>0</v>
      </c>
      <c r="E9" s="822"/>
    </row>
    <row r="10" spans="1:5" x14ac:dyDescent="0.2">
      <c r="A10" s="72">
        <v>1</v>
      </c>
      <c r="B10" s="784" t="s">
        <v>674</v>
      </c>
      <c r="C10" s="823"/>
      <c r="D10" s="824">
        <f>+BALANCESHEET!G84</f>
        <v>0</v>
      </c>
      <c r="E10" s="825"/>
    </row>
    <row r="11" spans="1:5" x14ac:dyDescent="0.2">
      <c r="A11" s="73">
        <v>2</v>
      </c>
      <c r="B11" s="786" t="s">
        <v>200</v>
      </c>
      <c r="C11" s="789"/>
      <c r="D11" s="805">
        <f>+BALANCESHEET!G86</f>
        <v>0</v>
      </c>
      <c r="E11" s="813"/>
    </row>
    <row r="12" spans="1:5" x14ac:dyDescent="0.2">
      <c r="A12" s="74">
        <v>3</v>
      </c>
      <c r="B12" s="788" t="s">
        <v>675</v>
      </c>
      <c r="C12" s="814"/>
      <c r="D12" s="805">
        <f>+BALANCESHEET!G88</f>
        <v>0</v>
      </c>
      <c r="E12" s="806"/>
    </row>
    <row r="13" spans="1:5" x14ac:dyDescent="0.2">
      <c r="A13" s="74">
        <v>4</v>
      </c>
      <c r="B13" s="788" t="s">
        <v>207</v>
      </c>
      <c r="C13" s="789"/>
      <c r="D13" s="805">
        <f>+BALANCESHEET!G90</f>
        <v>0</v>
      </c>
      <c r="E13" s="806"/>
    </row>
    <row r="14" spans="1:5" x14ac:dyDescent="0.2">
      <c r="A14" s="74">
        <v>5</v>
      </c>
      <c r="B14" s="788" t="s">
        <v>676</v>
      </c>
      <c r="C14" s="804"/>
      <c r="D14" s="805">
        <f>+BALANCESHEET!G92</f>
        <v>0</v>
      </c>
      <c r="E14" s="806"/>
    </row>
    <row r="15" spans="1:5" x14ac:dyDescent="0.2">
      <c r="A15" s="74">
        <v>6</v>
      </c>
      <c r="B15" s="807" t="s">
        <v>515</v>
      </c>
      <c r="C15" s="808"/>
      <c r="D15" s="805">
        <f>+BALANCESHEET!G95</f>
        <v>0</v>
      </c>
      <c r="E15" s="806"/>
    </row>
    <row r="16" spans="1:5" x14ac:dyDescent="0.2">
      <c r="A16" s="75">
        <v>7</v>
      </c>
      <c r="B16" s="809" t="s">
        <v>516</v>
      </c>
      <c r="C16" s="810"/>
      <c r="D16" s="811">
        <f>+BALANCESHEET!G96</f>
        <v>0</v>
      </c>
      <c r="E16" s="812"/>
    </row>
    <row r="17" spans="1:6" x14ac:dyDescent="0.2">
      <c r="A17" s="74">
        <v>8</v>
      </c>
      <c r="B17" s="790" t="s">
        <v>677</v>
      </c>
      <c r="C17" s="791"/>
      <c r="D17" s="792"/>
      <c r="E17" s="793"/>
    </row>
    <row r="18" spans="1:6" ht="15" customHeight="1" x14ac:dyDescent="0.2">
      <c r="A18" s="794" t="s">
        <v>678</v>
      </c>
      <c r="B18" s="795"/>
      <c r="C18" s="796"/>
      <c r="D18" s="797">
        <f>+SUM(D9+D17)</f>
        <v>0</v>
      </c>
      <c r="E18" s="798"/>
    </row>
    <row r="19" spans="1:6" x14ac:dyDescent="0.2">
      <c r="A19" s="799" t="s">
        <v>679</v>
      </c>
      <c r="B19" s="800"/>
      <c r="C19" s="801"/>
      <c r="D19" s="802">
        <f>+SUM(D20:E23)</f>
        <v>0</v>
      </c>
      <c r="E19" s="803"/>
    </row>
    <row r="20" spans="1:6" x14ac:dyDescent="0.2">
      <c r="A20" s="73">
        <v>9</v>
      </c>
      <c r="B20" s="784" t="s">
        <v>198</v>
      </c>
      <c r="C20" s="785"/>
      <c r="D20" s="762">
        <f>+BALANCESHEET!G85</f>
        <v>0</v>
      </c>
      <c r="E20" s="763"/>
    </row>
    <row r="21" spans="1:6" x14ac:dyDescent="0.2">
      <c r="A21" s="73">
        <v>10</v>
      </c>
      <c r="B21" s="786" t="s">
        <v>206</v>
      </c>
      <c r="C21" s="787"/>
      <c r="D21" s="762">
        <f>+BALANCESHEET!G89</f>
        <v>0</v>
      </c>
      <c r="E21" s="763"/>
    </row>
    <row r="22" spans="1:6" x14ac:dyDescent="0.2">
      <c r="A22" s="73">
        <v>11</v>
      </c>
      <c r="B22" s="788" t="s">
        <v>211</v>
      </c>
      <c r="C22" s="789"/>
      <c r="D22" s="762">
        <f>+BALANCESHEET!G93</f>
        <v>0</v>
      </c>
      <c r="E22" s="763"/>
    </row>
    <row r="23" spans="1:6" x14ac:dyDescent="0.2">
      <c r="A23" s="77">
        <v>12</v>
      </c>
      <c r="B23" s="760" t="s">
        <v>680</v>
      </c>
      <c r="C23" s="761"/>
      <c r="D23" s="762">
        <f>+BALANCESHEET!G97</f>
        <v>0</v>
      </c>
      <c r="E23" s="763"/>
    </row>
    <row r="24" spans="1:6" ht="15" customHeight="1" x14ac:dyDescent="0.2">
      <c r="A24" s="764" t="s">
        <v>681</v>
      </c>
      <c r="B24" s="766" t="s">
        <v>682</v>
      </c>
      <c r="C24" s="768" t="s">
        <v>683</v>
      </c>
      <c r="D24" s="770" t="s">
        <v>684</v>
      </c>
      <c r="E24" s="132">
        <f>+SUM(E26,E44,D17,E46,E47)</f>
        <v>0</v>
      </c>
    </row>
    <row r="25" spans="1:6" ht="25.5" x14ac:dyDescent="0.2">
      <c r="A25" s="765"/>
      <c r="B25" s="767"/>
      <c r="C25" s="769"/>
      <c r="D25" s="771"/>
      <c r="E25" s="133" t="s">
        <v>685</v>
      </c>
    </row>
    <row r="26" spans="1:6" ht="13.5" customHeight="1" x14ac:dyDescent="0.2">
      <c r="A26" s="772" t="s">
        <v>686</v>
      </c>
      <c r="B26" s="773"/>
      <c r="C26" s="774"/>
      <c r="D26" s="134">
        <f>+SUM(D27:D43)</f>
        <v>0</v>
      </c>
      <c r="E26" s="135">
        <f>+SUM(E27:E43)</f>
        <v>0</v>
      </c>
    </row>
    <row r="27" spans="1:6" x14ac:dyDescent="0.2">
      <c r="A27" s="74">
        <v>1</v>
      </c>
      <c r="B27" s="76" t="s">
        <v>687</v>
      </c>
      <c r="C27" s="78">
        <v>0</v>
      </c>
      <c r="D27" s="136">
        <f>+SUM(BALANCE!D12,BALANCE!D13)/1000</f>
        <v>0</v>
      </c>
      <c r="E27" s="137">
        <f t="shared" ref="E27:E43" si="0">+C27*D27</f>
        <v>0</v>
      </c>
    </row>
    <row r="28" spans="1:6" x14ac:dyDescent="0.2">
      <c r="A28" s="74">
        <v>2</v>
      </c>
      <c r="B28" s="76" t="s">
        <v>688</v>
      </c>
      <c r="C28" s="78">
        <v>0.2</v>
      </c>
      <c r="D28" s="138">
        <f>+SUM(BALANCE!D14,BALANCE!D15)/1000</f>
        <v>0</v>
      </c>
      <c r="E28" s="139">
        <f t="shared" si="0"/>
        <v>0</v>
      </c>
    </row>
    <row r="29" spans="1:6" x14ac:dyDescent="0.2">
      <c r="A29" s="74">
        <v>3</v>
      </c>
      <c r="B29" s="76" t="s">
        <v>689</v>
      </c>
      <c r="C29" s="78">
        <v>0</v>
      </c>
      <c r="D29" s="138">
        <f>+SUM(BALANCE!D16,BALANCE!D17)/1000</f>
        <v>0</v>
      </c>
      <c r="E29" s="139">
        <f t="shared" si="0"/>
        <v>0</v>
      </c>
    </row>
    <row r="30" spans="1:6" x14ac:dyDescent="0.2">
      <c r="A30" s="74">
        <v>4</v>
      </c>
      <c r="B30" s="76" t="s">
        <v>690</v>
      </c>
      <c r="C30" s="78">
        <v>0.2</v>
      </c>
      <c r="D30" s="138">
        <f>+SUM(BALANCE!D18,BALANCE!D23)/1000</f>
        <v>0</v>
      </c>
      <c r="E30" s="139">
        <f t="shared" si="0"/>
        <v>0</v>
      </c>
    </row>
    <row r="31" spans="1:6" x14ac:dyDescent="0.2">
      <c r="A31" s="74">
        <v>5</v>
      </c>
      <c r="B31" s="76" t="s">
        <v>691</v>
      </c>
      <c r="C31" s="78">
        <v>0.2</v>
      </c>
      <c r="D31" s="138">
        <f>+IF(ROUND(SUM(F31:F34),1)&gt;ROUND(SUM(BALANCE!D28,BALANCE!D31)/1000,1),"БУРУУ ӨГӨГДӨЛ",ROUND(F31,1))</f>
        <v>0</v>
      </c>
      <c r="E31" s="139">
        <f t="shared" si="0"/>
        <v>0</v>
      </c>
      <c r="F31" s="79"/>
    </row>
    <row r="32" spans="1:6" x14ac:dyDescent="0.2">
      <c r="A32" s="74">
        <v>6</v>
      </c>
      <c r="B32" s="76" t="s">
        <v>691</v>
      </c>
      <c r="C32" s="78">
        <v>0.5</v>
      </c>
      <c r="D32" s="138">
        <f>+IF(ROUND(SUM(F31:F34),1)&gt;ROUND(SUM(BALANCE!D28,BALANCE!D31)/1000,1),"БУРУУ ӨГӨГДӨЛ",ROUND(F32,1))</f>
        <v>0</v>
      </c>
      <c r="E32" s="139">
        <f t="shared" si="0"/>
        <v>0</v>
      </c>
      <c r="F32" s="79"/>
    </row>
    <row r="33" spans="1:6" x14ac:dyDescent="0.2">
      <c r="A33" s="74">
        <v>7</v>
      </c>
      <c r="B33" s="76" t="s">
        <v>691</v>
      </c>
      <c r="C33" s="78">
        <v>1</v>
      </c>
      <c r="D33" s="138">
        <f>+IF(ROUND(SUM(F31:F34),1)&gt;ROUND(SUM(BALANCE!D28,BALANCE!D31)/1000,1),"БУРУУ ӨГӨГДӨЛ",ROUND(F33,1))</f>
        <v>0</v>
      </c>
      <c r="E33" s="139">
        <f t="shared" si="0"/>
        <v>0</v>
      </c>
      <c r="F33" s="79"/>
    </row>
    <row r="34" spans="1:6" x14ac:dyDescent="0.2">
      <c r="A34" s="74">
        <v>8</v>
      </c>
      <c r="B34" s="76" t="s">
        <v>691</v>
      </c>
      <c r="C34" s="78">
        <v>1.5</v>
      </c>
      <c r="D34" s="138">
        <f>+IF(ROUND(SUM(F31:F34),1)&gt;ROUND(SUM(BALANCE!D28,BALANCE!D31)/1000,1),"БУРУУ ӨГӨГДӨЛ",ROUND(F34,1))</f>
        <v>0</v>
      </c>
      <c r="E34" s="139">
        <f t="shared" si="0"/>
        <v>0</v>
      </c>
      <c r="F34" s="80"/>
    </row>
    <row r="35" spans="1:6" x14ac:dyDescent="0.2">
      <c r="A35" s="74">
        <v>9</v>
      </c>
      <c r="B35" s="76" t="s">
        <v>692</v>
      </c>
      <c r="C35" s="78">
        <v>0</v>
      </c>
      <c r="D35" s="138">
        <f>+SUM(BALANCESHEET!C18,BALANCESHEET!C24)</f>
        <v>0</v>
      </c>
      <c r="E35" s="139">
        <f t="shared" si="0"/>
        <v>0</v>
      </c>
    </row>
    <row r="36" spans="1:6" x14ac:dyDescent="0.2">
      <c r="A36" s="74">
        <v>10</v>
      </c>
      <c r="B36" s="76" t="s">
        <v>693</v>
      </c>
      <c r="C36" s="78">
        <v>0</v>
      </c>
      <c r="D36" s="138">
        <f>+SUM(BALANCESHEET!C19,BALANCESHEET!C25)</f>
        <v>0</v>
      </c>
      <c r="E36" s="139">
        <f t="shared" si="0"/>
        <v>0</v>
      </c>
    </row>
    <row r="37" spans="1:6" x14ac:dyDescent="0.2">
      <c r="A37" s="74">
        <v>11</v>
      </c>
      <c r="B37" s="76" t="s">
        <v>694</v>
      </c>
      <c r="C37" s="78">
        <v>1</v>
      </c>
      <c r="D37" s="138">
        <f>+SUM(BALANCESHEET!C20,BALANCESHEET!C21,BALANCESHEET!C22,BALANCESHEET!C26,BALANCESHEET!C27,BALANCESHEET!C28,BALANCESHEET!C29)-BALANCESHEET!C30</f>
        <v>0</v>
      </c>
      <c r="E37" s="139">
        <f>+C37*D37</f>
        <v>0</v>
      </c>
    </row>
    <row r="38" spans="1:6" x14ac:dyDescent="0.2">
      <c r="A38" s="73">
        <v>12</v>
      </c>
      <c r="B38" s="76" t="s">
        <v>695</v>
      </c>
      <c r="C38" s="81">
        <v>1</v>
      </c>
      <c r="D38" s="140">
        <f>+BALANCESHEET!C31</f>
        <v>0</v>
      </c>
      <c r="E38" s="141">
        <f t="shared" si="0"/>
        <v>0</v>
      </c>
    </row>
    <row r="39" spans="1:6" x14ac:dyDescent="0.2">
      <c r="A39" s="82">
        <v>13</v>
      </c>
      <c r="B39" s="76" t="s">
        <v>696</v>
      </c>
      <c r="C39" s="81">
        <v>1</v>
      </c>
      <c r="D39" s="138">
        <f>+BALANCESHEET!C48</f>
        <v>0</v>
      </c>
      <c r="E39" s="142">
        <f t="shared" si="0"/>
        <v>0</v>
      </c>
    </row>
    <row r="40" spans="1:6" x14ac:dyDescent="0.2">
      <c r="A40" s="73">
        <v>14</v>
      </c>
      <c r="B40" s="76" t="s">
        <v>697</v>
      </c>
      <c r="C40" s="81">
        <v>1</v>
      </c>
      <c r="D40" s="138">
        <f>+BALANCESHEET!C65</f>
        <v>0</v>
      </c>
      <c r="E40" s="142">
        <f t="shared" si="0"/>
        <v>0</v>
      </c>
    </row>
    <row r="41" spans="1:6" x14ac:dyDescent="0.2">
      <c r="A41" s="73">
        <v>15</v>
      </c>
      <c r="B41" s="76" t="s">
        <v>698</v>
      </c>
      <c r="C41" s="81">
        <v>1</v>
      </c>
      <c r="D41" s="138">
        <f>+BALANCESHEET!C83-BALANCESHEET!C84</f>
        <v>0</v>
      </c>
      <c r="E41" s="139">
        <f t="shared" si="0"/>
        <v>0</v>
      </c>
    </row>
    <row r="42" spans="1:6" x14ac:dyDescent="0.2">
      <c r="A42" s="73">
        <v>16</v>
      </c>
      <c r="B42" s="76" t="s">
        <v>699</v>
      </c>
      <c r="C42" s="81">
        <v>1</v>
      </c>
      <c r="D42" s="138">
        <f>+BALANCESHEET!C113</f>
        <v>0</v>
      </c>
      <c r="E42" s="139">
        <f t="shared" si="0"/>
        <v>0</v>
      </c>
    </row>
    <row r="43" spans="1:6" x14ac:dyDescent="0.2">
      <c r="A43" s="73">
        <v>17</v>
      </c>
      <c r="B43" s="83" t="s">
        <v>700</v>
      </c>
      <c r="C43" s="81">
        <v>1</v>
      </c>
      <c r="D43" s="143">
        <f>+SUM(BALANCESHEET!C85,BALANCESHEET!C86,BALANCESHEET!C111)</f>
        <v>0</v>
      </c>
      <c r="E43" s="144">
        <f t="shared" si="0"/>
        <v>0</v>
      </c>
    </row>
    <row r="44" spans="1:6" ht="13.5" customHeight="1" x14ac:dyDescent="0.2">
      <c r="A44" s="775" t="s">
        <v>701</v>
      </c>
      <c r="B44" s="776"/>
      <c r="C44" s="776"/>
      <c r="D44" s="777"/>
      <c r="E44" s="145">
        <f>+E45</f>
        <v>0</v>
      </c>
    </row>
    <row r="45" spans="1:6" x14ac:dyDescent="0.2">
      <c r="A45" s="84">
        <v>18</v>
      </c>
      <c r="B45" s="85" t="s">
        <v>702</v>
      </c>
      <c r="C45" s="86">
        <v>1</v>
      </c>
      <c r="D45" s="146">
        <f>+SUM(BALANCE!D332,BALANCE!D333)/1000</f>
        <v>0</v>
      </c>
      <c r="E45" s="147">
        <f>+C45*D45</f>
        <v>0</v>
      </c>
    </row>
    <row r="46" spans="1:6" x14ac:dyDescent="0.2">
      <c r="A46" s="87" t="s">
        <v>572</v>
      </c>
      <c r="B46" s="778" t="s">
        <v>703</v>
      </c>
      <c r="C46" s="779"/>
      <c r="D46" s="780"/>
      <c r="E46" s="148">
        <f>ABS(Forex!M26)</f>
        <v>0</v>
      </c>
    </row>
    <row r="47" spans="1:6" x14ac:dyDescent="0.2">
      <c r="A47" s="88" t="s">
        <v>574</v>
      </c>
      <c r="B47" s="781" t="s">
        <v>704</v>
      </c>
      <c r="C47" s="782"/>
      <c r="D47" s="783"/>
      <c r="E47" s="149">
        <f>Statistic!C52*0.15/0.2</f>
        <v>0</v>
      </c>
      <c r="F47" s="9"/>
    </row>
    <row r="48" spans="1:6" x14ac:dyDescent="0.2">
      <c r="A48" s="89" t="s">
        <v>705</v>
      </c>
      <c r="B48" s="751" t="s">
        <v>706</v>
      </c>
      <c r="C48" s="752"/>
      <c r="D48" s="753"/>
      <c r="E48" s="150" t="s">
        <v>707</v>
      </c>
    </row>
    <row r="49" spans="1:5" x14ac:dyDescent="0.2">
      <c r="A49" s="90">
        <v>1</v>
      </c>
      <c r="B49" s="757" t="s">
        <v>708</v>
      </c>
      <c r="C49" s="758"/>
      <c r="D49" s="759"/>
      <c r="E49" s="151" t="e">
        <f>+D9/E24*100%</f>
        <v>#DIV/0!</v>
      </c>
    </row>
    <row r="50" spans="1:5" x14ac:dyDescent="0.2">
      <c r="A50" s="91">
        <v>2</v>
      </c>
      <c r="B50" s="748" t="s">
        <v>709</v>
      </c>
      <c r="C50" s="749"/>
      <c r="D50" s="750"/>
      <c r="E50" s="152" t="e">
        <f>IF(E49&lt;0.1,"Хангаагүй","Хангасан")</f>
        <v>#DIV/0!</v>
      </c>
    </row>
    <row r="51" spans="1:5" ht="12.75" customHeight="1" x14ac:dyDescent="0.2">
      <c r="A51" s="89" t="s">
        <v>710</v>
      </c>
      <c r="B51" s="751" t="s">
        <v>711</v>
      </c>
      <c r="C51" s="752"/>
      <c r="D51" s="753"/>
      <c r="E51" s="153" t="s">
        <v>712</v>
      </c>
    </row>
    <row r="52" spans="1:5" x14ac:dyDescent="0.2">
      <c r="A52" s="84">
        <v>1</v>
      </c>
      <c r="B52" s="748" t="s">
        <v>708</v>
      </c>
      <c r="C52" s="749"/>
      <c r="D52" s="750"/>
      <c r="E52" s="345" t="e">
        <f>+BALANCESHEET!G82/E24</f>
        <v>#DIV/0!</v>
      </c>
    </row>
    <row r="53" spans="1:5" x14ac:dyDescent="0.2">
      <c r="A53" s="84">
        <v>2</v>
      </c>
      <c r="B53" s="748" t="s">
        <v>709</v>
      </c>
      <c r="C53" s="749"/>
      <c r="D53" s="750"/>
      <c r="E53" s="152" t="e">
        <f>+IF(E52&lt;0.2,"Хангаагүй","Хангасан")</f>
        <v>#DIV/0!</v>
      </c>
    </row>
    <row r="54" spans="1:5" ht="12.75" customHeight="1" x14ac:dyDescent="0.2">
      <c r="A54" s="92" t="s">
        <v>713</v>
      </c>
      <c r="B54" s="751" t="s">
        <v>714</v>
      </c>
      <c r="C54" s="752"/>
      <c r="D54" s="753"/>
      <c r="E54" s="153" t="s">
        <v>707</v>
      </c>
    </row>
    <row r="55" spans="1:5" x14ac:dyDescent="0.2">
      <c r="A55" s="91">
        <v>1</v>
      </c>
      <c r="B55" s="748" t="s">
        <v>708</v>
      </c>
      <c r="C55" s="749"/>
      <c r="D55" s="750"/>
      <c r="E55" s="154" t="e">
        <f>+D9/BALANCESHEET!C116</f>
        <v>#DIV/0!</v>
      </c>
    </row>
    <row r="56" spans="1:5" ht="13.5" thickBot="1" x14ac:dyDescent="0.25">
      <c r="A56" s="93">
        <v>2</v>
      </c>
      <c r="B56" s="754" t="s">
        <v>709</v>
      </c>
      <c r="C56" s="755"/>
      <c r="D56" s="756"/>
      <c r="E56" s="155" t="e">
        <f>+IF(E55&lt;0.1,"Хангаагүй","Хангасан")</f>
        <v>#DIV/0!</v>
      </c>
    </row>
    <row r="57" spans="1:5" ht="13.5" thickTop="1" x14ac:dyDescent="0.2"/>
    <row r="59" spans="1:5" x14ac:dyDescent="0.2">
      <c r="A59" s="666" t="s">
        <v>36</v>
      </c>
      <c r="B59" s="666"/>
      <c r="C59" s="125"/>
      <c r="D59" s="13"/>
      <c r="E59" s="14"/>
    </row>
    <row r="60" spans="1:5" x14ac:dyDescent="0.2">
      <c r="A60" s="65"/>
      <c r="B60" s="126"/>
      <c r="C60" s="125"/>
      <c r="D60" s="13"/>
      <c r="E60" s="14"/>
    </row>
    <row r="61" spans="1:5" ht="15" customHeight="1" x14ac:dyDescent="0.2">
      <c r="A61" s="718" t="s">
        <v>437</v>
      </c>
      <c r="B61" s="718"/>
      <c r="C61" s="127"/>
      <c r="D61" s="17"/>
      <c r="E61" s="3"/>
    </row>
    <row r="62" spans="1:5" x14ac:dyDescent="0.2">
      <c r="A62" s="16"/>
      <c r="B62" s="126"/>
      <c r="C62" s="125"/>
      <c r="D62" s="13"/>
      <c r="E62" s="14"/>
    </row>
    <row r="63" spans="1:5" x14ac:dyDescent="0.2">
      <c r="A63" s="747" t="str">
        <f>+BALANCE!D361</f>
        <v>ГҮЙЦЭТГЭХ ЗАХИРАЛ.................................................................//</v>
      </c>
      <c r="B63" s="747"/>
      <c r="C63" s="747"/>
      <c r="D63" s="747"/>
      <c r="E63" s="747"/>
    </row>
    <row r="64" spans="1:5" x14ac:dyDescent="0.2">
      <c r="A64" s="128"/>
      <c r="B64" s="128"/>
      <c r="C64" s="128"/>
      <c r="D64" s="128"/>
      <c r="E64" s="128"/>
    </row>
    <row r="65" spans="1:5" x14ac:dyDescent="0.2">
      <c r="A65" s="747" t="str">
        <f>+BALANCE!D363</f>
        <v>ЕРӨНХИЙ НЯГТЛАН БОДОГЧ....................................................//</v>
      </c>
      <c r="B65" s="747"/>
      <c r="C65" s="747"/>
      <c r="D65" s="747"/>
      <c r="E65" s="747"/>
    </row>
    <row r="66" spans="1:5" x14ac:dyDescent="0.2">
      <c r="A66" s="128"/>
      <c r="B66" s="128"/>
      <c r="C66" s="128"/>
      <c r="D66" s="128"/>
      <c r="E66" s="128"/>
    </row>
    <row r="67" spans="1:5" x14ac:dyDescent="0.2">
      <c r="A67" s="747">
        <f>+BALANCE!D365</f>
        <v>0</v>
      </c>
      <c r="B67" s="747"/>
      <c r="C67" s="747"/>
      <c r="D67" s="747"/>
      <c r="E67" s="747"/>
    </row>
    <row r="68" spans="1:5" x14ac:dyDescent="0.2">
      <c r="A68" s="123"/>
      <c r="B68" s="123"/>
      <c r="C68" s="124"/>
      <c r="D68" s="3"/>
      <c r="E68" s="3"/>
    </row>
  </sheetData>
  <sheetProtection password="CA9F" sheet="1"/>
  <mergeCells count="60">
    <mergeCell ref="A2:E2"/>
    <mergeCell ref="A3:E3"/>
    <mergeCell ref="A4:E4"/>
    <mergeCell ref="A6:B6"/>
    <mergeCell ref="B7:C7"/>
    <mergeCell ref="D7:E7"/>
    <mergeCell ref="B8:C8"/>
    <mergeCell ref="D8:E8"/>
    <mergeCell ref="A9:C9"/>
    <mergeCell ref="D9:E9"/>
    <mergeCell ref="B10:C10"/>
    <mergeCell ref="D10:E10"/>
    <mergeCell ref="B11:C11"/>
    <mergeCell ref="D11:E11"/>
    <mergeCell ref="B12:C12"/>
    <mergeCell ref="D12:E12"/>
    <mergeCell ref="B13:C13"/>
    <mergeCell ref="D13:E13"/>
    <mergeCell ref="B14:C14"/>
    <mergeCell ref="D14:E14"/>
    <mergeCell ref="B15:C15"/>
    <mergeCell ref="D15:E15"/>
    <mergeCell ref="B16:C16"/>
    <mergeCell ref="D16:E16"/>
    <mergeCell ref="B17:C17"/>
    <mergeCell ref="D17:E17"/>
    <mergeCell ref="A18:C18"/>
    <mergeCell ref="D18:E18"/>
    <mergeCell ref="A19:C19"/>
    <mergeCell ref="D19:E19"/>
    <mergeCell ref="B20:C20"/>
    <mergeCell ref="D20:E20"/>
    <mergeCell ref="B21:C21"/>
    <mergeCell ref="D21:E21"/>
    <mergeCell ref="B22:C22"/>
    <mergeCell ref="D22:E22"/>
    <mergeCell ref="B49:D49"/>
    <mergeCell ref="B23:C23"/>
    <mergeCell ref="D23:E23"/>
    <mergeCell ref="A24:A25"/>
    <mergeCell ref="B24:B25"/>
    <mergeCell ref="C24:C25"/>
    <mergeCell ref="D24:D25"/>
    <mergeCell ref="A26:C26"/>
    <mergeCell ref="A44:D44"/>
    <mergeCell ref="B46:D46"/>
    <mergeCell ref="B47:D47"/>
    <mergeCell ref="B48:D48"/>
    <mergeCell ref="A67:E67"/>
    <mergeCell ref="B50:D50"/>
    <mergeCell ref="B51:D51"/>
    <mergeCell ref="B52:D52"/>
    <mergeCell ref="B53:D53"/>
    <mergeCell ref="B54:D54"/>
    <mergeCell ref="B55:D55"/>
    <mergeCell ref="B56:D56"/>
    <mergeCell ref="A59:B59"/>
    <mergeCell ref="A61:B61"/>
    <mergeCell ref="A63:E63"/>
    <mergeCell ref="A65:E65"/>
  </mergeCells>
  <pageMargins left="0.78740157480314965" right="0.78740157480314965" top="1.1811023622047243" bottom="0.59055118110236215" header="0.78740157480314965" footer="0.78740157480314965"/>
  <pageSetup paperSize="9" scale="7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2:H38"/>
  <sheetViews>
    <sheetView workbookViewId="0"/>
  </sheetViews>
  <sheetFormatPr defaultRowHeight="12.75" x14ac:dyDescent="0.2"/>
  <cols>
    <col min="1" max="1" width="4.42578125" style="3" customWidth="1"/>
    <col min="2" max="2" width="63.28515625" style="3" customWidth="1"/>
    <col min="3" max="4" width="17.7109375" style="123" customWidth="1"/>
    <col min="5" max="5" width="17.7109375" style="123" bestFit="1" customWidth="1"/>
    <col min="6" max="16384" width="9.140625" style="3"/>
  </cols>
  <sheetData>
    <row r="2" spans="1:5" x14ac:dyDescent="0.2">
      <c r="A2" s="652" t="s">
        <v>715</v>
      </c>
      <c r="B2" s="652"/>
      <c r="C2" s="652"/>
      <c r="D2" s="652"/>
      <c r="E2" s="652"/>
    </row>
    <row r="3" spans="1:5" x14ac:dyDescent="0.2">
      <c r="A3" s="670" t="str">
        <f>BALANCE!A3</f>
        <v>БАНК БУС САНХҮҮГИЙН БАЙГУУЛЛАГЫН НЭР</v>
      </c>
      <c r="B3" s="670"/>
      <c r="C3" s="670"/>
      <c r="D3" s="670"/>
      <c r="E3" s="670"/>
    </row>
    <row r="4" spans="1:5" x14ac:dyDescent="0.2">
      <c r="A4" s="652" t="str">
        <f>BALANCE!A4</f>
        <v>БАНК БУС САНХҮҮГИЙН БАЙГУУЛЛАГА</v>
      </c>
      <c r="B4" s="652"/>
      <c r="C4" s="652"/>
      <c r="D4" s="652"/>
      <c r="E4" s="652"/>
    </row>
    <row r="5" spans="1:5" x14ac:dyDescent="0.2">
      <c r="A5" s="1"/>
      <c r="B5" s="1"/>
      <c r="C5" s="1"/>
      <c r="D5" s="1"/>
      <c r="E5" s="1"/>
    </row>
    <row r="6" spans="1:5" x14ac:dyDescent="0.2">
      <c r="A6" s="731">
        <f>BALANCE!A6</f>
        <v>44834</v>
      </c>
      <c r="B6" s="731"/>
      <c r="C6" s="156"/>
      <c r="D6" s="156"/>
      <c r="E6" s="157" t="s">
        <v>439</v>
      </c>
    </row>
    <row r="7" spans="1:5" x14ac:dyDescent="0.2">
      <c r="A7" s="836" t="s">
        <v>529</v>
      </c>
      <c r="B7" s="836"/>
      <c r="C7" s="235" t="s">
        <v>716</v>
      </c>
      <c r="D7" s="235" t="s">
        <v>717</v>
      </c>
      <c r="E7" s="235" t="s">
        <v>670</v>
      </c>
    </row>
    <row r="8" spans="1:5" x14ac:dyDescent="0.2">
      <c r="A8" s="837" t="s">
        <v>718</v>
      </c>
      <c r="B8" s="837"/>
      <c r="C8" s="236">
        <f>+SUM(C9:C13)</f>
        <v>0</v>
      </c>
      <c r="D8" s="236">
        <f>+SUM(D9:D13)</f>
        <v>0</v>
      </c>
      <c r="E8" s="237">
        <f>+SUM(E9:E13)</f>
        <v>0</v>
      </c>
    </row>
    <row r="9" spans="1:5" x14ac:dyDescent="0.2">
      <c r="A9" s="43">
        <v>1</v>
      </c>
      <c r="B9" s="39" t="s">
        <v>687</v>
      </c>
      <c r="C9" s="238">
        <f>+SUM(BALANCE!D12,BALANCE!D14,BALANCE!D16)/1000</f>
        <v>0</v>
      </c>
      <c r="D9" s="238">
        <f>+SUM(BALANCE!D13,BALANCE!D15,BALANCE!D17)/1000</f>
        <v>0</v>
      </c>
      <c r="E9" s="238">
        <f>+C9+D9</f>
        <v>0</v>
      </c>
    </row>
    <row r="10" spans="1:5" x14ac:dyDescent="0.2">
      <c r="A10" s="43">
        <v>2</v>
      </c>
      <c r="B10" s="39" t="s">
        <v>719</v>
      </c>
      <c r="C10" s="238">
        <f>+SUM(BALANCE!D19,BALANCE!D21)/1000</f>
        <v>0</v>
      </c>
      <c r="D10" s="238">
        <f>+SUM(BALANCE!D20,BALANCE!D22,BALANCE!D29,BALANCE!D30)/1000</f>
        <v>0</v>
      </c>
      <c r="E10" s="238">
        <f>+C10+D10</f>
        <v>0</v>
      </c>
    </row>
    <row r="11" spans="1:5" x14ac:dyDescent="0.2">
      <c r="A11" s="43">
        <v>3</v>
      </c>
      <c r="B11" s="39" t="s">
        <v>720</v>
      </c>
      <c r="C11" s="238">
        <f>+SUM(BALANCE!D24,BALANCE!D26)/1000</f>
        <v>0</v>
      </c>
      <c r="D11" s="238">
        <f>+SUM(BALANCE!D25,BALANCE!D27,BALANCE!D32,BALANCE!D33)/1000</f>
        <v>0</v>
      </c>
      <c r="E11" s="238">
        <f>+C11+D11</f>
        <v>0</v>
      </c>
    </row>
    <row r="12" spans="1:5" x14ac:dyDescent="0.2">
      <c r="A12" s="43">
        <v>4</v>
      </c>
      <c r="B12" s="39" t="s">
        <v>96</v>
      </c>
      <c r="C12" s="238">
        <f>+SUM(BALANCE!D36,BALANCE!D42)/1000</f>
        <v>0</v>
      </c>
      <c r="D12" s="238">
        <v>0</v>
      </c>
      <c r="E12" s="238">
        <f>+C12+D12</f>
        <v>0</v>
      </c>
    </row>
    <row r="13" spans="1:5" x14ac:dyDescent="0.2">
      <c r="A13" s="43">
        <v>5</v>
      </c>
      <c r="B13" s="39" t="s">
        <v>97</v>
      </c>
      <c r="C13" s="238">
        <f>+SUM(BALANCE!D37,BALANCE!D43)/1000</f>
        <v>0</v>
      </c>
      <c r="D13" s="238">
        <v>0</v>
      </c>
      <c r="E13" s="238">
        <f>+C13+D13</f>
        <v>0</v>
      </c>
    </row>
    <row r="14" spans="1:5" x14ac:dyDescent="0.2">
      <c r="A14" s="837" t="s">
        <v>721</v>
      </c>
      <c r="B14" s="837"/>
      <c r="C14" s="236">
        <f>+SUM(C15:C25)</f>
        <v>0</v>
      </c>
      <c r="D14" s="236">
        <f>+SUM(D15:D25)</f>
        <v>0</v>
      </c>
      <c r="E14" s="237">
        <f>+SUM(E15:E25)</f>
        <v>0</v>
      </c>
    </row>
    <row r="15" spans="1:5" x14ac:dyDescent="0.2">
      <c r="A15" s="43">
        <v>1</v>
      </c>
      <c r="B15" s="39" t="s">
        <v>722</v>
      </c>
      <c r="C15" s="238">
        <f>+SUM(BALANCE!H18,BALANCE!H25,BALANCE!H32,BALANCE!H39)/1000</f>
        <v>0</v>
      </c>
      <c r="D15" s="238">
        <f>+SUM(BALANCE!H21,BALANCE!H28,BALANCE!H35,BALANCE!H42,BALANCE!H47,BALANCE!H50,BALANCE!H54,BALANCE!H57)/1000</f>
        <v>0</v>
      </c>
      <c r="E15" s="238">
        <f>+C15+D15</f>
        <v>0</v>
      </c>
    </row>
    <row r="16" spans="1:5" x14ac:dyDescent="0.2">
      <c r="A16" s="43">
        <v>2</v>
      </c>
      <c r="B16" s="39" t="s">
        <v>723</v>
      </c>
      <c r="C16" s="238">
        <f>+SUM(BALANCE!H81,BALANCE!H84,BALANCE!H87,BALANCE!H90)/1000</f>
        <v>0</v>
      </c>
      <c r="D16" s="238">
        <f>+SUM(BALANCE!H82,BALANCE!H85,BALANCE!H88,BALANCE!H91)/1000</f>
        <v>0</v>
      </c>
      <c r="E16" s="238">
        <f>+C16+D16</f>
        <v>0</v>
      </c>
    </row>
    <row r="17" spans="1:8" x14ac:dyDescent="0.2">
      <c r="A17" s="43">
        <v>3</v>
      </c>
      <c r="B17" s="39" t="s">
        <v>54</v>
      </c>
      <c r="C17" s="238">
        <f>+SUM(BALANCE!H12)/1000</f>
        <v>0</v>
      </c>
      <c r="D17" s="238">
        <f>+SUM(BALANCE!H13)/1000</f>
        <v>0</v>
      </c>
      <c r="E17" s="238">
        <f t="shared" ref="E17:E24" si="0">+C17+D17</f>
        <v>0</v>
      </c>
    </row>
    <row r="18" spans="1:8" x14ac:dyDescent="0.2">
      <c r="A18" s="43">
        <v>4</v>
      </c>
      <c r="B18" s="39" t="s">
        <v>139</v>
      </c>
      <c r="C18" s="238">
        <f>+SUM(BALANCE!H70)/1000</f>
        <v>0</v>
      </c>
      <c r="D18" s="238">
        <f>+SUM(BALANCE!H71)/1000</f>
        <v>0</v>
      </c>
      <c r="E18" s="238">
        <f t="shared" si="0"/>
        <v>0</v>
      </c>
    </row>
    <row r="19" spans="1:8" x14ac:dyDescent="0.2">
      <c r="A19" s="43">
        <v>5</v>
      </c>
      <c r="B19" s="39" t="s">
        <v>133</v>
      </c>
      <c r="C19" s="238">
        <f>+SUM(BALANCE!H64)/1000</f>
        <v>0</v>
      </c>
      <c r="D19" s="238">
        <f>+SUM(BALANCE!H65)/1000</f>
        <v>0</v>
      </c>
      <c r="E19" s="238">
        <f t="shared" si="0"/>
        <v>0</v>
      </c>
    </row>
    <row r="20" spans="1:8" x14ac:dyDescent="0.2">
      <c r="A20" s="43">
        <v>6</v>
      </c>
      <c r="B20" s="39" t="s">
        <v>136</v>
      </c>
      <c r="C20" s="238">
        <f>+SUM(BALANCE!H67)/1000</f>
        <v>0</v>
      </c>
      <c r="D20" s="238">
        <f>+SUM(BALANCE!H68)/1000</f>
        <v>0</v>
      </c>
      <c r="E20" s="238">
        <f t="shared" si="0"/>
        <v>0</v>
      </c>
    </row>
    <row r="21" spans="1:8" x14ac:dyDescent="0.2">
      <c r="A21" s="43">
        <v>7</v>
      </c>
      <c r="B21" s="39" t="s">
        <v>101</v>
      </c>
      <c r="C21" s="238">
        <f>+SUM(BALANCE!H76)/1000</f>
        <v>0</v>
      </c>
      <c r="D21" s="238">
        <f>+SUM(BALANCE!H77)/1000</f>
        <v>0</v>
      </c>
      <c r="E21" s="238">
        <f t="shared" si="0"/>
        <v>0</v>
      </c>
    </row>
    <row r="22" spans="1:8" x14ac:dyDescent="0.2">
      <c r="A22" s="43">
        <v>8</v>
      </c>
      <c r="B22" s="39" t="s">
        <v>724</v>
      </c>
      <c r="C22" s="238">
        <f>+SUM(BALANCE!H61)/1000</f>
        <v>0</v>
      </c>
      <c r="D22" s="238">
        <f>+SUM(BALANCE!H62)/1000</f>
        <v>0</v>
      </c>
      <c r="E22" s="238">
        <f t="shared" si="0"/>
        <v>0</v>
      </c>
    </row>
    <row r="23" spans="1:8" x14ac:dyDescent="0.2">
      <c r="A23" s="43">
        <v>9</v>
      </c>
      <c r="B23" s="39" t="s">
        <v>725</v>
      </c>
      <c r="C23" s="238">
        <f>+SUM(BALANCE!H73)/1000</f>
        <v>0</v>
      </c>
      <c r="D23" s="238">
        <f>+SUM(BALANCE!H74)/1000</f>
        <v>0</v>
      </c>
      <c r="E23" s="238">
        <f t="shared" si="0"/>
        <v>0</v>
      </c>
    </row>
    <row r="24" spans="1:8" x14ac:dyDescent="0.2">
      <c r="A24" s="43">
        <v>10</v>
      </c>
      <c r="B24" s="39" t="s">
        <v>726</v>
      </c>
      <c r="C24" s="238">
        <f>+SUM(BALANCE!H107,BALANCE!H109,BALANCE!H111)/1000</f>
        <v>0</v>
      </c>
      <c r="D24" s="238">
        <f>+SUM(BALANCE!H108,BALANCE!H110,BALANCE!H112,BALANCE!H123,BALANCE!H124,BALANCE!H125,BALANCE!H126,BALANCE!H128,BALANCE!H129,BALANCE!H130,BALANCE!H131)/1000</f>
        <v>0</v>
      </c>
      <c r="E24" s="238">
        <f t="shared" si="0"/>
        <v>0</v>
      </c>
    </row>
    <row r="25" spans="1:8" x14ac:dyDescent="0.2">
      <c r="A25" s="43">
        <v>10</v>
      </c>
      <c r="B25" s="39" t="s">
        <v>727</v>
      </c>
      <c r="C25" s="238">
        <f>+SUM(BALANCE!H114,BALANCE!H115,BALANCE!H116,BALANCE!H117,BALANCE!H118,BALANCE!H119,BALANCE!H120,BALANCE!H123,BALANCE!H124,BALANCE!H125,BALANCE!H126,BALANCE!H128,BALANCE!H129,BALANCE!H130,BALANCE!H131)/1000</f>
        <v>0</v>
      </c>
      <c r="D25" s="238">
        <v>0</v>
      </c>
      <c r="E25" s="238">
        <f>+C25+D25</f>
        <v>0</v>
      </c>
    </row>
    <row r="26" spans="1:8" ht="15" customHeight="1" x14ac:dyDescent="0.2">
      <c r="A26" s="838" t="s">
        <v>728</v>
      </c>
      <c r="B26" s="838"/>
      <c r="C26" s="239">
        <v>0.08</v>
      </c>
      <c r="D26" s="239">
        <v>0.08</v>
      </c>
      <c r="E26" s="240">
        <v>0.08</v>
      </c>
    </row>
    <row r="27" spans="1:8" x14ac:dyDescent="0.2">
      <c r="A27" s="241">
        <v>1</v>
      </c>
      <c r="B27" s="116" t="s">
        <v>708</v>
      </c>
      <c r="C27" s="344" t="str">
        <f>IF(C14=0,"-",C8/C14)</f>
        <v>-</v>
      </c>
      <c r="D27" s="344" t="str">
        <f>IF(D14=0,"-",D8/D14)</f>
        <v>-</v>
      </c>
      <c r="E27" s="344" t="str">
        <f>IF(E14=0,"-",E8/E14)</f>
        <v>-</v>
      </c>
    </row>
    <row r="28" spans="1:8" x14ac:dyDescent="0.2">
      <c r="A28" s="43">
        <v>2</v>
      </c>
      <c r="B28" s="39" t="s">
        <v>709</v>
      </c>
      <c r="C28" s="242" t="str">
        <f>IF(C27="-","-",IF(C27&lt;0.08,"Хангаагүй","Хангасан"))</f>
        <v>-</v>
      </c>
      <c r="D28" s="242" t="str">
        <f>IF(D27="-","-",IF(D27&lt;0.08,"Хангаагүй","Хангасан"))</f>
        <v>-</v>
      </c>
      <c r="E28" s="242" t="str">
        <f>IF(E27="-","-",IF(E27&lt;0.08,"Хангаагүй","Хангасан"))</f>
        <v>-</v>
      </c>
    </row>
    <row r="29" spans="1:8" ht="15.75" customHeight="1" x14ac:dyDescent="0.2">
      <c r="A29" s="49"/>
      <c r="C29" s="158"/>
      <c r="D29" s="158"/>
      <c r="E29" s="159"/>
    </row>
    <row r="30" spans="1:8" ht="12.75" customHeight="1" x14ac:dyDescent="0.2">
      <c r="A30" s="666" t="s">
        <v>36</v>
      </c>
      <c r="B30" s="666"/>
      <c r="C30" s="160"/>
      <c r="D30" s="160"/>
      <c r="E30" s="126"/>
      <c r="F30" s="126"/>
      <c r="G30" s="13"/>
      <c r="H30" s="14"/>
    </row>
    <row r="31" spans="1:8" x14ac:dyDescent="0.2">
      <c r="A31" s="15"/>
      <c r="B31" s="16"/>
      <c r="C31" s="161"/>
      <c r="D31" s="161"/>
      <c r="E31" s="126"/>
      <c r="F31" s="126"/>
      <c r="G31" s="13"/>
      <c r="H31" s="14"/>
    </row>
    <row r="32" spans="1:8" x14ac:dyDescent="0.2">
      <c r="A32" s="15"/>
      <c r="B32" s="67" t="s">
        <v>437</v>
      </c>
      <c r="C32" s="162"/>
      <c r="D32" s="162"/>
      <c r="E32" s="67"/>
      <c r="F32" s="67"/>
      <c r="G32" s="13"/>
      <c r="H32" s="14"/>
    </row>
    <row r="33" spans="1:8" x14ac:dyDescent="0.2">
      <c r="A33" s="15"/>
      <c r="B33" s="16"/>
      <c r="C33" s="161"/>
      <c r="D33" s="161"/>
      <c r="E33" s="126"/>
      <c r="F33" s="126"/>
      <c r="G33" s="13"/>
      <c r="H33" s="14"/>
    </row>
    <row r="34" spans="1:8" x14ac:dyDescent="0.2">
      <c r="A34" s="15"/>
      <c r="B34" s="835" t="str">
        <f>+BALANCE!D361</f>
        <v>ГҮЙЦЭТГЭХ ЗАХИРАЛ.................................................................//</v>
      </c>
      <c r="C34" s="835"/>
      <c r="D34" s="835"/>
      <c r="E34" s="835"/>
      <c r="F34" s="129"/>
    </row>
    <row r="35" spans="1:8" x14ac:dyDescent="0.2">
      <c r="A35" s="15"/>
      <c r="B35" s="129"/>
      <c r="C35" s="163"/>
      <c r="D35" s="163"/>
      <c r="E35" s="129"/>
      <c r="F35" s="129"/>
    </row>
    <row r="36" spans="1:8" x14ac:dyDescent="0.2">
      <c r="A36" s="15"/>
      <c r="B36" s="835" t="str">
        <f>BALANCE!D363</f>
        <v>ЕРӨНХИЙ НЯГТЛАН БОДОГЧ....................................................//</v>
      </c>
      <c r="C36" s="835"/>
      <c r="D36" s="835"/>
      <c r="E36" s="835"/>
      <c r="F36" s="129"/>
    </row>
    <row r="37" spans="1:8" x14ac:dyDescent="0.2">
      <c r="A37" s="15"/>
      <c r="B37" s="129"/>
      <c r="C37" s="163"/>
      <c r="D37" s="163"/>
      <c r="E37" s="129"/>
      <c r="F37" s="129"/>
    </row>
    <row r="38" spans="1:8" x14ac:dyDescent="0.2">
      <c r="A38" s="15"/>
      <c r="B38" s="835">
        <f>BALANCE!D365</f>
        <v>0</v>
      </c>
      <c r="C38" s="835"/>
      <c r="D38" s="835"/>
      <c r="E38" s="835"/>
      <c r="F38" s="129"/>
    </row>
  </sheetData>
  <sheetProtection password="CA9F" sheet="1"/>
  <mergeCells count="12">
    <mergeCell ref="B34:E34"/>
    <mergeCell ref="B36:E36"/>
    <mergeCell ref="B38:E38"/>
    <mergeCell ref="A2:E2"/>
    <mergeCell ref="A3:E3"/>
    <mergeCell ref="A4:E4"/>
    <mergeCell ref="A6:B6"/>
    <mergeCell ref="A7:B7"/>
    <mergeCell ref="A8:B8"/>
    <mergeCell ref="A14:B14"/>
    <mergeCell ref="A26:B26"/>
    <mergeCell ref="A30:B30"/>
  </mergeCells>
  <pageMargins left="0.78740157480314965" right="0.78740157480314965" top="1.1811023622047243" bottom="0.59055118110236215" header="0.78740157480314965" footer="0.78740157480314965"/>
  <pageSetup paperSize="9" orientation="landscape"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2:M45"/>
  <sheetViews>
    <sheetView workbookViewId="0"/>
  </sheetViews>
  <sheetFormatPr defaultRowHeight="12.75" x14ac:dyDescent="0.2"/>
  <cols>
    <col min="1" max="1" width="4.7109375" style="16" customWidth="1"/>
    <col min="2" max="2" width="39.28515625" style="3" customWidth="1"/>
    <col min="3" max="11" width="10.85546875" style="123" customWidth="1"/>
    <col min="12" max="13" width="15.28515625" style="123" customWidth="1"/>
    <col min="14" max="16384" width="9.140625" style="3"/>
  </cols>
  <sheetData>
    <row r="2" spans="1:13" x14ac:dyDescent="0.2">
      <c r="A2" s="652" t="s">
        <v>729</v>
      </c>
      <c r="B2" s="652"/>
      <c r="C2" s="652"/>
      <c r="D2" s="652"/>
      <c r="E2" s="652"/>
      <c r="F2" s="652"/>
      <c r="G2" s="652"/>
      <c r="H2" s="652"/>
      <c r="I2" s="652"/>
      <c r="J2" s="652"/>
      <c r="K2" s="652"/>
      <c r="L2" s="652"/>
      <c r="M2" s="652"/>
    </row>
    <row r="3" spans="1:13" x14ac:dyDescent="0.2">
      <c r="A3" s="670" t="str">
        <f>BALANCE!A3</f>
        <v>БАНК БУС САНХҮҮГИЙН БАЙГУУЛЛАГЫН НЭР</v>
      </c>
      <c r="B3" s="670"/>
      <c r="C3" s="670"/>
      <c r="D3" s="670"/>
      <c r="E3" s="670"/>
      <c r="F3" s="670"/>
      <c r="G3" s="670"/>
      <c r="H3" s="670"/>
      <c r="I3" s="670"/>
      <c r="J3" s="670"/>
      <c r="K3" s="670"/>
      <c r="L3" s="670"/>
      <c r="M3" s="670"/>
    </row>
    <row r="4" spans="1:13" ht="13.5" customHeight="1" x14ac:dyDescent="0.2">
      <c r="A4" s="652" t="str">
        <f>BALANCE!A4</f>
        <v>БАНК БУС САНХҮҮГИЙН БАЙГУУЛЛАГА</v>
      </c>
      <c r="B4" s="652"/>
      <c r="C4" s="652"/>
      <c r="D4" s="652"/>
      <c r="E4" s="652"/>
      <c r="F4" s="652"/>
      <c r="G4" s="652"/>
      <c r="H4" s="652"/>
      <c r="I4" s="652"/>
      <c r="J4" s="652"/>
      <c r="K4" s="652"/>
      <c r="L4" s="652"/>
      <c r="M4" s="652"/>
    </row>
    <row r="5" spans="1:13" ht="13.5" customHeight="1" x14ac:dyDescent="0.2">
      <c r="A5" s="1"/>
      <c r="B5" s="1"/>
      <c r="C5" s="1"/>
      <c r="D5" s="1"/>
      <c r="E5" s="1"/>
      <c r="F5" s="1"/>
      <c r="G5" s="1"/>
      <c r="H5" s="1"/>
      <c r="I5" s="1"/>
      <c r="J5" s="1"/>
      <c r="K5" s="1"/>
      <c r="L5" s="1"/>
      <c r="M5" s="1"/>
    </row>
    <row r="6" spans="1:13" x14ac:dyDescent="0.2">
      <c r="A6" s="721">
        <f>BALANCE!A6</f>
        <v>44834</v>
      </c>
      <c r="B6" s="721"/>
      <c r="L6" s="849" t="s">
        <v>439</v>
      </c>
      <c r="M6" s="849"/>
    </row>
    <row r="7" spans="1:13" x14ac:dyDescent="0.2">
      <c r="A7" s="846" t="s">
        <v>529</v>
      </c>
      <c r="B7" s="846"/>
      <c r="C7" s="847" t="s">
        <v>730</v>
      </c>
      <c r="D7" s="847"/>
      <c r="E7" s="847"/>
      <c r="F7" s="847"/>
      <c r="G7" s="847"/>
      <c r="H7" s="847"/>
      <c r="I7" s="847"/>
      <c r="J7" s="847"/>
      <c r="K7" s="847"/>
      <c r="L7" s="847" t="s">
        <v>670</v>
      </c>
      <c r="M7" s="847"/>
    </row>
    <row r="8" spans="1:13" x14ac:dyDescent="0.2">
      <c r="A8" s="846"/>
      <c r="B8" s="846"/>
      <c r="C8" s="366" t="s">
        <v>413</v>
      </c>
      <c r="D8" s="366" t="s">
        <v>415</v>
      </c>
      <c r="E8" s="366" t="s">
        <v>417</v>
      </c>
      <c r="F8" s="366" t="s">
        <v>419</v>
      </c>
      <c r="G8" s="366" t="s">
        <v>421</v>
      </c>
      <c r="H8" s="366" t="s">
        <v>423</v>
      </c>
      <c r="I8" s="366" t="s">
        <v>425</v>
      </c>
      <c r="J8" s="366" t="s">
        <v>426</v>
      </c>
      <c r="K8" s="366" t="s">
        <v>128</v>
      </c>
      <c r="L8" s="366" t="s">
        <v>731</v>
      </c>
      <c r="M8" s="366" t="s">
        <v>732</v>
      </c>
    </row>
    <row r="9" spans="1:13" x14ac:dyDescent="0.2">
      <c r="A9" s="841" t="s">
        <v>733</v>
      </c>
      <c r="B9" s="841"/>
      <c r="C9" s="237">
        <f t="shared" ref="C9:K9" si="0">+SUM(C10:C15)</f>
        <v>0</v>
      </c>
      <c r="D9" s="237">
        <f t="shared" si="0"/>
        <v>0</v>
      </c>
      <c r="E9" s="237">
        <f t="shared" si="0"/>
        <v>0</v>
      </c>
      <c r="F9" s="237">
        <f t="shared" si="0"/>
        <v>0</v>
      </c>
      <c r="G9" s="237">
        <f t="shared" si="0"/>
        <v>0</v>
      </c>
      <c r="H9" s="237">
        <f t="shared" si="0"/>
        <v>0</v>
      </c>
      <c r="I9" s="237">
        <f t="shared" si="0"/>
        <v>0</v>
      </c>
      <c r="J9" s="237">
        <f t="shared" si="0"/>
        <v>0</v>
      </c>
      <c r="K9" s="237">
        <f t="shared" si="0"/>
        <v>0</v>
      </c>
      <c r="L9" s="237">
        <f>+SUM(L10:L15)</f>
        <v>0</v>
      </c>
      <c r="M9" s="237">
        <f>+SUM(M10:M15)</f>
        <v>0</v>
      </c>
    </row>
    <row r="10" spans="1:13" x14ac:dyDescent="0.2">
      <c r="A10" s="44">
        <v>1</v>
      </c>
      <c r="B10" s="37" t="s">
        <v>734</v>
      </c>
      <c r="C10" s="191"/>
      <c r="D10" s="191"/>
      <c r="E10" s="191"/>
      <c r="F10" s="191"/>
      <c r="G10" s="191"/>
      <c r="H10" s="191"/>
      <c r="I10" s="191"/>
      <c r="J10" s="191"/>
      <c r="K10" s="191"/>
      <c r="L10" s="243">
        <f t="shared" ref="L10:L15" si="1">+SUMPRODUCT(C10:K10,$C$32:$K$32)/$M$32</f>
        <v>0</v>
      </c>
      <c r="M10" s="243">
        <f>+SUM(BALANCE!D13,BALANCE!D15,BALANCE!D17)/1000</f>
        <v>0</v>
      </c>
    </row>
    <row r="11" spans="1:13" ht="25.5" x14ac:dyDescent="0.2">
      <c r="A11" s="44">
        <v>2</v>
      </c>
      <c r="B11" s="234" t="s">
        <v>735</v>
      </c>
      <c r="C11" s="191"/>
      <c r="D11" s="191"/>
      <c r="E11" s="191"/>
      <c r="F11" s="191"/>
      <c r="G11" s="191"/>
      <c r="H11" s="191"/>
      <c r="I11" s="191"/>
      <c r="J11" s="191"/>
      <c r="K11" s="191"/>
      <c r="L11" s="243">
        <f t="shared" si="1"/>
        <v>0</v>
      </c>
      <c r="M11" s="243">
        <f>+SUM(BALANCE!D20,BALANCE!D22,BALANCE!D25,BALANCE!D27,BALANCE!D28,BALANCE!D31)/1000</f>
        <v>0</v>
      </c>
    </row>
    <row r="12" spans="1:13" x14ac:dyDescent="0.2">
      <c r="A12" s="44">
        <v>3</v>
      </c>
      <c r="B12" s="234" t="s">
        <v>736</v>
      </c>
      <c r="C12" s="191"/>
      <c r="D12" s="191"/>
      <c r="E12" s="191"/>
      <c r="F12" s="191"/>
      <c r="G12" s="191"/>
      <c r="H12" s="191"/>
      <c r="I12" s="191"/>
      <c r="J12" s="191"/>
      <c r="K12" s="191"/>
      <c r="L12" s="243">
        <f t="shared" si="1"/>
        <v>0</v>
      </c>
      <c r="M12" s="243">
        <f>+SUM(BALANCE!D61,BALANCE!D77,BALANCE!D94,BALANCE!D110,BALANCE!D126)/1000</f>
        <v>0</v>
      </c>
    </row>
    <row r="13" spans="1:13" x14ac:dyDescent="0.2">
      <c r="A13" s="44">
        <v>4</v>
      </c>
      <c r="B13" s="234" t="s">
        <v>737</v>
      </c>
      <c r="C13" s="191"/>
      <c r="D13" s="191"/>
      <c r="E13" s="191"/>
      <c r="F13" s="191"/>
      <c r="G13" s="191"/>
      <c r="H13" s="191"/>
      <c r="I13" s="191"/>
      <c r="J13" s="191"/>
      <c r="K13" s="191"/>
      <c r="L13" s="243">
        <f t="shared" si="1"/>
        <v>0</v>
      </c>
      <c r="M13" s="243">
        <f>+SUM(BALANCE!D139,BALANCE!D142,BALANCE!D146,BALANCE!D149,BALANCE!D152)/1000</f>
        <v>0</v>
      </c>
    </row>
    <row r="14" spans="1:13" x14ac:dyDescent="0.2">
      <c r="A14" s="44">
        <v>5</v>
      </c>
      <c r="B14" s="234" t="s">
        <v>738</v>
      </c>
      <c r="C14" s="191"/>
      <c r="D14" s="191"/>
      <c r="E14" s="191"/>
      <c r="F14" s="191"/>
      <c r="G14" s="191"/>
      <c r="H14" s="191"/>
      <c r="I14" s="191"/>
      <c r="J14" s="191"/>
      <c r="K14" s="191"/>
      <c r="L14" s="243">
        <f t="shared" si="1"/>
        <v>0</v>
      </c>
      <c r="M14" s="243">
        <f>+SUM(BALANCE!D158,BALANCE!D161,BALANCE!D165,BALANCE!D168,BALANCE!D171)/1000</f>
        <v>0</v>
      </c>
    </row>
    <row r="15" spans="1:13" x14ac:dyDescent="0.2">
      <c r="A15" s="44">
        <v>6</v>
      </c>
      <c r="B15" s="234" t="s">
        <v>739</v>
      </c>
      <c r="C15" s="191"/>
      <c r="D15" s="191"/>
      <c r="E15" s="191"/>
      <c r="F15" s="191"/>
      <c r="G15" s="191"/>
      <c r="H15" s="191"/>
      <c r="I15" s="191"/>
      <c r="J15" s="191"/>
      <c r="K15" s="191"/>
      <c r="L15" s="243">
        <f t="shared" si="1"/>
        <v>0</v>
      </c>
      <c r="M15" s="243">
        <f>+SUM(BALANCE!D190,BALANCE!D193,BALANCE!D196,BALANCE!D199,BALANCE!D202,BALANCE!D206,BALANCE!D209,BALANCE!D213,BALANCE!D216,BALANCE!D219)/1000</f>
        <v>0</v>
      </c>
    </row>
    <row r="16" spans="1:13" x14ac:dyDescent="0.2">
      <c r="A16" s="841" t="s">
        <v>740</v>
      </c>
      <c r="B16" s="841"/>
      <c r="C16" s="237">
        <f t="shared" ref="C16:K16" si="2">+SUM(C17:C22)</f>
        <v>0</v>
      </c>
      <c r="D16" s="237">
        <f t="shared" si="2"/>
        <v>0</v>
      </c>
      <c r="E16" s="237">
        <f t="shared" si="2"/>
        <v>0</v>
      </c>
      <c r="F16" s="237">
        <f t="shared" si="2"/>
        <v>0</v>
      </c>
      <c r="G16" s="237">
        <f t="shared" si="2"/>
        <v>0</v>
      </c>
      <c r="H16" s="237">
        <f t="shared" si="2"/>
        <v>0</v>
      </c>
      <c r="I16" s="237">
        <f t="shared" si="2"/>
        <v>0</v>
      </c>
      <c r="J16" s="237">
        <f t="shared" si="2"/>
        <v>0</v>
      </c>
      <c r="K16" s="237">
        <f t="shared" si="2"/>
        <v>0</v>
      </c>
      <c r="L16" s="237">
        <f>+SUM(L17:L22)</f>
        <v>0</v>
      </c>
      <c r="M16" s="237">
        <f>+SUM(M17:M22)</f>
        <v>0</v>
      </c>
    </row>
    <row r="17" spans="1:13" x14ac:dyDescent="0.2">
      <c r="A17" s="244">
        <v>1</v>
      </c>
      <c r="B17" s="234" t="s">
        <v>741</v>
      </c>
      <c r="C17" s="191"/>
      <c r="D17" s="191"/>
      <c r="E17" s="191"/>
      <c r="F17" s="191"/>
      <c r="G17" s="191"/>
      <c r="H17" s="191"/>
      <c r="I17" s="191"/>
      <c r="J17" s="191"/>
      <c r="K17" s="191"/>
      <c r="L17" s="243">
        <f t="shared" ref="L17:L22" si="3">+SUMPRODUCT(C17:K17,$C$32:$K$32)/$M$32</f>
        <v>0</v>
      </c>
      <c r="M17" s="243">
        <f>+BALANCE!H13/1000</f>
        <v>0</v>
      </c>
    </row>
    <row r="18" spans="1:13" x14ac:dyDescent="0.2">
      <c r="A18" s="244">
        <v>2</v>
      </c>
      <c r="B18" s="234" t="s">
        <v>742</v>
      </c>
      <c r="C18" s="191"/>
      <c r="D18" s="191"/>
      <c r="E18" s="191"/>
      <c r="F18" s="191"/>
      <c r="G18" s="191"/>
      <c r="H18" s="191"/>
      <c r="I18" s="191"/>
      <c r="J18" s="191"/>
      <c r="K18" s="191"/>
      <c r="L18" s="243">
        <f t="shared" si="3"/>
        <v>0</v>
      </c>
      <c r="M18" s="243">
        <f>+SUM(BALANCE!H20,BALANCE!H27,BALANCE!H34,BALANCE!H41,BALANCE!H46,BALANCE!H49,BALANCE!H53,BALANCE!H56)/1000</f>
        <v>0</v>
      </c>
    </row>
    <row r="19" spans="1:13" x14ac:dyDescent="0.2">
      <c r="A19" s="244">
        <v>3</v>
      </c>
      <c r="B19" s="37" t="s">
        <v>743</v>
      </c>
      <c r="C19" s="191"/>
      <c r="D19" s="191"/>
      <c r="E19" s="191"/>
      <c r="F19" s="191"/>
      <c r="G19" s="191"/>
      <c r="H19" s="191"/>
      <c r="I19" s="191"/>
      <c r="J19" s="191"/>
      <c r="K19" s="191"/>
      <c r="L19" s="243">
        <f t="shared" si="3"/>
        <v>0</v>
      </c>
      <c r="M19" s="243">
        <f>+SUM(BALANCE!H82,BALANCE!H85,BALANCE!H88,BALANCE!H91,BALANCE!H95,BALANCE!H98,BALANCE!H101,BALANCE!H104)/1000</f>
        <v>0</v>
      </c>
    </row>
    <row r="20" spans="1:13" x14ac:dyDescent="0.2">
      <c r="A20" s="244">
        <v>4</v>
      </c>
      <c r="B20" s="37" t="s">
        <v>101</v>
      </c>
      <c r="C20" s="191"/>
      <c r="D20" s="191"/>
      <c r="E20" s="191"/>
      <c r="F20" s="191"/>
      <c r="G20" s="191"/>
      <c r="H20" s="191"/>
      <c r="I20" s="191"/>
      <c r="J20" s="191"/>
      <c r="K20" s="191"/>
      <c r="L20" s="243">
        <f t="shared" si="3"/>
        <v>0</v>
      </c>
      <c r="M20" s="243">
        <f>+BALANCE!H77/1000</f>
        <v>0</v>
      </c>
    </row>
    <row r="21" spans="1:13" x14ac:dyDescent="0.2">
      <c r="A21" s="244">
        <v>5</v>
      </c>
      <c r="B21" s="234" t="s">
        <v>744</v>
      </c>
      <c r="C21" s="191"/>
      <c r="D21" s="191"/>
      <c r="E21" s="191"/>
      <c r="F21" s="191"/>
      <c r="G21" s="191"/>
      <c r="H21" s="191"/>
      <c r="I21" s="191"/>
      <c r="J21" s="191"/>
      <c r="K21" s="191"/>
      <c r="L21" s="243">
        <f t="shared" si="3"/>
        <v>0</v>
      </c>
      <c r="M21" s="243">
        <f>+SUM(BALANCE!H62,BALANCE!H65,BALANCE!H68,BALANCE!H71,BALANCE!H74)/1000</f>
        <v>0</v>
      </c>
    </row>
    <row r="22" spans="1:13" x14ac:dyDescent="0.2">
      <c r="A22" s="244">
        <v>6</v>
      </c>
      <c r="B22" s="234" t="s">
        <v>745</v>
      </c>
      <c r="C22" s="191"/>
      <c r="D22" s="191"/>
      <c r="E22" s="191"/>
      <c r="F22" s="191"/>
      <c r="G22" s="191"/>
      <c r="H22" s="191"/>
      <c r="I22" s="191"/>
      <c r="J22" s="191"/>
      <c r="K22" s="191"/>
      <c r="L22" s="243">
        <f t="shared" si="3"/>
        <v>0</v>
      </c>
      <c r="M22" s="243">
        <f>+SUM(BALANCE!H108,BALANCE!H110,BALANCE!H112)/1000</f>
        <v>0</v>
      </c>
    </row>
    <row r="23" spans="1:13" x14ac:dyDescent="0.2">
      <c r="A23" s="841" t="s">
        <v>746</v>
      </c>
      <c r="B23" s="841"/>
      <c r="C23" s="237">
        <f t="shared" ref="C23:K23" si="4">+SUM(C24:C25)</f>
        <v>0</v>
      </c>
      <c r="D23" s="237">
        <f t="shared" si="4"/>
        <v>0</v>
      </c>
      <c r="E23" s="237">
        <f t="shared" si="4"/>
        <v>0</v>
      </c>
      <c r="F23" s="237">
        <f t="shared" si="4"/>
        <v>0</v>
      </c>
      <c r="G23" s="237">
        <f t="shared" si="4"/>
        <v>0</v>
      </c>
      <c r="H23" s="237">
        <f t="shared" si="4"/>
        <v>0</v>
      </c>
      <c r="I23" s="237">
        <f t="shared" si="4"/>
        <v>0</v>
      </c>
      <c r="J23" s="237">
        <f t="shared" si="4"/>
        <v>0</v>
      </c>
      <c r="K23" s="237">
        <f t="shared" si="4"/>
        <v>0</v>
      </c>
      <c r="L23" s="237">
        <f>+SUM(L24:L25)</f>
        <v>0</v>
      </c>
      <c r="M23" s="237">
        <f>+SUM(M24:M25)</f>
        <v>0</v>
      </c>
    </row>
    <row r="24" spans="1:13" x14ac:dyDescent="0.2">
      <c r="A24" s="244">
        <v>1</v>
      </c>
      <c r="B24" s="199" t="s">
        <v>747</v>
      </c>
      <c r="C24" s="191"/>
      <c r="D24" s="191"/>
      <c r="E24" s="191"/>
      <c r="F24" s="191"/>
      <c r="G24" s="191"/>
      <c r="H24" s="191"/>
      <c r="I24" s="191"/>
      <c r="J24" s="191"/>
      <c r="K24" s="191"/>
      <c r="L24" s="243">
        <f>+SUMPRODUCT(C24:K24,$C$32:$K$32)/$M$32</f>
        <v>0</v>
      </c>
      <c r="M24" s="245">
        <f>+SUMPRODUCT(C24:K24,$C$32:$K$32)</f>
        <v>0</v>
      </c>
    </row>
    <row r="25" spans="1:13" x14ac:dyDescent="0.2">
      <c r="A25" s="244">
        <v>2</v>
      </c>
      <c r="B25" s="199" t="s">
        <v>748</v>
      </c>
      <c r="C25" s="191"/>
      <c r="D25" s="191"/>
      <c r="E25" s="191"/>
      <c r="F25" s="191"/>
      <c r="G25" s="191"/>
      <c r="H25" s="191"/>
      <c r="I25" s="191"/>
      <c r="J25" s="191"/>
      <c r="K25" s="191"/>
      <c r="L25" s="243">
        <f>+SUMPRODUCT(C25:K25,$C$32:$K$32)/$M$32</f>
        <v>0</v>
      </c>
      <c r="M25" s="245">
        <f>+SUMPRODUCT(C25:K25,$C$32:$K$32)</f>
        <v>0</v>
      </c>
    </row>
    <row r="26" spans="1:13" x14ac:dyDescent="0.2">
      <c r="A26" s="843" t="s">
        <v>749</v>
      </c>
      <c r="B26" s="843"/>
      <c r="C26" s="192">
        <f>+SUM(C27:C28)</f>
        <v>0</v>
      </c>
      <c r="D26" s="192">
        <f>+SUM(D27,D28)</f>
        <v>0</v>
      </c>
      <c r="E26" s="192">
        <f t="shared" ref="E26:K26" si="5">+SUM(E27:E28)</f>
        <v>0</v>
      </c>
      <c r="F26" s="192">
        <f t="shared" si="5"/>
        <v>0</v>
      </c>
      <c r="G26" s="192">
        <f t="shared" si="5"/>
        <v>0</v>
      </c>
      <c r="H26" s="192">
        <f t="shared" si="5"/>
        <v>0</v>
      </c>
      <c r="I26" s="192">
        <f t="shared" si="5"/>
        <v>0</v>
      </c>
      <c r="J26" s="192">
        <f t="shared" si="5"/>
        <v>0</v>
      </c>
      <c r="K26" s="192">
        <f t="shared" si="5"/>
        <v>0</v>
      </c>
      <c r="L26" s="192">
        <f>+M26/M32</f>
        <v>0</v>
      </c>
      <c r="M26" s="192">
        <f>+SUM(M27:M28)</f>
        <v>0</v>
      </c>
    </row>
    <row r="27" spans="1:13" ht="15.75" customHeight="1" x14ac:dyDescent="0.2">
      <c r="A27" s="844" t="s">
        <v>750</v>
      </c>
      <c r="B27" s="844"/>
      <c r="C27" s="565">
        <f t="shared" ref="C27:J27" si="6">+C9-C16</f>
        <v>0</v>
      </c>
      <c r="D27" s="565">
        <f>+D9-D16</f>
        <v>0</v>
      </c>
      <c r="E27" s="565">
        <f t="shared" si="6"/>
        <v>0</v>
      </c>
      <c r="F27" s="565">
        <f t="shared" si="6"/>
        <v>0</v>
      </c>
      <c r="G27" s="565">
        <f t="shared" si="6"/>
        <v>0</v>
      </c>
      <c r="H27" s="565">
        <f t="shared" si="6"/>
        <v>0</v>
      </c>
      <c r="I27" s="565">
        <f t="shared" si="6"/>
        <v>0</v>
      </c>
      <c r="J27" s="565">
        <f t="shared" si="6"/>
        <v>0</v>
      </c>
      <c r="K27" s="565">
        <f>+K9-K16</f>
        <v>0</v>
      </c>
      <c r="L27" s="245">
        <f>+M27/M32</f>
        <v>0</v>
      </c>
      <c r="M27" s="245">
        <f>+M9-M16</f>
        <v>0</v>
      </c>
    </row>
    <row r="28" spans="1:13" ht="15.75" customHeight="1" x14ac:dyDescent="0.2">
      <c r="A28" s="844" t="s">
        <v>751</v>
      </c>
      <c r="B28" s="844"/>
      <c r="C28" s="565">
        <f t="shared" ref="C28:K28" si="7">+C23</f>
        <v>0</v>
      </c>
      <c r="D28" s="565">
        <f t="shared" si="7"/>
        <v>0</v>
      </c>
      <c r="E28" s="565">
        <f t="shared" si="7"/>
        <v>0</v>
      </c>
      <c r="F28" s="565">
        <f t="shared" si="7"/>
        <v>0</v>
      </c>
      <c r="G28" s="565">
        <f t="shared" si="7"/>
        <v>0</v>
      </c>
      <c r="H28" s="565">
        <f t="shared" si="7"/>
        <v>0</v>
      </c>
      <c r="I28" s="565">
        <f t="shared" si="7"/>
        <v>0</v>
      </c>
      <c r="J28" s="565">
        <f t="shared" si="7"/>
        <v>0</v>
      </c>
      <c r="K28" s="565">
        <f t="shared" si="7"/>
        <v>0</v>
      </c>
      <c r="L28" s="245">
        <f>+M28/M32</f>
        <v>0</v>
      </c>
      <c r="M28" s="245">
        <f>+M23</f>
        <v>0</v>
      </c>
    </row>
    <row r="29" spans="1:13" ht="15.75" customHeight="1" x14ac:dyDescent="0.2">
      <c r="A29" s="845" t="s">
        <v>752</v>
      </c>
      <c r="B29" s="845"/>
      <c r="C29" s="246">
        <f>+M29/C32</f>
        <v>0</v>
      </c>
      <c r="D29" s="246">
        <f>+M29/D32</f>
        <v>0</v>
      </c>
      <c r="E29" s="246">
        <f>+M29/E32</f>
        <v>0</v>
      </c>
      <c r="F29" s="246">
        <f>+M29/F32</f>
        <v>0</v>
      </c>
      <c r="G29" s="246">
        <f>+M29/G32</f>
        <v>0</v>
      </c>
      <c r="H29" s="246">
        <f>+M29/H32</f>
        <v>0</v>
      </c>
      <c r="I29" s="246">
        <f>+M29/I32</f>
        <v>0</v>
      </c>
      <c r="J29" s="246">
        <f>+M29/J32</f>
        <v>0</v>
      </c>
      <c r="K29" s="247" t="e">
        <f>+M29/K32</f>
        <v>#DIV/0!</v>
      </c>
      <c r="L29" s="246">
        <f>+M29/M32</f>
        <v>0</v>
      </c>
      <c r="M29" s="243">
        <f>BALANCESHEET!G82</f>
        <v>0</v>
      </c>
    </row>
    <row r="30" spans="1:13" x14ac:dyDescent="0.2">
      <c r="A30" s="848" t="s">
        <v>753</v>
      </c>
      <c r="B30" s="848"/>
      <c r="C30" s="569" t="e">
        <f>+C26/C29</f>
        <v>#DIV/0!</v>
      </c>
      <c r="D30" s="248" t="e">
        <f t="shared" ref="D30:M30" si="8">+D26/D29</f>
        <v>#DIV/0!</v>
      </c>
      <c r="E30" s="248" t="e">
        <f t="shared" si="8"/>
        <v>#DIV/0!</v>
      </c>
      <c r="F30" s="248" t="e">
        <f t="shared" si="8"/>
        <v>#DIV/0!</v>
      </c>
      <c r="G30" s="248" t="e">
        <f t="shared" si="8"/>
        <v>#DIV/0!</v>
      </c>
      <c r="H30" s="248" t="e">
        <f t="shared" si="8"/>
        <v>#DIV/0!</v>
      </c>
      <c r="I30" s="248" t="e">
        <f t="shared" si="8"/>
        <v>#DIV/0!</v>
      </c>
      <c r="J30" s="248" t="e">
        <f t="shared" si="8"/>
        <v>#DIV/0!</v>
      </c>
      <c r="K30" s="248" t="e">
        <f t="shared" si="8"/>
        <v>#DIV/0!</v>
      </c>
      <c r="L30" s="572" t="e">
        <f>+L26/L29</f>
        <v>#DIV/0!</v>
      </c>
      <c r="M30" s="248" t="e">
        <f t="shared" si="8"/>
        <v>#DIV/0!</v>
      </c>
    </row>
    <row r="31" spans="1:13" ht="16.5" customHeight="1" x14ac:dyDescent="0.2">
      <c r="A31" s="844" t="s">
        <v>754</v>
      </c>
      <c r="B31" s="844"/>
      <c r="C31" s="249" t="s">
        <v>755</v>
      </c>
      <c r="D31" s="249" t="s">
        <v>755</v>
      </c>
      <c r="E31" s="249" t="s">
        <v>755</v>
      </c>
      <c r="F31" s="249" t="s">
        <v>755</v>
      </c>
      <c r="G31" s="249" t="s">
        <v>755</v>
      </c>
      <c r="H31" s="249" t="s">
        <v>755</v>
      </c>
      <c r="I31" s="249" t="s">
        <v>755</v>
      </c>
      <c r="J31" s="249" t="s">
        <v>755</v>
      </c>
      <c r="K31" s="249" t="s">
        <v>755</v>
      </c>
      <c r="L31" s="249" t="s">
        <v>755</v>
      </c>
      <c r="M31" s="249" t="s">
        <v>755</v>
      </c>
    </row>
    <row r="32" spans="1:13" x14ac:dyDescent="0.2">
      <c r="A32" s="839" t="s">
        <v>756</v>
      </c>
      <c r="B32" s="839"/>
      <c r="C32" s="250">
        <f>BALANCE!H335</f>
        <v>3333.02</v>
      </c>
      <c r="D32" s="250">
        <f>BALANCE!H336</f>
        <v>3218.36</v>
      </c>
      <c r="E32" s="250">
        <f>BALANCE!H337</f>
        <v>23.04</v>
      </c>
      <c r="F32" s="250">
        <f>BALANCE!H338</f>
        <v>3385.5</v>
      </c>
      <c r="G32" s="250">
        <f>BALANCE!H339</f>
        <v>3593.66</v>
      </c>
      <c r="H32" s="250">
        <f>BALANCE!H340</f>
        <v>462.55</v>
      </c>
      <c r="I32" s="250">
        <f>BALANCE!H341</f>
        <v>57.34</v>
      </c>
      <c r="J32" s="250">
        <f>BALANCE!H342</f>
        <v>2.3199999999999998</v>
      </c>
      <c r="K32" s="250">
        <f>BALANCE!H343</f>
        <v>0</v>
      </c>
      <c r="L32" s="250">
        <v>1</v>
      </c>
      <c r="M32" s="250">
        <f>+C32</f>
        <v>3333.02</v>
      </c>
    </row>
    <row r="33" spans="1:13" x14ac:dyDescent="0.2">
      <c r="A33" s="570"/>
      <c r="B33" s="570"/>
      <c r="C33" s="571"/>
      <c r="D33" s="571"/>
      <c r="E33" s="571"/>
      <c r="F33" s="571"/>
      <c r="G33" s="571"/>
      <c r="H33" s="571"/>
      <c r="I33" s="571"/>
      <c r="J33" s="571"/>
      <c r="K33" s="571"/>
      <c r="L33" s="571"/>
      <c r="M33" s="571"/>
    </row>
    <row r="34" spans="1:13" s="123" customFormat="1" x14ac:dyDescent="0.2">
      <c r="A34" s="842" t="s">
        <v>1120</v>
      </c>
      <c r="B34" s="842"/>
      <c r="C34" s="842"/>
      <c r="D34" s="842"/>
      <c r="E34" s="842"/>
      <c r="F34" s="842"/>
      <c r="G34" s="842"/>
      <c r="H34" s="842"/>
      <c r="I34" s="842"/>
      <c r="J34" s="842"/>
      <c r="K34" s="842"/>
      <c r="L34" s="842"/>
      <c r="M34" s="842"/>
    </row>
    <row r="35" spans="1:13" x14ac:dyDescent="0.2">
      <c r="A35" s="842" t="s">
        <v>1119</v>
      </c>
      <c r="B35" s="842"/>
      <c r="C35" s="842"/>
      <c r="D35" s="842"/>
      <c r="E35" s="842"/>
      <c r="F35" s="842"/>
      <c r="G35" s="842"/>
      <c r="H35" s="842"/>
      <c r="I35" s="842"/>
      <c r="J35" s="842"/>
      <c r="K35" s="842"/>
      <c r="L35" s="842"/>
      <c r="M35" s="842"/>
    </row>
    <row r="36" spans="1:13" x14ac:dyDescent="0.2">
      <c r="A36" s="99"/>
      <c r="B36" s="99"/>
      <c r="C36" s="99"/>
      <c r="D36" s="99"/>
      <c r="E36" s="99"/>
      <c r="F36" s="99"/>
      <c r="G36" s="99"/>
      <c r="H36" s="99"/>
      <c r="I36" s="99"/>
      <c r="J36" s="99"/>
      <c r="K36" s="99"/>
      <c r="L36" s="99"/>
      <c r="M36" s="99"/>
    </row>
    <row r="37" spans="1:13" s="123" customFormat="1" x14ac:dyDescent="0.2">
      <c r="A37" s="16"/>
      <c r="B37" s="3"/>
      <c r="C37" s="56" t="s">
        <v>36</v>
      </c>
      <c r="D37" s="94"/>
      <c r="E37" s="126"/>
      <c r="F37" s="126"/>
      <c r="G37" s="13"/>
      <c r="H37" s="14"/>
    </row>
    <row r="38" spans="1:13" s="123" customFormat="1" x14ac:dyDescent="0.2">
      <c r="A38" s="16"/>
      <c r="B38" s="3"/>
      <c r="C38" s="15"/>
      <c r="D38" s="16"/>
      <c r="E38" s="126"/>
      <c r="F38" s="126"/>
      <c r="G38" s="13"/>
      <c r="H38" s="14"/>
    </row>
    <row r="39" spans="1:13" s="123" customFormat="1" x14ac:dyDescent="0.2">
      <c r="A39" s="16"/>
      <c r="B39" s="3"/>
      <c r="C39" s="15"/>
      <c r="D39" s="840" t="s">
        <v>437</v>
      </c>
      <c r="E39" s="840"/>
      <c r="F39" s="840"/>
      <c r="G39" s="13"/>
      <c r="H39" s="14"/>
    </row>
    <row r="40" spans="1:13" s="123" customFormat="1" x14ac:dyDescent="0.2">
      <c r="A40" s="16"/>
      <c r="B40" s="3"/>
      <c r="C40" s="15"/>
      <c r="D40" s="16"/>
      <c r="E40" s="126"/>
      <c r="F40" s="126"/>
      <c r="G40" s="13"/>
      <c r="H40" s="14"/>
    </row>
    <row r="41" spans="1:13" s="123" customFormat="1" ht="15" customHeight="1" x14ac:dyDescent="0.2">
      <c r="A41" s="16"/>
      <c r="B41" s="3"/>
      <c r="C41" s="15"/>
      <c r="D41" s="835" t="str">
        <f>BALANCE!D361</f>
        <v>ГҮЙЦЭТГЭХ ЗАХИРАЛ.................................................................//</v>
      </c>
      <c r="E41" s="835"/>
      <c r="F41" s="835"/>
      <c r="G41" s="835"/>
      <c r="H41" s="835"/>
      <c r="I41" s="835"/>
      <c r="J41" s="835"/>
      <c r="K41" s="835"/>
    </row>
    <row r="42" spans="1:13" s="123" customFormat="1" x14ac:dyDescent="0.2">
      <c r="A42" s="16"/>
      <c r="B42" s="3"/>
      <c r="C42" s="15"/>
      <c r="D42" s="53"/>
      <c r="E42" s="401"/>
      <c r="F42" s="129"/>
      <c r="G42" s="129"/>
      <c r="H42" s="129"/>
      <c r="I42" s="492"/>
      <c r="J42" s="492"/>
      <c r="K42" s="492"/>
    </row>
    <row r="43" spans="1:13" s="123" customFormat="1" ht="15" customHeight="1" x14ac:dyDescent="0.2">
      <c r="A43" s="16"/>
      <c r="B43" s="3"/>
      <c r="C43" s="15"/>
      <c r="D43" s="835" t="str">
        <f>BALANCE!D363</f>
        <v>ЕРӨНХИЙ НЯГТЛАН БОДОГЧ....................................................//</v>
      </c>
      <c r="E43" s="835"/>
      <c r="F43" s="835"/>
      <c r="G43" s="835"/>
      <c r="H43" s="835"/>
      <c r="I43" s="835"/>
      <c r="J43" s="835"/>
      <c r="K43" s="835"/>
    </row>
    <row r="44" spans="1:13" s="123" customFormat="1" x14ac:dyDescent="0.2">
      <c r="A44" s="16"/>
      <c r="B44" s="3"/>
      <c r="C44" s="15"/>
      <c r="D44" s="53"/>
      <c r="E44" s="401"/>
      <c r="F44" s="129"/>
      <c r="G44" s="129"/>
      <c r="H44" s="129"/>
      <c r="I44" s="492"/>
      <c r="J44" s="492"/>
      <c r="K44" s="492"/>
    </row>
    <row r="45" spans="1:13" s="123" customFormat="1" ht="15" customHeight="1" x14ac:dyDescent="0.2">
      <c r="A45" s="16"/>
      <c r="B45" s="3"/>
      <c r="C45" s="15"/>
      <c r="D45" s="835">
        <f>BALANCE!D365</f>
        <v>0</v>
      </c>
      <c r="E45" s="835"/>
      <c r="F45" s="835"/>
      <c r="G45" s="835"/>
      <c r="H45" s="835"/>
      <c r="I45" s="835"/>
      <c r="J45" s="835"/>
      <c r="K45" s="835"/>
    </row>
  </sheetData>
  <sheetProtection password="CA9F" sheet="1" objects="1" scenarios="1"/>
  <mergeCells count="24">
    <mergeCell ref="A2:M2"/>
    <mergeCell ref="A3:M3"/>
    <mergeCell ref="A4:M4"/>
    <mergeCell ref="A6:B6"/>
    <mergeCell ref="L6:M6"/>
    <mergeCell ref="A7:B8"/>
    <mergeCell ref="C7:K7"/>
    <mergeCell ref="L7:M7"/>
    <mergeCell ref="A30:B30"/>
    <mergeCell ref="A31:B31"/>
    <mergeCell ref="A32:B32"/>
    <mergeCell ref="D39:F39"/>
    <mergeCell ref="D41:K41"/>
    <mergeCell ref="A9:B9"/>
    <mergeCell ref="D45:K45"/>
    <mergeCell ref="D43:K43"/>
    <mergeCell ref="A34:M34"/>
    <mergeCell ref="A35:M35"/>
    <mergeCell ref="A16:B16"/>
    <mergeCell ref="A23:B23"/>
    <mergeCell ref="A26:B26"/>
    <mergeCell ref="A27:B27"/>
    <mergeCell ref="A28:B28"/>
    <mergeCell ref="A29:B29"/>
  </mergeCells>
  <pageMargins left="0.7" right="0.7" top="0.75" bottom="0.75" header="0.3" footer="0.3"/>
  <pageSetup paperSize="9" scale="77"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
    <pageSetUpPr fitToPage="1"/>
  </sheetPr>
  <dimension ref="A2:I55"/>
  <sheetViews>
    <sheetView workbookViewId="0"/>
  </sheetViews>
  <sheetFormatPr defaultRowHeight="12.75" x14ac:dyDescent="0.2"/>
  <cols>
    <col min="1" max="1" width="3.7109375" style="16" bestFit="1" customWidth="1"/>
    <col min="2" max="2" width="30.42578125" style="3" customWidth="1"/>
    <col min="3" max="3" width="17.7109375" style="123" customWidth="1"/>
    <col min="4" max="4" width="8.85546875" style="3" bestFit="1" customWidth="1"/>
    <col min="5" max="5" width="17.7109375" style="123" customWidth="1"/>
    <col min="6" max="7" width="17.7109375" style="161" customWidth="1"/>
    <col min="8" max="8" width="9.140625" style="3"/>
    <col min="9" max="9" width="16.5703125" style="3" bestFit="1" customWidth="1"/>
    <col min="10" max="16384" width="9.140625" style="3"/>
  </cols>
  <sheetData>
    <row r="2" spans="1:9" x14ac:dyDescent="0.2">
      <c r="A2" s="652" t="s">
        <v>757</v>
      </c>
      <c r="B2" s="652"/>
      <c r="C2" s="652"/>
      <c r="D2" s="652"/>
      <c r="E2" s="652"/>
      <c r="F2" s="652"/>
      <c r="G2" s="652"/>
    </row>
    <row r="3" spans="1:9" x14ac:dyDescent="0.2">
      <c r="A3" s="670" t="str">
        <f>+BALANCE!A3</f>
        <v>БАНК БУС САНХҮҮГИЙН БАЙГУУЛЛАГЫН НЭР</v>
      </c>
      <c r="B3" s="670"/>
      <c r="C3" s="670"/>
      <c r="D3" s="670"/>
      <c r="E3" s="670"/>
      <c r="F3" s="670"/>
      <c r="G3" s="670"/>
      <c r="H3" s="9"/>
      <c r="I3" s="9"/>
    </row>
    <row r="4" spans="1:9" x14ac:dyDescent="0.2">
      <c r="A4" s="652" t="str">
        <f>+BALANCE!A4</f>
        <v>БАНК БУС САНХҮҮГИЙН БАЙГУУЛЛАГА</v>
      </c>
      <c r="B4" s="652"/>
      <c r="C4" s="652"/>
      <c r="D4" s="652"/>
      <c r="E4" s="652"/>
      <c r="F4" s="652"/>
      <c r="G4" s="652"/>
      <c r="H4" s="2"/>
      <c r="I4" s="2"/>
    </row>
    <row r="5" spans="1:9" x14ac:dyDescent="0.2">
      <c r="A5" s="721">
        <f>+BALANCE!A6</f>
        <v>44834</v>
      </c>
      <c r="B5" s="721"/>
      <c r="G5" s="164" t="s">
        <v>439</v>
      </c>
    </row>
    <row r="6" spans="1:9" ht="16.5" customHeight="1" x14ac:dyDescent="0.2">
      <c r="A6" s="836" t="s">
        <v>529</v>
      </c>
      <c r="B6" s="836"/>
      <c r="C6" s="836"/>
      <c r="D6" s="836"/>
      <c r="E6" s="836"/>
      <c r="F6" s="860" t="s">
        <v>670</v>
      </c>
      <c r="G6" s="860"/>
    </row>
    <row r="7" spans="1:9" ht="43.5" customHeight="1" x14ac:dyDescent="0.2">
      <c r="A7" s="44" t="s">
        <v>2</v>
      </c>
      <c r="B7" s="251" t="s">
        <v>758</v>
      </c>
      <c r="C7" s="252" t="s">
        <v>759</v>
      </c>
      <c r="D7" s="251" t="s">
        <v>760</v>
      </c>
      <c r="E7" s="252" t="s">
        <v>761</v>
      </c>
      <c r="F7" s="252" t="s">
        <v>762</v>
      </c>
      <c r="G7" s="252" t="s">
        <v>1054</v>
      </c>
    </row>
    <row r="8" spans="1:9" x14ac:dyDescent="0.2">
      <c r="A8" s="253" t="s">
        <v>763</v>
      </c>
      <c r="B8" s="253" t="s">
        <v>764</v>
      </c>
      <c r="C8" s="254">
        <f>+C9+C10+C11</f>
        <v>0</v>
      </c>
      <c r="D8" s="255">
        <v>1</v>
      </c>
      <c r="E8" s="254">
        <f>+SUM(E9:E11)</f>
        <v>0</v>
      </c>
      <c r="F8" s="857">
        <f>+BALANCESHEET!C47</f>
        <v>0</v>
      </c>
      <c r="G8" s="854">
        <f>+F8-E8</f>
        <v>0</v>
      </c>
    </row>
    <row r="9" spans="1:9" ht="15" customHeight="1" x14ac:dyDescent="0.2">
      <c r="A9" s="251">
        <v>1</v>
      </c>
      <c r="B9" s="95" t="s">
        <v>765</v>
      </c>
      <c r="C9" s="165">
        <f>+BALANCESHEET!C34+BALANCESHEET!C41</f>
        <v>0</v>
      </c>
      <c r="D9" s="256">
        <v>0</v>
      </c>
      <c r="E9" s="257">
        <f>C9*D9</f>
        <v>0</v>
      </c>
      <c r="F9" s="857"/>
      <c r="G9" s="854"/>
    </row>
    <row r="10" spans="1:9" ht="15" customHeight="1" x14ac:dyDescent="0.2">
      <c r="A10" s="251">
        <v>2</v>
      </c>
      <c r="B10" s="95" t="s">
        <v>1174</v>
      </c>
      <c r="C10" s="165">
        <f>+BALANCESHEET!C35+BALANCESHEET!C42</f>
        <v>0</v>
      </c>
      <c r="D10" s="96">
        <v>0.05</v>
      </c>
      <c r="E10" s="257">
        <f>C10*D10</f>
        <v>0</v>
      </c>
      <c r="F10" s="857"/>
      <c r="G10" s="854"/>
    </row>
    <row r="11" spans="1:9" ht="15" customHeight="1" x14ac:dyDescent="0.2">
      <c r="A11" s="258">
        <v>3</v>
      </c>
      <c r="B11" s="259" t="s">
        <v>766</v>
      </c>
      <c r="C11" s="260">
        <f>SUM(C12:C14)</f>
        <v>0</v>
      </c>
      <c r="D11" s="261"/>
      <c r="E11" s="262">
        <f>SUM(E12:E14)</f>
        <v>0</v>
      </c>
      <c r="F11" s="857"/>
      <c r="G11" s="854"/>
    </row>
    <row r="12" spans="1:9" x14ac:dyDescent="0.2">
      <c r="A12" s="263"/>
      <c r="B12" s="97" t="s">
        <v>767</v>
      </c>
      <c r="C12" s="165">
        <f>+BALANCESHEET!C37+BALANCESHEET!C44</f>
        <v>0</v>
      </c>
      <c r="D12" s="96">
        <v>0.25</v>
      </c>
      <c r="E12" s="165">
        <f>C12*D12</f>
        <v>0</v>
      </c>
      <c r="F12" s="857"/>
      <c r="G12" s="854"/>
    </row>
    <row r="13" spans="1:9" x14ac:dyDescent="0.2">
      <c r="A13" s="263"/>
      <c r="B13" s="97" t="s">
        <v>768</v>
      </c>
      <c r="C13" s="165">
        <f>+BALANCESHEET!C38+BALANCESHEET!C45</f>
        <v>0</v>
      </c>
      <c r="D13" s="96">
        <v>0.5</v>
      </c>
      <c r="E13" s="165">
        <f>C13*D13</f>
        <v>0</v>
      </c>
      <c r="F13" s="857"/>
      <c r="G13" s="854"/>
    </row>
    <row r="14" spans="1:9" x14ac:dyDescent="0.2">
      <c r="A14" s="263"/>
      <c r="B14" s="97" t="s">
        <v>769</v>
      </c>
      <c r="C14" s="165">
        <f>+BALANCESHEET!C39+BALANCESHEET!C46</f>
        <v>0</v>
      </c>
      <c r="D14" s="96">
        <v>1</v>
      </c>
      <c r="E14" s="165">
        <f>C14*D14</f>
        <v>0</v>
      </c>
      <c r="F14" s="857"/>
      <c r="G14" s="854"/>
    </row>
    <row r="15" spans="1:9" x14ac:dyDescent="0.2">
      <c r="A15" s="264" t="s">
        <v>770</v>
      </c>
      <c r="B15" s="264" t="s">
        <v>771</v>
      </c>
      <c r="C15" s="265">
        <f>+SUM(C16:C18)</f>
        <v>0</v>
      </c>
      <c r="D15" s="266">
        <v>1</v>
      </c>
      <c r="E15" s="265">
        <f>+SUM(E16:E18)</f>
        <v>0</v>
      </c>
      <c r="F15" s="850">
        <f>+BALANCESHEET!C64</f>
        <v>0</v>
      </c>
      <c r="G15" s="851">
        <f>+F15-E15</f>
        <v>0</v>
      </c>
    </row>
    <row r="16" spans="1:9" ht="15" customHeight="1" x14ac:dyDescent="0.2">
      <c r="A16" s="251">
        <v>4</v>
      </c>
      <c r="B16" s="97" t="s">
        <v>772</v>
      </c>
      <c r="C16" s="267">
        <f>+SUM(BALANCESHEET!C51,BALANCESHEET!C58)</f>
        <v>0</v>
      </c>
      <c r="D16" s="268">
        <v>0</v>
      </c>
      <c r="E16" s="166">
        <f>+C16*D16</f>
        <v>0</v>
      </c>
      <c r="F16" s="850"/>
      <c r="G16" s="851"/>
    </row>
    <row r="17" spans="1:7" ht="14.25" customHeight="1" x14ac:dyDescent="0.2">
      <c r="A17" s="251">
        <v>5</v>
      </c>
      <c r="B17" s="97" t="s">
        <v>1175</v>
      </c>
      <c r="C17" s="166">
        <f>+SUM(BALANCESHEET!C52,BALANCESHEET!C59)</f>
        <v>0</v>
      </c>
      <c r="D17" s="98">
        <v>0.05</v>
      </c>
      <c r="E17" s="166">
        <f>+C17*D17</f>
        <v>0</v>
      </c>
      <c r="F17" s="850"/>
      <c r="G17" s="851"/>
    </row>
    <row r="18" spans="1:7" x14ac:dyDescent="0.2">
      <c r="A18" s="269">
        <v>6</v>
      </c>
      <c r="B18" s="259" t="s">
        <v>773</v>
      </c>
      <c r="C18" s="270">
        <f>+SUM(C19:C21)</f>
        <v>0</v>
      </c>
      <c r="D18" s="271"/>
      <c r="E18" s="270">
        <f>+SUM(E19:E21)</f>
        <v>0</v>
      </c>
      <c r="F18" s="850"/>
      <c r="G18" s="851"/>
    </row>
    <row r="19" spans="1:7" x14ac:dyDescent="0.2">
      <c r="A19" s="251"/>
      <c r="B19" s="97" t="s">
        <v>767</v>
      </c>
      <c r="C19" s="166">
        <f>+SUM(BALANCESHEET!C54,BALANCESHEET!C61)</f>
        <v>0</v>
      </c>
      <c r="D19" s="98">
        <v>0.25</v>
      </c>
      <c r="E19" s="166">
        <f>+C19*D19</f>
        <v>0</v>
      </c>
      <c r="F19" s="850"/>
      <c r="G19" s="851"/>
    </row>
    <row r="20" spans="1:7" x14ac:dyDescent="0.2">
      <c r="A20" s="251"/>
      <c r="B20" s="97" t="s">
        <v>768</v>
      </c>
      <c r="C20" s="166">
        <f>+SUM(BALANCESHEET!C55,BALANCESHEET!C62)</f>
        <v>0</v>
      </c>
      <c r="D20" s="98">
        <v>0.5</v>
      </c>
      <c r="E20" s="166">
        <f>+C20*D20</f>
        <v>0</v>
      </c>
      <c r="F20" s="850"/>
      <c r="G20" s="851"/>
    </row>
    <row r="21" spans="1:7" x14ac:dyDescent="0.2">
      <c r="A21" s="251"/>
      <c r="B21" s="97" t="s">
        <v>769</v>
      </c>
      <c r="C21" s="166">
        <f>+SUM(BALANCESHEET!C56,BALANCESHEET!C63)</f>
        <v>0</v>
      </c>
      <c r="D21" s="98">
        <v>1</v>
      </c>
      <c r="E21" s="166">
        <f>+C21*D21</f>
        <v>0</v>
      </c>
      <c r="F21" s="850"/>
      <c r="G21" s="851"/>
    </row>
    <row r="22" spans="1:7" x14ac:dyDescent="0.2">
      <c r="A22" s="253" t="s">
        <v>774</v>
      </c>
      <c r="B22" s="272" t="s">
        <v>775</v>
      </c>
      <c r="C22" s="273">
        <f>+SUM(C23:C25)</f>
        <v>0</v>
      </c>
      <c r="D22" s="274">
        <v>1</v>
      </c>
      <c r="E22" s="273">
        <f>+SUM(E23:E25)</f>
        <v>0</v>
      </c>
      <c r="F22" s="855">
        <f>+BALANCESHEET!C81</f>
        <v>0</v>
      </c>
      <c r="G22" s="856">
        <f>+F22-E22</f>
        <v>0</v>
      </c>
    </row>
    <row r="23" spans="1:7" x14ac:dyDescent="0.2">
      <c r="A23" s="251">
        <v>7</v>
      </c>
      <c r="B23" s="97" t="s">
        <v>776</v>
      </c>
      <c r="C23" s="275">
        <f>+SUM(BALANCESHEET!C68,BALANCESHEET!C75)</f>
        <v>0</v>
      </c>
      <c r="D23" s="268">
        <v>0</v>
      </c>
      <c r="E23" s="165">
        <f>+C23*D23</f>
        <v>0</v>
      </c>
      <c r="F23" s="855"/>
      <c r="G23" s="856"/>
    </row>
    <row r="24" spans="1:7" x14ac:dyDescent="0.2">
      <c r="A24" s="251">
        <v>8</v>
      </c>
      <c r="B24" s="95" t="s">
        <v>1176</v>
      </c>
      <c r="C24" s="165">
        <f>+SUM(BALANCESHEET!C69,BALANCESHEET!C76)</f>
        <v>0</v>
      </c>
      <c r="D24" s="98">
        <v>0.05</v>
      </c>
      <c r="E24" s="165">
        <f>+C24*D24</f>
        <v>0</v>
      </c>
      <c r="F24" s="855"/>
      <c r="G24" s="856"/>
    </row>
    <row r="25" spans="1:7" x14ac:dyDescent="0.2">
      <c r="A25" s="269">
        <v>9</v>
      </c>
      <c r="B25" s="276" t="s">
        <v>777</v>
      </c>
      <c r="C25" s="260">
        <f>+SUM(C26:C28)</f>
        <v>0</v>
      </c>
      <c r="D25" s="271"/>
      <c r="E25" s="260">
        <f>+SUM(E26:E28)</f>
        <v>0</v>
      </c>
      <c r="F25" s="855"/>
      <c r="G25" s="856"/>
    </row>
    <row r="26" spans="1:7" x14ac:dyDescent="0.2">
      <c r="A26" s="251"/>
      <c r="B26" s="95" t="s">
        <v>767</v>
      </c>
      <c r="C26" s="165">
        <f>+SUM(BALANCESHEET!C71,BALANCESHEET!C78)</f>
        <v>0</v>
      </c>
      <c r="D26" s="98">
        <v>0.25</v>
      </c>
      <c r="E26" s="165">
        <f>+C26*D26</f>
        <v>0</v>
      </c>
      <c r="F26" s="855"/>
      <c r="G26" s="856"/>
    </row>
    <row r="27" spans="1:7" x14ac:dyDescent="0.2">
      <c r="A27" s="251"/>
      <c r="B27" s="95" t="s">
        <v>768</v>
      </c>
      <c r="C27" s="165">
        <f>+SUM(BALANCESHEET!C72,BALANCESHEET!C79)</f>
        <v>0</v>
      </c>
      <c r="D27" s="98">
        <v>0.5</v>
      </c>
      <c r="E27" s="165">
        <f>+C27*D27</f>
        <v>0</v>
      </c>
      <c r="F27" s="855"/>
      <c r="G27" s="856"/>
    </row>
    <row r="28" spans="1:7" x14ac:dyDescent="0.2">
      <c r="A28" s="251"/>
      <c r="B28" s="95" t="s">
        <v>769</v>
      </c>
      <c r="C28" s="165">
        <f>+SUM(BALANCESHEET!C73,BALANCESHEET!C80)</f>
        <v>0</v>
      </c>
      <c r="D28" s="98">
        <v>1</v>
      </c>
      <c r="E28" s="165">
        <f>+C28*D28</f>
        <v>0</v>
      </c>
      <c r="F28" s="855"/>
      <c r="G28" s="856"/>
    </row>
    <row r="29" spans="1:7" x14ac:dyDescent="0.2">
      <c r="A29" s="253" t="s">
        <v>778</v>
      </c>
      <c r="B29" s="272" t="s">
        <v>512</v>
      </c>
      <c r="C29" s="273">
        <f>+SUM(C30:C32)</f>
        <v>0</v>
      </c>
      <c r="D29" s="274">
        <v>1</v>
      </c>
      <c r="E29" s="273">
        <f>+SUM(E30:E32)</f>
        <v>0</v>
      </c>
      <c r="F29" s="850">
        <f>+BALANCESHEET!C109</f>
        <v>0</v>
      </c>
      <c r="G29" s="851">
        <f>+F29-E29</f>
        <v>0</v>
      </c>
    </row>
    <row r="30" spans="1:7" x14ac:dyDescent="0.2">
      <c r="A30" s="251">
        <v>10</v>
      </c>
      <c r="B30" s="95" t="s">
        <v>292</v>
      </c>
      <c r="C30" s="165">
        <f>+SUM(BALANCESHEET!C96,BALANCESHEET!C103)</f>
        <v>0</v>
      </c>
      <c r="D30" s="256">
        <v>0</v>
      </c>
      <c r="E30" s="165">
        <f>+C30*D30</f>
        <v>0</v>
      </c>
      <c r="F30" s="850"/>
      <c r="G30" s="851"/>
    </row>
    <row r="31" spans="1:7" x14ac:dyDescent="0.2">
      <c r="A31" s="251">
        <v>11</v>
      </c>
      <c r="B31" s="95" t="s">
        <v>1170</v>
      </c>
      <c r="C31" s="165">
        <f>+SUM(BALANCESHEET!C97,BALANCESHEET!C104)</f>
        <v>0</v>
      </c>
      <c r="D31" s="98">
        <v>0.05</v>
      </c>
      <c r="E31" s="165">
        <f>+C31*D31</f>
        <v>0</v>
      </c>
      <c r="F31" s="850"/>
      <c r="G31" s="851"/>
    </row>
    <row r="32" spans="1:7" x14ac:dyDescent="0.2">
      <c r="A32" s="269">
        <v>12</v>
      </c>
      <c r="B32" s="276" t="s">
        <v>779</v>
      </c>
      <c r="C32" s="260">
        <f>+SUM(C33:C35)</f>
        <v>0</v>
      </c>
      <c r="D32" s="271"/>
      <c r="E32" s="260">
        <f>+SUM(E33:E35)</f>
        <v>0</v>
      </c>
      <c r="F32" s="850"/>
      <c r="G32" s="851"/>
    </row>
    <row r="33" spans="1:7" x14ac:dyDescent="0.2">
      <c r="A33" s="277"/>
      <c r="B33" s="95" t="s">
        <v>767</v>
      </c>
      <c r="C33" s="165">
        <f>+SUM(BALANCESHEET!C99,BALANCESHEET!C106)</f>
        <v>0</v>
      </c>
      <c r="D33" s="98">
        <v>0.25</v>
      </c>
      <c r="E33" s="165">
        <f>+C33*D33</f>
        <v>0</v>
      </c>
      <c r="F33" s="850"/>
      <c r="G33" s="851"/>
    </row>
    <row r="34" spans="1:7" x14ac:dyDescent="0.2">
      <c r="A34" s="277"/>
      <c r="B34" s="95" t="s">
        <v>768</v>
      </c>
      <c r="C34" s="165">
        <f>+SUM(BALANCESHEET!C100,BALANCESHEET!C107)</f>
        <v>0</v>
      </c>
      <c r="D34" s="98">
        <v>0.5</v>
      </c>
      <c r="E34" s="165">
        <f>+C34*D34</f>
        <v>0</v>
      </c>
      <c r="F34" s="850"/>
      <c r="G34" s="851"/>
    </row>
    <row r="35" spans="1:7" x14ac:dyDescent="0.2">
      <c r="A35" s="277"/>
      <c r="B35" s="95" t="s">
        <v>769</v>
      </c>
      <c r="C35" s="165">
        <f>+SUM(BALANCESHEET!C101,BALANCESHEET!C108)</f>
        <v>0</v>
      </c>
      <c r="D35" s="98">
        <v>1</v>
      </c>
      <c r="E35" s="165">
        <f>+C35*D35</f>
        <v>0</v>
      </c>
      <c r="F35" s="850"/>
      <c r="G35" s="851"/>
    </row>
    <row r="36" spans="1:7" x14ac:dyDescent="0.2">
      <c r="A36" s="253" t="s">
        <v>780</v>
      </c>
      <c r="B36" s="272" t="s">
        <v>781</v>
      </c>
      <c r="C36" s="278">
        <f>+SUM(BALANCESHEET!C17,BALANCESHEET!C23)</f>
        <v>0</v>
      </c>
      <c r="D36" s="279">
        <v>0</v>
      </c>
      <c r="E36" s="278">
        <f>+C36*D36</f>
        <v>0</v>
      </c>
      <c r="F36" s="280">
        <f>+BALANCESHEET!C30</f>
        <v>0</v>
      </c>
      <c r="G36" s="281">
        <f>+F36-E36</f>
        <v>0</v>
      </c>
    </row>
    <row r="37" spans="1:7" x14ac:dyDescent="0.2">
      <c r="A37" s="253" t="s">
        <v>782</v>
      </c>
      <c r="B37" s="272" t="s">
        <v>783</v>
      </c>
      <c r="C37" s="273">
        <f>+SUM(C38:C40)</f>
        <v>0</v>
      </c>
      <c r="D37" s="282">
        <v>1</v>
      </c>
      <c r="E37" s="273">
        <f>+SUM(E38:E40)</f>
        <v>0</v>
      </c>
      <c r="F37" s="852">
        <f>+BALANCESHEET!C84</f>
        <v>0</v>
      </c>
      <c r="G37" s="853">
        <f>+F37-E37</f>
        <v>0</v>
      </c>
    </row>
    <row r="38" spans="1:7" x14ac:dyDescent="0.2">
      <c r="A38" s="195">
        <v>13</v>
      </c>
      <c r="B38" s="97" t="s">
        <v>784</v>
      </c>
      <c r="C38" s="275">
        <f>+BALANCE!D176/1000</f>
        <v>0</v>
      </c>
      <c r="D38" s="283">
        <v>0</v>
      </c>
      <c r="E38" s="165">
        <f>+C38*D38</f>
        <v>0</v>
      </c>
      <c r="F38" s="852"/>
      <c r="G38" s="853"/>
    </row>
    <row r="39" spans="1:7" x14ac:dyDescent="0.2">
      <c r="A39" s="251">
        <v>14</v>
      </c>
      <c r="B39" s="95" t="s">
        <v>1177</v>
      </c>
      <c r="C39" s="165">
        <f>+BALANCE!D177/1000</f>
        <v>0</v>
      </c>
      <c r="D39" s="98">
        <v>0.05</v>
      </c>
      <c r="E39" s="165">
        <f>+C39*D39</f>
        <v>0</v>
      </c>
      <c r="F39" s="852"/>
      <c r="G39" s="853"/>
    </row>
    <row r="40" spans="1:7" x14ac:dyDescent="0.2">
      <c r="A40" s="269">
        <v>15</v>
      </c>
      <c r="B40" s="276" t="s">
        <v>785</v>
      </c>
      <c r="C40" s="260">
        <f>+SUM(C41:C43)</f>
        <v>0</v>
      </c>
      <c r="D40" s="271"/>
      <c r="E40" s="260">
        <f>+SUM(E41:E43)</f>
        <v>0</v>
      </c>
      <c r="F40" s="852"/>
      <c r="G40" s="853"/>
    </row>
    <row r="41" spans="1:7" x14ac:dyDescent="0.2">
      <c r="A41" s="251"/>
      <c r="B41" s="95" t="s">
        <v>767</v>
      </c>
      <c r="C41" s="165">
        <f>+BALANCE!D179/1000</f>
        <v>0</v>
      </c>
      <c r="D41" s="98">
        <v>0.25</v>
      </c>
      <c r="E41" s="165">
        <f>+C41*D41</f>
        <v>0</v>
      </c>
      <c r="F41" s="852"/>
      <c r="G41" s="853"/>
    </row>
    <row r="42" spans="1:7" x14ac:dyDescent="0.2">
      <c r="A42" s="251"/>
      <c r="B42" s="95" t="s">
        <v>768</v>
      </c>
      <c r="C42" s="165">
        <f>+BALANCE!D180/1000</f>
        <v>0</v>
      </c>
      <c r="D42" s="98">
        <v>0.5</v>
      </c>
      <c r="E42" s="165">
        <f>+C42*D42</f>
        <v>0</v>
      </c>
      <c r="F42" s="852"/>
      <c r="G42" s="853"/>
    </row>
    <row r="43" spans="1:7" x14ac:dyDescent="0.2">
      <c r="A43" s="251"/>
      <c r="B43" s="95" t="s">
        <v>769</v>
      </c>
      <c r="C43" s="165">
        <f>+BALANCE!D181/1000</f>
        <v>0</v>
      </c>
      <c r="D43" s="98">
        <v>1</v>
      </c>
      <c r="E43" s="165">
        <f>+C43*D43</f>
        <v>0</v>
      </c>
      <c r="F43" s="852"/>
      <c r="G43" s="853"/>
    </row>
    <row r="44" spans="1:7" ht="25.5" x14ac:dyDescent="0.2">
      <c r="A44" s="253" t="s">
        <v>786</v>
      </c>
      <c r="B44" s="272" t="s">
        <v>787</v>
      </c>
      <c r="C44" s="284">
        <f>+SUM(BALANCE!D332,BALANCE!D333)/1000</f>
        <v>0</v>
      </c>
      <c r="D44" s="285">
        <v>0</v>
      </c>
      <c r="E44" s="284">
        <f>+C44*D44</f>
        <v>0</v>
      </c>
      <c r="F44" s="286"/>
      <c r="G44" s="281"/>
    </row>
    <row r="45" spans="1:7" ht="15.75" customHeight="1" x14ac:dyDescent="0.2">
      <c r="A45" s="858" t="s">
        <v>788</v>
      </c>
      <c r="B45" s="858"/>
      <c r="C45" s="287">
        <f>+C44+C37+C36+C29+C22+C15+C8</f>
        <v>0</v>
      </c>
      <c r="D45" s="288"/>
      <c r="E45" s="287">
        <f>+E8+E15+E22+E29+E36+E37+E44</f>
        <v>0</v>
      </c>
      <c r="F45" s="289">
        <f>+F8+F15+F22+F29+F36+F37+F44</f>
        <v>0</v>
      </c>
      <c r="G45" s="290">
        <f>+G8+G15+G22+G29+G36+G37+G44</f>
        <v>0</v>
      </c>
    </row>
    <row r="47" spans="1:7" x14ac:dyDescent="0.2">
      <c r="A47" s="859" t="s">
        <v>36</v>
      </c>
      <c r="B47" s="859"/>
      <c r="C47" s="3"/>
      <c r="D47" s="126"/>
      <c r="E47" s="126"/>
      <c r="F47" s="13"/>
      <c r="G47" s="14"/>
    </row>
    <row r="48" spans="1:7" x14ac:dyDescent="0.2">
      <c r="B48" s="15"/>
      <c r="C48" s="16"/>
      <c r="D48" s="126"/>
      <c r="E48" s="126"/>
      <c r="F48" s="13"/>
      <c r="G48" s="14"/>
    </row>
    <row r="49" spans="2:7" x14ac:dyDescent="0.2">
      <c r="B49" s="718" t="s">
        <v>437</v>
      </c>
      <c r="C49" s="718"/>
      <c r="D49" s="17"/>
      <c r="F49" s="13"/>
      <c r="G49" s="14"/>
    </row>
    <row r="50" spans="2:7" x14ac:dyDescent="0.2">
      <c r="B50" s="15"/>
      <c r="C50" s="16"/>
      <c r="D50" s="126"/>
      <c r="E50" s="126"/>
      <c r="F50" s="13"/>
      <c r="G50" s="14"/>
    </row>
    <row r="51" spans="2:7" ht="15" customHeight="1" x14ac:dyDescent="0.2">
      <c r="B51" s="835" t="str">
        <f>+BALANCE!D361</f>
        <v>ГҮЙЦЭТГЭХ ЗАХИРАЛ.................................................................//</v>
      </c>
      <c r="C51" s="835"/>
      <c r="D51" s="835"/>
      <c r="E51" s="835"/>
      <c r="F51" s="835"/>
      <c r="G51" s="835"/>
    </row>
    <row r="52" spans="2:7" x14ac:dyDescent="0.2">
      <c r="B52" s="15"/>
      <c r="C52" s="53"/>
      <c r="D52" s="401"/>
      <c r="E52" s="129"/>
      <c r="F52" s="129"/>
      <c r="G52" s="129"/>
    </row>
    <row r="53" spans="2:7" ht="15" customHeight="1" x14ac:dyDescent="0.2">
      <c r="B53" s="835" t="str">
        <f>+BALANCE!D363</f>
        <v>ЕРӨНХИЙ НЯГТЛАН БОДОГЧ....................................................//</v>
      </c>
      <c r="C53" s="835"/>
      <c r="D53" s="835"/>
      <c r="E53" s="835"/>
      <c r="F53" s="835"/>
      <c r="G53" s="835"/>
    </row>
    <row r="54" spans="2:7" x14ac:dyDescent="0.2">
      <c r="B54" s="15"/>
      <c r="C54" s="53"/>
      <c r="D54" s="401"/>
      <c r="E54" s="129"/>
      <c r="F54" s="129"/>
      <c r="G54" s="129"/>
    </row>
    <row r="55" spans="2:7" ht="15" customHeight="1" x14ac:dyDescent="0.2">
      <c r="B55" s="835">
        <f>+BALANCE!D365</f>
        <v>0</v>
      </c>
      <c r="C55" s="835"/>
      <c r="D55" s="835"/>
      <c r="E55" s="835"/>
      <c r="F55" s="835"/>
      <c r="G55" s="835"/>
    </row>
  </sheetData>
  <sheetProtection password="CA9F" sheet="1"/>
  <mergeCells count="22">
    <mergeCell ref="A2:G2"/>
    <mergeCell ref="A3:G3"/>
    <mergeCell ref="A4:G4"/>
    <mergeCell ref="A5:B5"/>
    <mergeCell ref="A6:E6"/>
    <mergeCell ref="F6:G6"/>
    <mergeCell ref="B55:G55"/>
    <mergeCell ref="B53:G53"/>
    <mergeCell ref="B51:G51"/>
    <mergeCell ref="A45:B45"/>
    <mergeCell ref="A47:B47"/>
    <mergeCell ref="B49:C49"/>
    <mergeCell ref="F29:F35"/>
    <mergeCell ref="G29:G35"/>
    <mergeCell ref="F37:F43"/>
    <mergeCell ref="G37:G43"/>
    <mergeCell ref="G8:G14"/>
    <mergeCell ref="F15:F21"/>
    <mergeCell ref="G15:G21"/>
    <mergeCell ref="F22:F28"/>
    <mergeCell ref="G22:G28"/>
    <mergeCell ref="F8:F14"/>
  </mergeCells>
  <pageMargins left="0.7" right="0.7" top="0.75" bottom="0.75" header="0.3" footer="0.3"/>
  <pageSetup paperSize="9" scale="78"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2:L39"/>
  <sheetViews>
    <sheetView workbookViewId="0"/>
  </sheetViews>
  <sheetFormatPr defaultRowHeight="12.75" x14ac:dyDescent="0.2"/>
  <cols>
    <col min="1" max="1" width="1.85546875" style="3" bestFit="1" customWidth="1"/>
    <col min="2" max="2" width="47" style="3" bestFit="1" customWidth="1"/>
    <col min="3" max="11" width="17.7109375" style="123" customWidth="1"/>
    <col min="12" max="12" width="15.85546875" style="9" customWidth="1"/>
    <col min="13" max="16384" width="9.140625" style="3"/>
  </cols>
  <sheetData>
    <row r="2" spans="1:12" x14ac:dyDescent="0.2">
      <c r="A2" s="652" t="s">
        <v>789</v>
      </c>
      <c r="B2" s="652"/>
      <c r="C2" s="652"/>
      <c r="D2" s="652"/>
      <c r="E2" s="652"/>
      <c r="F2" s="652"/>
      <c r="G2" s="652"/>
      <c r="H2" s="652"/>
      <c r="I2" s="652"/>
      <c r="J2" s="652"/>
      <c r="K2" s="652"/>
    </row>
    <row r="3" spans="1:12" x14ac:dyDescent="0.2">
      <c r="A3" s="719" t="str">
        <f>BALANCE!A3</f>
        <v>БАНК БУС САНХҮҮГИЙН БАЙГУУЛЛАГЫН НЭР</v>
      </c>
      <c r="B3" s="719"/>
      <c r="C3" s="719"/>
      <c r="D3" s="719"/>
      <c r="E3" s="719"/>
      <c r="F3" s="719"/>
      <c r="G3" s="719"/>
      <c r="H3" s="719"/>
      <c r="I3" s="719"/>
      <c r="J3" s="719"/>
      <c r="K3" s="719"/>
    </row>
    <row r="4" spans="1:12" x14ac:dyDescent="0.2">
      <c r="A4" s="652" t="str">
        <f>+BALANCE!A4</f>
        <v>БАНК БУС САНХҮҮГИЙН БАЙГУУЛЛАГА</v>
      </c>
      <c r="B4" s="652"/>
      <c r="C4" s="652"/>
      <c r="D4" s="652"/>
      <c r="E4" s="652"/>
      <c r="F4" s="652"/>
      <c r="G4" s="652"/>
      <c r="H4" s="652"/>
      <c r="I4" s="652"/>
      <c r="J4" s="652"/>
      <c r="K4" s="652"/>
    </row>
    <row r="5" spans="1:12" x14ac:dyDescent="0.2">
      <c r="A5" s="1"/>
      <c r="B5" s="1"/>
      <c r="C5" s="1"/>
      <c r="D5" s="1"/>
      <c r="E5" s="1"/>
      <c r="F5" s="1"/>
      <c r="G5" s="1"/>
      <c r="H5" s="1"/>
      <c r="I5" s="1"/>
      <c r="J5" s="1"/>
      <c r="K5" s="1"/>
    </row>
    <row r="6" spans="1:12" x14ac:dyDescent="0.2">
      <c r="A6" s="731">
        <f>BALANCE!A6</f>
        <v>44834</v>
      </c>
      <c r="B6" s="731"/>
      <c r="J6" s="849" t="s">
        <v>439</v>
      </c>
      <c r="K6" s="849"/>
    </row>
    <row r="7" spans="1:12" ht="18.75" customHeight="1" x14ac:dyDescent="0.2">
      <c r="A7" s="836" t="s">
        <v>790</v>
      </c>
      <c r="B7" s="836"/>
      <c r="C7" s="235" t="s">
        <v>791</v>
      </c>
      <c r="D7" s="235" t="s">
        <v>792</v>
      </c>
      <c r="E7" s="235" t="s">
        <v>793</v>
      </c>
      <c r="F7" s="235" t="s">
        <v>794</v>
      </c>
      <c r="G7" s="235" t="s">
        <v>795</v>
      </c>
      <c r="H7" s="235" t="s">
        <v>796</v>
      </c>
      <c r="I7" s="235" t="s">
        <v>797</v>
      </c>
      <c r="J7" s="235" t="s">
        <v>798</v>
      </c>
      <c r="K7" s="235" t="s">
        <v>799</v>
      </c>
    </row>
    <row r="8" spans="1:12" x14ac:dyDescent="0.2">
      <c r="A8" s="39">
        <v>1</v>
      </c>
      <c r="B8" s="39" t="s">
        <v>53</v>
      </c>
      <c r="C8" s="243">
        <f>+BALANCESHEET!C11</f>
        <v>0</v>
      </c>
      <c r="D8" s="243"/>
      <c r="E8" s="243"/>
      <c r="F8" s="243"/>
      <c r="G8" s="243"/>
      <c r="H8" s="243"/>
      <c r="I8" s="243"/>
      <c r="J8" s="243"/>
      <c r="K8" s="243">
        <f t="shared" ref="K8:K15" si="0">+SUM(C8:J8)</f>
        <v>0</v>
      </c>
    </row>
    <row r="9" spans="1:12" x14ac:dyDescent="0.2">
      <c r="A9" s="39">
        <v>2</v>
      </c>
      <c r="B9" s="39" t="s">
        <v>719</v>
      </c>
      <c r="C9" s="291"/>
      <c r="D9" s="291"/>
      <c r="E9" s="291"/>
      <c r="F9" s="291"/>
      <c r="G9" s="291"/>
      <c r="H9" s="291"/>
      <c r="I9" s="291"/>
      <c r="J9" s="291"/>
      <c r="K9" s="243">
        <f t="shared" si="0"/>
        <v>0</v>
      </c>
      <c r="L9" s="9" t="str">
        <f>+IF(K9=ROUND((BALANCESHEET!C12+BALANCESHEET!C14),2),"","Тэнцлийн дүн зөрүүтэй")</f>
        <v/>
      </c>
    </row>
    <row r="10" spans="1:12" x14ac:dyDescent="0.2">
      <c r="A10" s="39">
        <v>3</v>
      </c>
      <c r="B10" s="39" t="s">
        <v>720</v>
      </c>
      <c r="C10" s="291"/>
      <c r="D10" s="291"/>
      <c r="E10" s="291"/>
      <c r="F10" s="291"/>
      <c r="G10" s="291"/>
      <c r="H10" s="291"/>
      <c r="I10" s="291"/>
      <c r="J10" s="291"/>
      <c r="K10" s="243">
        <f t="shared" si="0"/>
        <v>0</v>
      </c>
      <c r="L10" s="9" t="str">
        <f>+IF(K10=ROUND((BALANCESHEET!C13+BALANCESHEET!C15),2),"","Тэнцлийн дүн зөрүүтэй")</f>
        <v/>
      </c>
    </row>
    <row r="11" spans="1:12" x14ac:dyDescent="0.2">
      <c r="A11" s="39">
        <v>4</v>
      </c>
      <c r="B11" s="39" t="s">
        <v>31</v>
      </c>
      <c r="C11" s="591"/>
      <c r="D11" s="291"/>
      <c r="E11" s="291"/>
      <c r="F11" s="291"/>
      <c r="G11" s="291"/>
      <c r="H11" s="291"/>
      <c r="I11" s="291"/>
      <c r="J11" s="291"/>
      <c r="K11" s="243">
        <f t="shared" si="0"/>
        <v>0</v>
      </c>
      <c r="L11" s="9" t="str">
        <f>+IF(K11=ROUND((BALANCESHEET!C32),2),"","Тэнцлийн дүн зөрүүтэй")</f>
        <v/>
      </c>
    </row>
    <row r="12" spans="1:12" x14ac:dyDescent="0.2">
      <c r="A12" s="39">
        <v>5</v>
      </c>
      <c r="B12" s="39" t="s">
        <v>800</v>
      </c>
      <c r="C12" s="591"/>
      <c r="D12" s="291"/>
      <c r="E12" s="291"/>
      <c r="F12" s="291"/>
      <c r="G12" s="291"/>
      <c r="H12" s="291"/>
      <c r="I12" s="291"/>
      <c r="J12" s="291"/>
      <c r="K12" s="243">
        <f t="shared" si="0"/>
        <v>0</v>
      </c>
      <c r="L12" s="9" t="str">
        <f>+IF(K12=ROUND((BALANCESHEET!C17+BALANCESHEET!C23),2),"","Тэнцлийн дүн зөрүүтэй")</f>
        <v/>
      </c>
    </row>
    <row r="13" spans="1:12" x14ac:dyDescent="0.2">
      <c r="A13" s="39">
        <v>6</v>
      </c>
      <c r="B13" s="39" t="s">
        <v>801</v>
      </c>
      <c r="C13" s="591"/>
      <c r="D13" s="291"/>
      <c r="E13" s="291"/>
      <c r="F13" s="291"/>
      <c r="G13" s="291"/>
      <c r="H13" s="291"/>
      <c r="I13" s="291"/>
      <c r="J13" s="291"/>
      <c r="K13" s="243">
        <f t="shared" si="0"/>
        <v>0</v>
      </c>
      <c r="L13" s="9" t="str">
        <f>+IF(K13=ROUND((BALANCESHEET!C66),2),"","Тэнцлийн дүн зөрүүтэй")</f>
        <v/>
      </c>
    </row>
    <row r="14" spans="1:12" x14ac:dyDescent="0.2">
      <c r="A14" s="39">
        <v>7</v>
      </c>
      <c r="B14" s="39" t="s">
        <v>802</v>
      </c>
      <c r="C14" s="592"/>
      <c r="D14" s="291"/>
      <c r="E14" s="291"/>
      <c r="F14" s="291"/>
      <c r="G14" s="291"/>
      <c r="H14" s="291"/>
      <c r="I14" s="291"/>
      <c r="J14" s="291"/>
      <c r="K14" s="243">
        <f t="shared" si="0"/>
        <v>0</v>
      </c>
      <c r="L14" s="9" t="str">
        <f>+IF(K14=ROUND((BALANCESHEET!C94),2),"","Тэнцлийн дүн зөрүүтэй")</f>
        <v/>
      </c>
    </row>
    <row r="15" spans="1:12" x14ac:dyDescent="0.2">
      <c r="A15" s="39">
        <v>8</v>
      </c>
      <c r="B15" s="485" t="s">
        <v>803</v>
      </c>
      <c r="C15" s="291"/>
      <c r="D15" s="486"/>
      <c r="E15" s="291"/>
      <c r="F15" s="291"/>
      <c r="G15" s="291"/>
      <c r="H15" s="291"/>
      <c r="I15" s="291"/>
      <c r="J15" s="291"/>
      <c r="K15" s="243">
        <f t="shared" si="0"/>
        <v>0</v>
      </c>
      <c r="L15" s="9" t="str">
        <f>+IF(K15=ROUND((BALANCESHEET!C110),2),"","Тэнцлийн дүн зөрүүтэй")</f>
        <v/>
      </c>
    </row>
    <row r="16" spans="1:12" x14ac:dyDescent="0.2">
      <c r="A16" s="861" t="s">
        <v>804</v>
      </c>
      <c r="B16" s="861"/>
      <c r="C16" s="487">
        <f t="shared" ref="C16:K16" si="1">+SUM(C8:C15)</f>
        <v>0</v>
      </c>
      <c r="D16" s="237">
        <f t="shared" si="1"/>
        <v>0</v>
      </c>
      <c r="E16" s="237">
        <f t="shared" si="1"/>
        <v>0</v>
      </c>
      <c r="F16" s="237">
        <f t="shared" si="1"/>
        <v>0</v>
      </c>
      <c r="G16" s="237">
        <f t="shared" si="1"/>
        <v>0</v>
      </c>
      <c r="H16" s="237">
        <f t="shared" si="1"/>
        <v>0</v>
      </c>
      <c r="I16" s="237">
        <f t="shared" si="1"/>
        <v>0</v>
      </c>
      <c r="J16" s="237">
        <f t="shared" si="1"/>
        <v>0</v>
      </c>
      <c r="K16" s="237">
        <f t="shared" si="1"/>
        <v>0</v>
      </c>
    </row>
    <row r="17" spans="1:12" x14ac:dyDescent="0.2">
      <c r="A17" s="862" t="s">
        <v>805</v>
      </c>
      <c r="B17" s="862"/>
      <c r="C17" s="292"/>
      <c r="D17" s="292"/>
      <c r="E17" s="292"/>
      <c r="F17" s="292"/>
      <c r="G17" s="292"/>
      <c r="H17" s="292"/>
      <c r="I17" s="292"/>
      <c r="J17" s="292"/>
      <c r="K17" s="292"/>
    </row>
    <row r="18" spans="1:12" x14ac:dyDescent="0.2">
      <c r="A18" s="39">
        <v>1</v>
      </c>
      <c r="B18" s="39" t="s">
        <v>54</v>
      </c>
      <c r="C18" s="565"/>
      <c r="D18" s="191"/>
      <c r="E18" s="191"/>
      <c r="F18" s="191"/>
      <c r="G18" s="191"/>
      <c r="H18" s="191"/>
      <c r="I18" s="191"/>
      <c r="J18" s="191"/>
      <c r="K18" s="243">
        <f t="shared" ref="K18:K23" si="2">+SUM(C18:J18)</f>
        <v>0</v>
      </c>
      <c r="L18" s="9" t="str">
        <f>+IF(K18=ROUND((BALANCESHEET!G10),2),"","Тэнцлийн дүн зөрүүтэй")</f>
        <v/>
      </c>
    </row>
    <row r="19" spans="1:12" x14ac:dyDescent="0.2">
      <c r="A19" s="39">
        <v>2</v>
      </c>
      <c r="B19" s="39" t="s">
        <v>722</v>
      </c>
      <c r="C19" s="565"/>
      <c r="D19" s="191"/>
      <c r="E19" s="191"/>
      <c r="F19" s="191"/>
      <c r="G19" s="191"/>
      <c r="H19" s="191"/>
      <c r="I19" s="191"/>
      <c r="J19" s="191"/>
      <c r="K19" s="243">
        <f t="shared" si="2"/>
        <v>0</v>
      </c>
      <c r="L19" s="9" t="str">
        <f>+IF(K19=ROUND((BALANCESHEET!G14),2),"","Тэнцлийн дүн зөрүүтэй")</f>
        <v/>
      </c>
    </row>
    <row r="20" spans="1:12" x14ac:dyDescent="0.2">
      <c r="A20" s="39">
        <v>3</v>
      </c>
      <c r="B20" s="39" t="s">
        <v>726</v>
      </c>
      <c r="C20" s="191"/>
      <c r="D20" s="191"/>
      <c r="E20" s="191"/>
      <c r="F20" s="191"/>
      <c r="G20" s="191"/>
      <c r="H20" s="191"/>
      <c r="I20" s="191"/>
      <c r="J20" s="191"/>
      <c r="K20" s="243">
        <f t="shared" si="2"/>
        <v>0</v>
      </c>
      <c r="L20" s="9" t="str">
        <f>+IF(K20=ROUND((BALANCESHEET!G33),2),"","Тэнцлийн дүн зөрүүтэй")</f>
        <v/>
      </c>
    </row>
    <row r="21" spans="1:12" x14ac:dyDescent="0.2">
      <c r="A21" s="39">
        <v>4</v>
      </c>
      <c r="B21" s="39" t="s">
        <v>806</v>
      </c>
      <c r="C21" s="565"/>
      <c r="D21" s="191"/>
      <c r="E21" s="191"/>
      <c r="F21" s="191"/>
      <c r="G21" s="191"/>
      <c r="H21" s="191"/>
      <c r="I21" s="191"/>
      <c r="J21" s="191"/>
      <c r="K21" s="243">
        <f t="shared" si="2"/>
        <v>0</v>
      </c>
      <c r="L21" s="9" t="str">
        <f>+IF(K21=ROUND((BALANCESHEET!G39),2),"","Тэнцлийн дүн зөрүүтэй")</f>
        <v/>
      </c>
    </row>
    <row r="22" spans="1:12" x14ac:dyDescent="0.2">
      <c r="A22" s="39">
        <v>5</v>
      </c>
      <c r="B22" s="39" t="s">
        <v>743</v>
      </c>
      <c r="C22" s="565"/>
      <c r="D22" s="191"/>
      <c r="E22" s="191"/>
      <c r="F22" s="191"/>
      <c r="G22" s="191"/>
      <c r="H22" s="191"/>
      <c r="I22" s="191"/>
      <c r="J22" s="191"/>
      <c r="K22" s="243">
        <f t="shared" si="2"/>
        <v>0</v>
      </c>
      <c r="L22" s="9" t="str">
        <f>+IF(K22=ROUND((BALANCESHEET!G42),2),"","Тэнцлийн дүн зөрүүтэй")</f>
        <v/>
      </c>
    </row>
    <row r="23" spans="1:12" x14ac:dyDescent="0.2">
      <c r="A23" s="39">
        <v>6</v>
      </c>
      <c r="B23" s="39" t="s">
        <v>807</v>
      </c>
      <c r="C23" s="191"/>
      <c r="D23" s="191"/>
      <c r="E23" s="191"/>
      <c r="F23" s="191"/>
      <c r="G23" s="191"/>
      <c r="H23" s="191"/>
      <c r="I23" s="191"/>
      <c r="J23" s="191"/>
      <c r="K23" s="243">
        <f t="shared" si="2"/>
        <v>0</v>
      </c>
      <c r="L23" s="9" t="str">
        <f>+IF(K23=ROUND((BALANCESHEET!G97),2),"","Тэнцлийн дүн зөрүүтэй")</f>
        <v/>
      </c>
    </row>
    <row r="24" spans="1:12" x14ac:dyDescent="0.2">
      <c r="A24" s="861" t="s">
        <v>808</v>
      </c>
      <c r="B24" s="861"/>
      <c r="C24" s="237">
        <f t="shared" ref="C24:K24" si="3">+SUM(C18:C23)</f>
        <v>0</v>
      </c>
      <c r="D24" s="237">
        <f t="shared" si="3"/>
        <v>0</v>
      </c>
      <c r="E24" s="237">
        <f t="shared" si="3"/>
        <v>0</v>
      </c>
      <c r="F24" s="237">
        <f t="shared" si="3"/>
        <v>0</v>
      </c>
      <c r="G24" s="237">
        <f t="shared" si="3"/>
        <v>0</v>
      </c>
      <c r="H24" s="237">
        <f t="shared" si="3"/>
        <v>0</v>
      </c>
      <c r="I24" s="237">
        <f t="shared" si="3"/>
        <v>0</v>
      </c>
      <c r="J24" s="237">
        <f t="shared" si="3"/>
        <v>0</v>
      </c>
      <c r="K24" s="237">
        <f t="shared" si="3"/>
        <v>0</v>
      </c>
    </row>
    <row r="25" spans="1:12" x14ac:dyDescent="0.2">
      <c r="A25" s="863" t="s">
        <v>809</v>
      </c>
      <c r="B25" s="863"/>
      <c r="C25" s="238">
        <f>+C16-C24</f>
        <v>0</v>
      </c>
      <c r="D25" s="238">
        <f>+D16-D24</f>
        <v>0</v>
      </c>
      <c r="E25" s="238">
        <f t="shared" ref="E25:J25" si="4">+E16-E24</f>
        <v>0</v>
      </c>
      <c r="F25" s="238">
        <f t="shared" si="4"/>
        <v>0</v>
      </c>
      <c r="G25" s="238">
        <f t="shared" si="4"/>
        <v>0</v>
      </c>
      <c r="H25" s="238">
        <f t="shared" si="4"/>
        <v>0</v>
      </c>
      <c r="I25" s="238">
        <f t="shared" si="4"/>
        <v>0</v>
      </c>
      <c r="J25" s="238">
        <f t="shared" si="4"/>
        <v>0</v>
      </c>
      <c r="K25" s="238">
        <f>+K16-K24</f>
        <v>0</v>
      </c>
    </row>
    <row r="26" spans="1:12" x14ac:dyDescent="0.2">
      <c r="A26" s="863" t="s">
        <v>810</v>
      </c>
      <c r="B26" s="863"/>
      <c r="C26" s="238">
        <f>+C25</f>
        <v>0</v>
      </c>
      <c r="D26" s="238">
        <f>+SUM(C25:D25)</f>
        <v>0</v>
      </c>
      <c r="E26" s="238">
        <f>+SUM(C25:E25)</f>
        <v>0</v>
      </c>
      <c r="F26" s="238">
        <f>+SUM(C25:F25)</f>
        <v>0</v>
      </c>
      <c r="G26" s="238">
        <f>+SUM(C25:G25)</f>
        <v>0</v>
      </c>
      <c r="H26" s="238">
        <f>+SUM(C25:H25)</f>
        <v>0</v>
      </c>
      <c r="I26" s="238">
        <f>+SUM(C25:I25)</f>
        <v>0</v>
      </c>
      <c r="J26" s="238">
        <f>+SUM(C25:J25)</f>
        <v>0</v>
      </c>
      <c r="K26" s="238">
        <f>K25</f>
        <v>0</v>
      </c>
    </row>
    <row r="27" spans="1:12" s="13" customFormat="1" ht="31.5" customHeight="1" x14ac:dyDescent="0.25">
      <c r="A27" s="864" t="s">
        <v>811</v>
      </c>
      <c r="B27" s="864"/>
      <c r="C27" s="293" t="e">
        <f>+C26/BALANCESHEET!C116</f>
        <v>#DIV/0!</v>
      </c>
      <c r="D27" s="293" t="e">
        <f>+D26/BALANCESHEET!C116</f>
        <v>#DIV/0!</v>
      </c>
      <c r="E27" s="293" t="e">
        <f>+E26/BALANCESHEET!C116</f>
        <v>#DIV/0!</v>
      </c>
      <c r="F27" s="293" t="e">
        <f>+F26/BALANCESHEET!C116</f>
        <v>#DIV/0!</v>
      </c>
      <c r="G27" s="293" t="e">
        <f>+G26/BALANCESHEET!C116</f>
        <v>#DIV/0!</v>
      </c>
      <c r="H27" s="293" t="e">
        <f>+H26/BALANCESHEET!C116</f>
        <v>#DIV/0!</v>
      </c>
      <c r="I27" s="293" t="e">
        <f>+I26/BALANCESHEET!C116</f>
        <v>#DIV/0!</v>
      </c>
      <c r="J27" s="293" t="e">
        <f>+J26/BALANCESHEET!C116</f>
        <v>#DIV/0!</v>
      </c>
      <c r="K27" s="293" t="e">
        <f>+K26/BALANCESHEET!C116</f>
        <v>#DIV/0!</v>
      </c>
      <c r="L27" s="168"/>
    </row>
    <row r="28" spans="1:12" x14ac:dyDescent="0.2">
      <c r="B28" s="3" t="s">
        <v>1124</v>
      </c>
    </row>
    <row r="29" spans="1:12" x14ac:dyDescent="0.2">
      <c r="B29" s="3" t="s">
        <v>1125</v>
      </c>
    </row>
    <row r="31" spans="1:12" x14ac:dyDescent="0.2">
      <c r="B31" s="65" t="s">
        <v>36</v>
      </c>
      <c r="C31" s="126"/>
      <c r="D31" s="125"/>
      <c r="E31" s="13"/>
      <c r="F31" s="14"/>
    </row>
    <row r="32" spans="1:12" x14ac:dyDescent="0.2">
      <c r="B32" s="65"/>
      <c r="C32" s="126"/>
      <c r="D32" s="125"/>
      <c r="E32" s="13"/>
      <c r="F32" s="14"/>
    </row>
    <row r="33" spans="2:8" x14ac:dyDescent="0.2">
      <c r="B33" s="123"/>
      <c r="C33" s="17" t="s">
        <v>437</v>
      </c>
      <c r="D33" s="127"/>
      <c r="E33" s="17"/>
      <c r="F33" s="3"/>
    </row>
    <row r="34" spans="2:8" x14ac:dyDescent="0.2">
      <c r="B34" s="16"/>
      <c r="C34" s="126"/>
      <c r="D34" s="125"/>
      <c r="E34" s="13"/>
      <c r="F34" s="14"/>
    </row>
    <row r="35" spans="2:8" ht="15" customHeight="1" x14ac:dyDescent="0.2">
      <c r="B35" s="167"/>
      <c r="C35" s="167"/>
      <c r="D35" s="835" t="str">
        <f>BALANCE!D361</f>
        <v>ГҮЙЦЭТГЭХ ЗАХИРАЛ.................................................................//</v>
      </c>
      <c r="E35" s="835"/>
      <c r="F35" s="835"/>
      <c r="G35" s="835"/>
      <c r="H35" s="835"/>
    </row>
    <row r="36" spans="2:8" x14ac:dyDescent="0.2">
      <c r="B36" s="128"/>
      <c r="C36" s="128"/>
      <c r="D36" s="129"/>
      <c r="E36" s="129"/>
      <c r="F36" s="129"/>
      <c r="G36" s="492"/>
      <c r="H36" s="492"/>
    </row>
    <row r="37" spans="2:8" ht="15" customHeight="1" x14ac:dyDescent="0.2">
      <c r="B37" s="167"/>
      <c r="C37" s="167"/>
      <c r="D37" s="835" t="str">
        <f>BALANCE!D363</f>
        <v>ЕРӨНХИЙ НЯГТЛАН БОДОГЧ....................................................//</v>
      </c>
      <c r="E37" s="835"/>
      <c r="F37" s="835"/>
      <c r="G37" s="835"/>
      <c r="H37" s="835"/>
    </row>
    <row r="38" spans="2:8" x14ac:dyDescent="0.2">
      <c r="B38" s="128"/>
      <c r="C38" s="128"/>
      <c r="D38" s="129"/>
      <c r="E38" s="129"/>
      <c r="F38" s="129"/>
      <c r="G38" s="492"/>
      <c r="H38" s="492"/>
    </row>
    <row r="39" spans="2:8" ht="15" customHeight="1" x14ac:dyDescent="0.2">
      <c r="B39" s="167"/>
      <c r="C39" s="167"/>
      <c r="D39" s="835">
        <f>BALANCE!D365</f>
        <v>0</v>
      </c>
      <c r="E39" s="835"/>
      <c r="F39" s="835"/>
      <c r="G39" s="835"/>
      <c r="H39" s="835"/>
    </row>
  </sheetData>
  <sheetProtection password="CA9F" sheet="1" objects="1" scenarios="1"/>
  <mergeCells count="15">
    <mergeCell ref="D39:H39"/>
    <mergeCell ref="D37:H37"/>
    <mergeCell ref="A16:B16"/>
    <mergeCell ref="A17:B17"/>
    <mergeCell ref="A24:B24"/>
    <mergeCell ref="A25:B25"/>
    <mergeCell ref="A26:B26"/>
    <mergeCell ref="A27:B27"/>
    <mergeCell ref="D35:H35"/>
    <mergeCell ref="A7:B7"/>
    <mergeCell ref="A2:K2"/>
    <mergeCell ref="A3:K3"/>
    <mergeCell ref="A4:K4"/>
    <mergeCell ref="A6:B6"/>
    <mergeCell ref="J6:K6"/>
  </mergeCells>
  <pageMargins left="0.7" right="0.7" top="0.75" bottom="0.75" header="0.3" footer="0.3"/>
  <pageSetup paperSize="9" scale="59"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2:U119"/>
  <sheetViews>
    <sheetView workbookViewId="0"/>
  </sheetViews>
  <sheetFormatPr defaultRowHeight="12.75" x14ac:dyDescent="0.2"/>
  <cols>
    <col min="1" max="1" width="4" style="3" bestFit="1" customWidth="1"/>
    <col min="2" max="2" width="27.28515625" style="99" bestFit="1" customWidth="1"/>
    <col min="3" max="3" width="10.85546875" style="99" customWidth="1"/>
    <col min="4" max="4" width="26.140625" style="99" customWidth="1"/>
    <col min="5" max="5" width="18.85546875" style="123" customWidth="1"/>
    <col min="6" max="6" width="11.140625" style="484" bestFit="1" customWidth="1"/>
    <col min="7" max="7" width="44.85546875" style="123" bestFit="1" customWidth="1"/>
    <col min="8" max="10" width="9.85546875" style="3" customWidth="1"/>
    <col min="11" max="11" width="20.28515625" style="3" customWidth="1"/>
    <col min="12" max="13" width="13.28515625" style="123" customWidth="1"/>
    <col min="14" max="14" width="13.28515625" style="58" customWidth="1"/>
    <col min="15" max="15" width="11" style="58" bestFit="1" customWidth="1"/>
    <col min="16" max="16" width="20.7109375" style="123" customWidth="1"/>
    <col min="17" max="17" width="17.42578125" style="356" customWidth="1"/>
    <col min="18" max="18" width="15.42578125" style="123" customWidth="1"/>
    <col min="19" max="19" width="12.42578125" style="175" customWidth="1"/>
    <col min="20" max="16384" width="9.140625" style="3"/>
  </cols>
  <sheetData>
    <row r="2" spans="1:21" x14ac:dyDescent="0.2">
      <c r="A2" s="654" t="s">
        <v>812</v>
      </c>
      <c r="B2" s="654"/>
      <c r="C2" s="654"/>
      <c r="D2" s="654"/>
      <c r="E2" s="654"/>
      <c r="F2" s="654"/>
      <c r="G2" s="654"/>
      <c r="H2" s="654"/>
      <c r="I2" s="654"/>
      <c r="J2" s="654"/>
      <c r="K2" s="654"/>
      <c r="L2" s="654"/>
      <c r="M2" s="654"/>
      <c r="N2" s="654"/>
      <c r="O2" s="654"/>
      <c r="P2" s="654"/>
      <c r="Q2" s="654"/>
      <c r="R2" s="654"/>
      <c r="S2" s="654"/>
    </row>
    <row r="3" spans="1:21" x14ac:dyDescent="0.2">
      <c r="A3" s="670" t="str">
        <f>BALANCE!A3</f>
        <v>БАНК БУС САНХҮҮГИЙН БАЙГУУЛЛАГЫН НЭР</v>
      </c>
      <c r="B3" s="670"/>
      <c r="C3" s="670"/>
      <c r="D3" s="670"/>
      <c r="E3" s="670"/>
      <c r="F3" s="670"/>
      <c r="G3" s="670"/>
      <c r="H3" s="670"/>
      <c r="I3" s="670"/>
      <c r="J3" s="670"/>
      <c r="K3" s="670"/>
      <c r="L3" s="670"/>
      <c r="M3" s="670"/>
      <c r="N3" s="670"/>
      <c r="O3" s="670"/>
      <c r="P3" s="670"/>
      <c r="Q3" s="670"/>
      <c r="R3" s="670"/>
      <c r="S3" s="670"/>
    </row>
    <row r="4" spans="1:21" x14ac:dyDescent="0.2">
      <c r="A4" s="652" t="str">
        <f>BALANCE!A4</f>
        <v>БАНК БУС САНХҮҮГИЙН БАЙГУУЛЛАГА</v>
      </c>
      <c r="B4" s="652"/>
      <c r="C4" s="652"/>
      <c r="D4" s="652"/>
      <c r="E4" s="652"/>
      <c r="F4" s="652"/>
      <c r="G4" s="652"/>
      <c r="H4" s="652"/>
      <c r="I4" s="652"/>
      <c r="J4" s="652"/>
      <c r="K4" s="652"/>
      <c r="L4" s="652"/>
      <c r="M4" s="652"/>
      <c r="N4" s="652"/>
      <c r="O4" s="652"/>
      <c r="P4" s="652"/>
      <c r="Q4" s="652"/>
      <c r="R4" s="652"/>
      <c r="S4" s="652"/>
    </row>
    <row r="5" spans="1:21" x14ac:dyDescent="0.2">
      <c r="A5" s="731">
        <f>BALANCE!A6</f>
        <v>44834</v>
      </c>
      <c r="B5" s="731"/>
      <c r="C5" s="331"/>
      <c r="D5" s="331"/>
      <c r="E5" s="169"/>
      <c r="F5" s="468"/>
      <c r="G5" s="1"/>
      <c r="H5" s="1"/>
      <c r="I5" s="1"/>
      <c r="J5" s="1"/>
      <c r="K5" s="1"/>
      <c r="L5" s="169"/>
      <c r="M5" s="169"/>
      <c r="N5" s="469"/>
      <c r="O5" s="469"/>
      <c r="P5" s="169"/>
      <c r="Q5" s="169"/>
      <c r="R5" s="870" t="s">
        <v>439</v>
      </c>
      <c r="S5" s="870"/>
    </row>
    <row r="6" spans="1:21" ht="51" customHeight="1" x14ac:dyDescent="0.2">
      <c r="A6" s="868" t="s">
        <v>813</v>
      </c>
      <c r="B6" s="881" t="s">
        <v>1055</v>
      </c>
      <c r="C6" s="882"/>
      <c r="D6" s="873" t="s">
        <v>1058</v>
      </c>
      <c r="E6" s="871" t="s">
        <v>1282</v>
      </c>
      <c r="F6" s="887" t="s">
        <v>1059</v>
      </c>
      <c r="G6" s="871" t="s">
        <v>814</v>
      </c>
      <c r="H6" s="873" t="s">
        <v>815</v>
      </c>
      <c r="I6" s="873" t="s">
        <v>816</v>
      </c>
      <c r="J6" s="873" t="s">
        <v>817</v>
      </c>
      <c r="K6" s="873" t="s">
        <v>818</v>
      </c>
      <c r="L6" s="883" t="s">
        <v>819</v>
      </c>
      <c r="M6" s="885" t="s">
        <v>1060</v>
      </c>
      <c r="N6" s="867" t="s">
        <v>1101</v>
      </c>
      <c r="O6" s="867" t="s">
        <v>1061</v>
      </c>
      <c r="P6" s="875" t="s">
        <v>820</v>
      </c>
      <c r="Q6" s="871" t="s">
        <v>821</v>
      </c>
      <c r="R6" s="871" t="s">
        <v>822</v>
      </c>
      <c r="S6" s="865" t="s">
        <v>823</v>
      </c>
    </row>
    <row r="7" spans="1:21" x14ac:dyDescent="0.2">
      <c r="A7" s="869"/>
      <c r="B7" s="398" t="s">
        <v>1163</v>
      </c>
      <c r="C7" s="115" t="s">
        <v>1057</v>
      </c>
      <c r="D7" s="874"/>
      <c r="E7" s="886"/>
      <c r="F7" s="888"/>
      <c r="G7" s="872"/>
      <c r="H7" s="874"/>
      <c r="I7" s="874"/>
      <c r="J7" s="874"/>
      <c r="K7" s="874"/>
      <c r="L7" s="884"/>
      <c r="M7" s="885"/>
      <c r="N7" s="867"/>
      <c r="O7" s="867"/>
      <c r="P7" s="876"/>
      <c r="Q7" s="872"/>
      <c r="R7" s="872"/>
      <c r="S7" s="866"/>
    </row>
    <row r="8" spans="1:21" x14ac:dyDescent="0.2">
      <c r="A8" s="365">
        <v>1</v>
      </c>
      <c r="B8" s="178"/>
      <c r="C8" s="358"/>
      <c r="D8" s="389"/>
      <c r="E8" s="179"/>
      <c r="F8" s="470"/>
      <c r="G8" s="346"/>
      <c r="H8" s="181"/>
      <c r="I8" s="181"/>
      <c r="J8" s="182"/>
      <c r="K8" s="183"/>
      <c r="L8" s="347"/>
      <c r="M8" s="548"/>
      <c r="N8" s="548"/>
      <c r="O8" s="552" t="e">
        <f>+N8/M8</f>
        <v>#DIV/0!</v>
      </c>
      <c r="P8" s="347"/>
      <c r="Q8" s="352"/>
      <c r="R8" s="184"/>
      <c r="S8" s="185" t="e">
        <f>+P8/BALANCESHEET!G$82</f>
        <v>#DIV/0!</v>
      </c>
      <c r="T8" s="10" t="str">
        <f>IF(B8&gt;0,IF(AND(N8&gt;0,C8&gt;0,M8&gt;0),"","C, M болон N баганын холбогдох утгыг нөхнө үү"),"")</f>
        <v/>
      </c>
      <c r="U8" s="10"/>
    </row>
    <row r="9" spans="1:21" x14ac:dyDescent="0.2">
      <c r="A9" s="365">
        <f>+A8+1</f>
        <v>2</v>
      </c>
      <c r="B9" s="178"/>
      <c r="C9" s="358"/>
      <c r="D9" s="389"/>
      <c r="E9" s="179"/>
      <c r="F9" s="470"/>
      <c r="G9" s="346"/>
      <c r="H9" s="181"/>
      <c r="I9" s="181"/>
      <c r="J9" s="182"/>
      <c r="K9" s="183"/>
      <c r="L9" s="347"/>
      <c r="M9" s="347"/>
      <c r="N9" s="347"/>
      <c r="O9" s="552" t="e">
        <f>+N9/M9</f>
        <v>#DIV/0!</v>
      </c>
      <c r="P9" s="347"/>
      <c r="Q9" s="352"/>
      <c r="R9" s="184"/>
      <c r="S9" s="185" t="e">
        <f>+P9/BALANCESHEET!G$82</f>
        <v>#DIV/0!</v>
      </c>
      <c r="T9" s="10" t="str">
        <f t="shared" ref="T9:T47" si="0">IF(B9&gt;0,IF(AND(N9&gt;0,C9&gt;0,M9&gt;0),"","C, M болон N баганын холбогдох утгыг нөхнө үү"),"")</f>
        <v/>
      </c>
      <c r="U9" s="10"/>
    </row>
    <row r="10" spans="1:21" x14ac:dyDescent="0.2">
      <c r="A10" s="365">
        <f t="shared" ref="A10:A47" si="1">+A9+1</f>
        <v>3</v>
      </c>
      <c r="B10" s="178"/>
      <c r="C10" s="358"/>
      <c r="D10" s="389"/>
      <c r="E10" s="179"/>
      <c r="F10" s="470"/>
      <c r="G10" s="346"/>
      <c r="H10" s="181"/>
      <c r="I10" s="181"/>
      <c r="J10" s="182"/>
      <c r="K10" s="183"/>
      <c r="L10" s="347"/>
      <c r="M10" s="347"/>
      <c r="N10" s="347"/>
      <c r="O10" s="552" t="e">
        <f t="shared" ref="O10:O46" si="2">+N10/M10</f>
        <v>#DIV/0!</v>
      </c>
      <c r="P10" s="347"/>
      <c r="Q10" s="352"/>
      <c r="R10" s="184"/>
      <c r="S10" s="185" t="e">
        <f>+P10/BALANCESHEET!G$82</f>
        <v>#DIV/0!</v>
      </c>
      <c r="T10" s="10" t="str">
        <f t="shared" si="0"/>
        <v/>
      </c>
      <c r="U10" s="10"/>
    </row>
    <row r="11" spans="1:21" x14ac:dyDescent="0.2">
      <c r="A11" s="365">
        <f t="shared" si="1"/>
        <v>4</v>
      </c>
      <c r="B11" s="178"/>
      <c r="C11" s="358"/>
      <c r="D11" s="389"/>
      <c r="E11" s="179"/>
      <c r="F11" s="470"/>
      <c r="G11" s="346"/>
      <c r="H11" s="181"/>
      <c r="I11" s="110"/>
      <c r="J11" s="182"/>
      <c r="K11" s="183"/>
      <c r="L11" s="348"/>
      <c r="M11" s="348"/>
      <c r="N11" s="348"/>
      <c r="O11" s="552" t="e">
        <f t="shared" si="2"/>
        <v>#DIV/0!</v>
      </c>
      <c r="P11" s="349"/>
      <c r="Q11" s="352"/>
      <c r="R11" s="184"/>
      <c r="S11" s="185" t="e">
        <f>+P11/BALANCESHEET!G$82</f>
        <v>#DIV/0!</v>
      </c>
      <c r="T11" s="10" t="str">
        <f t="shared" si="0"/>
        <v/>
      </c>
      <c r="U11" s="10"/>
    </row>
    <row r="12" spans="1:21" x14ac:dyDescent="0.2">
      <c r="A12" s="365">
        <f t="shared" si="1"/>
        <v>5</v>
      </c>
      <c r="B12" s="178"/>
      <c r="C12" s="358"/>
      <c r="D12" s="389"/>
      <c r="E12" s="179"/>
      <c r="F12" s="470"/>
      <c r="G12" s="346"/>
      <c r="H12" s="181"/>
      <c r="I12" s="181"/>
      <c r="J12" s="181"/>
      <c r="K12" s="183"/>
      <c r="L12" s="350"/>
      <c r="M12" s="350"/>
      <c r="N12" s="350"/>
      <c r="O12" s="552" t="e">
        <f t="shared" si="2"/>
        <v>#DIV/0!</v>
      </c>
      <c r="P12" s="350"/>
      <c r="Q12" s="352"/>
      <c r="R12" s="184"/>
      <c r="S12" s="185" t="e">
        <f>+P12/BALANCESHEET!G$82</f>
        <v>#DIV/0!</v>
      </c>
      <c r="T12" s="10" t="str">
        <f t="shared" si="0"/>
        <v/>
      </c>
      <c r="U12" s="10"/>
    </row>
    <row r="13" spans="1:21" x14ac:dyDescent="0.2">
      <c r="A13" s="365">
        <f t="shared" si="1"/>
        <v>6</v>
      </c>
      <c r="B13" s="178"/>
      <c r="C13" s="358"/>
      <c r="D13" s="389"/>
      <c r="E13" s="179"/>
      <c r="F13" s="470"/>
      <c r="G13" s="346"/>
      <c r="H13" s="181"/>
      <c r="I13" s="181"/>
      <c r="J13" s="181"/>
      <c r="K13" s="183"/>
      <c r="L13" s="350"/>
      <c r="M13" s="350"/>
      <c r="N13" s="350"/>
      <c r="O13" s="552" t="e">
        <f t="shared" si="2"/>
        <v>#DIV/0!</v>
      </c>
      <c r="P13" s="350"/>
      <c r="Q13" s="352"/>
      <c r="R13" s="184"/>
      <c r="S13" s="185" t="e">
        <f>+P13/BALANCESHEET!G$82</f>
        <v>#DIV/0!</v>
      </c>
      <c r="T13" s="10" t="str">
        <f t="shared" si="0"/>
        <v/>
      </c>
      <c r="U13" s="10"/>
    </row>
    <row r="14" spans="1:21" x14ac:dyDescent="0.2">
      <c r="A14" s="365">
        <f t="shared" si="1"/>
        <v>7</v>
      </c>
      <c r="B14" s="178"/>
      <c r="C14" s="358"/>
      <c r="D14" s="389"/>
      <c r="E14" s="179"/>
      <c r="F14" s="470"/>
      <c r="G14" s="346"/>
      <c r="H14" s="181"/>
      <c r="I14" s="181"/>
      <c r="J14" s="181"/>
      <c r="K14" s="183"/>
      <c r="L14" s="350"/>
      <c r="M14" s="350"/>
      <c r="N14" s="350"/>
      <c r="O14" s="552" t="e">
        <f t="shared" si="2"/>
        <v>#DIV/0!</v>
      </c>
      <c r="P14" s="350"/>
      <c r="Q14" s="352"/>
      <c r="R14" s="184"/>
      <c r="S14" s="185" t="e">
        <f>+P14/BALANCESHEET!G$82</f>
        <v>#DIV/0!</v>
      </c>
      <c r="T14" s="10" t="str">
        <f t="shared" si="0"/>
        <v/>
      </c>
      <c r="U14" s="10"/>
    </row>
    <row r="15" spans="1:21" x14ac:dyDescent="0.2">
      <c r="A15" s="365">
        <f t="shared" si="1"/>
        <v>8</v>
      </c>
      <c r="B15" s="178"/>
      <c r="C15" s="358"/>
      <c r="D15" s="389"/>
      <c r="E15" s="179"/>
      <c r="F15" s="470"/>
      <c r="G15" s="346"/>
      <c r="H15" s="181"/>
      <c r="I15" s="181"/>
      <c r="J15" s="181"/>
      <c r="K15" s="183"/>
      <c r="L15" s="350"/>
      <c r="M15" s="350"/>
      <c r="N15" s="350"/>
      <c r="O15" s="552" t="e">
        <f t="shared" si="2"/>
        <v>#DIV/0!</v>
      </c>
      <c r="P15" s="350"/>
      <c r="Q15" s="352"/>
      <c r="R15" s="184"/>
      <c r="S15" s="185" t="e">
        <f>+P15/BALANCESHEET!G$82</f>
        <v>#DIV/0!</v>
      </c>
      <c r="T15" s="10" t="str">
        <f t="shared" si="0"/>
        <v/>
      </c>
      <c r="U15" s="10"/>
    </row>
    <row r="16" spans="1:21" x14ac:dyDescent="0.2">
      <c r="A16" s="365">
        <f t="shared" si="1"/>
        <v>9</v>
      </c>
      <c r="B16" s="178"/>
      <c r="C16" s="358"/>
      <c r="D16" s="389"/>
      <c r="E16" s="179"/>
      <c r="F16" s="470"/>
      <c r="G16" s="346"/>
      <c r="H16" s="181"/>
      <c r="I16" s="181"/>
      <c r="J16" s="181"/>
      <c r="K16" s="183"/>
      <c r="L16" s="350"/>
      <c r="M16" s="350"/>
      <c r="N16" s="350"/>
      <c r="O16" s="552" t="e">
        <f t="shared" si="2"/>
        <v>#DIV/0!</v>
      </c>
      <c r="P16" s="350"/>
      <c r="Q16" s="352"/>
      <c r="R16" s="184"/>
      <c r="S16" s="185" t="e">
        <f>+P16/BALANCESHEET!G$82</f>
        <v>#DIV/0!</v>
      </c>
      <c r="T16" s="10" t="str">
        <f t="shared" si="0"/>
        <v/>
      </c>
      <c r="U16" s="10"/>
    </row>
    <row r="17" spans="1:21" x14ac:dyDescent="0.2">
      <c r="A17" s="365">
        <f t="shared" si="1"/>
        <v>10</v>
      </c>
      <c r="B17" s="178"/>
      <c r="C17" s="358"/>
      <c r="D17" s="389"/>
      <c r="E17" s="179"/>
      <c r="F17" s="470"/>
      <c r="G17" s="346"/>
      <c r="H17" s="181"/>
      <c r="I17" s="181"/>
      <c r="J17" s="181"/>
      <c r="K17" s="183"/>
      <c r="L17" s="350"/>
      <c r="M17" s="350"/>
      <c r="N17" s="350"/>
      <c r="O17" s="552" t="e">
        <f t="shared" si="2"/>
        <v>#DIV/0!</v>
      </c>
      <c r="P17" s="350"/>
      <c r="Q17" s="352"/>
      <c r="R17" s="184"/>
      <c r="S17" s="185" t="e">
        <f>+P17/BALANCESHEET!G$82</f>
        <v>#DIV/0!</v>
      </c>
      <c r="T17" s="10" t="str">
        <f t="shared" si="0"/>
        <v/>
      </c>
      <c r="U17" s="10"/>
    </row>
    <row r="18" spans="1:21" x14ac:dyDescent="0.2">
      <c r="A18" s="365">
        <f t="shared" si="1"/>
        <v>11</v>
      </c>
      <c r="B18" s="178"/>
      <c r="C18" s="358"/>
      <c r="D18" s="389"/>
      <c r="E18" s="179"/>
      <c r="F18" s="470"/>
      <c r="G18" s="346"/>
      <c r="H18" s="181"/>
      <c r="I18" s="181"/>
      <c r="J18" s="181"/>
      <c r="K18" s="183"/>
      <c r="L18" s="350"/>
      <c r="M18" s="350"/>
      <c r="N18" s="350"/>
      <c r="O18" s="552" t="e">
        <f t="shared" si="2"/>
        <v>#DIV/0!</v>
      </c>
      <c r="P18" s="350"/>
      <c r="Q18" s="352"/>
      <c r="R18" s="184"/>
      <c r="S18" s="185" t="e">
        <f>+P18/BALANCESHEET!G$82</f>
        <v>#DIV/0!</v>
      </c>
      <c r="T18" s="10" t="str">
        <f t="shared" si="0"/>
        <v/>
      </c>
      <c r="U18" s="10"/>
    </row>
    <row r="19" spans="1:21" x14ac:dyDescent="0.2">
      <c r="A19" s="365">
        <f t="shared" si="1"/>
        <v>12</v>
      </c>
      <c r="B19" s="178"/>
      <c r="C19" s="358"/>
      <c r="D19" s="389"/>
      <c r="E19" s="179"/>
      <c r="F19" s="470"/>
      <c r="G19" s="346"/>
      <c r="H19" s="181"/>
      <c r="I19" s="181"/>
      <c r="J19" s="181"/>
      <c r="K19" s="183"/>
      <c r="L19" s="350"/>
      <c r="M19" s="350"/>
      <c r="N19" s="350"/>
      <c r="O19" s="552" t="e">
        <f t="shared" si="2"/>
        <v>#DIV/0!</v>
      </c>
      <c r="P19" s="347"/>
      <c r="Q19" s="352"/>
      <c r="R19" s="184"/>
      <c r="S19" s="185" t="e">
        <f>+P19/BALANCESHEET!G$82</f>
        <v>#DIV/0!</v>
      </c>
      <c r="T19" s="10" t="str">
        <f t="shared" si="0"/>
        <v/>
      </c>
      <c r="U19" s="10"/>
    </row>
    <row r="20" spans="1:21" x14ac:dyDescent="0.2">
      <c r="A20" s="365">
        <f t="shared" si="1"/>
        <v>13</v>
      </c>
      <c r="B20" s="178"/>
      <c r="C20" s="358"/>
      <c r="D20" s="389"/>
      <c r="E20" s="179"/>
      <c r="F20" s="470"/>
      <c r="G20" s="346"/>
      <c r="H20" s="181"/>
      <c r="I20" s="181"/>
      <c r="J20" s="181"/>
      <c r="K20" s="183"/>
      <c r="L20" s="350"/>
      <c r="M20" s="350"/>
      <c r="N20" s="350"/>
      <c r="O20" s="552" t="e">
        <f t="shared" si="2"/>
        <v>#DIV/0!</v>
      </c>
      <c r="P20" s="347"/>
      <c r="Q20" s="352"/>
      <c r="R20" s="184"/>
      <c r="S20" s="185" t="e">
        <f>+P20/BALANCESHEET!G$82</f>
        <v>#DIV/0!</v>
      </c>
      <c r="T20" s="10" t="str">
        <f t="shared" si="0"/>
        <v/>
      </c>
      <c r="U20" s="10"/>
    </row>
    <row r="21" spans="1:21" x14ac:dyDescent="0.2">
      <c r="A21" s="365">
        <f t="shared" si="1"/>
        <v>14</v>
      </c>
      <c r="B21" s="190"/>
      <c r="C21" s="358"/>
      <c r="D21" s="389"/>
      <c r="E21" s="179"/>
      <c r="F21" s="471"/>
      <c r="G21" s="346"/>
      <c r="H21" s="110"/>
      <c r="I21" s="110"/>
      <c r="J21" s="110"/>
      <c r="K21" s="183"/>
      <c r="L21" s="351"/>
      <c r="M21" s="351"/>
      <c r="N21" s="351"/>
      <c r="O21" s="552" t="e">
        <f t="shared" si="2"/>
        <v>#DIV/0!</v>
      </c>
      <c r="P21" s="351"/>
      <c r="Q21" s="352"/>
      <c r="R21" s="184"/>
      <c r="S21" s="185" t="e">
        <f>+P21/BALANCESHEET!G$82</f>
        <v>#DIV/0!</v>
      </c>
      <c r="T21" s="10" t="str">
        <f t="shared" si="0"/>
        <v/>
      </c>
      <c r="U21" s="10"/>
    </row>
    <row r="22" spans="1:21" x14ac:dyDescent="0.2">
      <c r="A22" s="365">
        <f t="shared" si="1"/>
        <v>15</v>
      </c>
      <c r="B22" s="190"/>
      <c r="C22" s="358"/>
      <c r="D22" s="389"/>
      <c r="E22" s="179"/>
      <c r="F22" s="471"/>
      <c r="G22" s="346"/>
      <c r="H22" s="110"/>
      <c r="I22" s="110"/>
      <c r="J22" s="110"/>
      <c r="K22" s="183"/>
      <c r="L22" s="351"/>
      <c r="M22" s="351"/>
      <c r="N22" s="351"/>
      <c r="O22" s="552" t="e">
        <f t="shared" si="2"/>
        <v>#DIV/0!</v>
      </c>
      <c r="P22" s="351"/>
      <c r="Q22" s="352"/>
      <c r="R22" s="184"/>
      <c r="S22" s="185" t="e">
        <f>+P22/BALANCESHEET!G$82</f>
        <v>#DIV/0!</v>
      </c>
      <c r="T22" s="10" t="str">
        <f t="shared" si="0"/>
        <v/>
      </c>
      <c r="U22" s="10"/>
    </row>
    <row r="23" spans="1:21" x14ac:dyDescent="0.2">
      <c r="A23" s="365">
        <f t="shared" si="1"/>
        <v>16</v>
      </c>
      <c r="B23" s="190"/>
      <c r="C23" s="359"/>
      <c r="D23" s="389"/>
      <c r="E23" s="179"/>
      <c r="F23" s="471"/>
      <c r="G23" s="346"/>
      <c r="H23" s="110"/>
      <c r="I23" s="110"/>
      <c r="J23" s="110"/>
      <c r="K23" s="183"/>
      <c r="L23" s="351"/>
      <c r="M23" s="351"/>
      <c r="N23" s="351"/>
      <c r="O23" s="552" t="e">
        <f t="shared" si="2"/>
        <v>#DIV/0!</v>
      </c>
      <c r="P23" s="351"/>
      <c r="Q23" s="352"/>
      <c r="R23" s="184"/>
      <c r="S23" s="185" t="e">
        <f>+P23/BALANCESHEET!G$82</f>
        <v>#DIV/0!</v>
      </c>
      <c r="T23" s="10" t="str">
        <f t="shared" si="0"/>
        <v/>
      </c>
      <c r="U23" s="10"/>
    </row>
    <row r="24" spans="1:21" x14ac:dyDescent="0.2">
      <c r="A24" s="365">
        <f t="shared" si="1"/>
        <v>17</v>
      </c>
      <c r="B24" s="190"/>
      <c r="C24" s="359"/>
      <c r="D24" s="389"/>
      <c r="E24" s="179"/>
      <c r="F24" s="471"/>
      <c r="G24" s="346"/>
      <c r="H24" s="110"/>
      <c r="I24" s="110"/>
      <c r="J24" s="110"/>
      <c r="K24" s="183"/>
      <c r="L24" s="351"/>
      <c r="M24" s="351"/>
      <c r="N24" s="351"/>
      <c r="O24" s="552" t="e">
        <f t="shared" si="2"/>
        <v>#DIV/0!</v>
      </c>
      <c r="P24" s="351"/>
      <c r="Q24" s="352"/>
      <c r="R24" s="184"/>
      <c r="S24" s="185" t="e">
        <f>+P24/BALANCESHEET!G$82</f>
        <v>#DIV/0!</v>
      </c>
      <c r="T24" s="10" t="str">
        <f t="shared" si="0"/>
        <v/>
      </c>
      <c r="U24" s="10"/>
    </row>
    <row r="25" spans="1:21" x14ac:dyDescent="0.2">
      <c r="A25" s="365">
        <f t="shared" si="1"/>
        <v>18</v>
      </c>
      <c r="B25" s="190"/>
      <c r="C25" s="359"/>
      <c r="D25" s="389"/>
      <c r="E25" s="179"/>
      <c r="F25" s="471"/>
      <c r="G25" s="346"/>
      <c r="H25" s="110"/>
      <c r="I25" s="110"/>
      <c r="J25" s="110"/>
      <c r="K25" s="183"/>
      <c r="L25" s="351"/>
      <c r="M25" s="351"/>
      <c r="N25" s="351"/>
      <c r="O25" s="552" t="e">
        <f t="shared" si="2"/>
        <v>#DIV/0!</v>
      </c>
      <c r="P25" s="351"/>
      <c r="Q25" s="352"/>
      <c r="R25" s="184"/>
      <c r="S25" s="185" t="e">
        <f>+P25/BALANCESHEET!G$82</f>
        <v>#DIV/0!</v>
      </c>
      <c r="T25" s="10" t="str">
        <f t="shared" si="0"/>
        <v/>
      </c>
      <c r="U25" s="10"/>
    </row>
    <row r="26" spans="1:21" x14ac:dyDescent="0.2">
      <c r="A26" s="365">
        <f t="shared" si="1"/>
        <v>19</v>
      </c>
      <c r="B26" s="190"/>
      <c r="C26" s="359"/>
      <c r="D26" s="389"/>
      <c r="E26" s="179"/>
      <c r="F26" s="471"/>
      <c r="G26" s="346"/>
      <c r="H26" s="110"/>
      <c r="I26" s="110"/>
      <c r="J26" s="110"/>
      <c r="K26" s="183"/>
      <c r="L26" s="351"/>
      <c r="M26" s="351"/>
      <c r="N26" s="351"/>
      <c r="O26" s="552" t="e">
        <f t="shared" si="2"/>
        <v>#DIV/0!</v>
      </c>
      <c r="P26" s="351"/>
      <c r="Q26" s="352"/>
      <c r="R26" s="184"/>
      <c r="S26" s="185" t="e">
        <f>+P26/BALANCESHEET!G$82</f>
        <v>#DIV/0!</v>
      </c>
      <c r="T26" s="10" t="str">
        <f t="shared" si="0"/>
        <v/>
      </c>
      <c r="U26" s="10"/>
    </row>
    <row r="27" spans="1:21" x14ac:dyDescent="0.2">
      <c r="A27" s="365">
        <f t="shared" si="1"/>
        <v>20</v>
      </c>
      <c r="B27" s="190"/>
      <c r="C27" s="359"/>
      <c r="D27" s="389"/>
      <c r="E27" s="179"/>
      <c r="F27" s="471"/>
      <c r="G27" s="346"/>
      <c r="H27" s="110"/>
      <c r="I27" s="110"/>
      <c r="J27" s="110"/>
      <c r="K27" s="183"/>
      <c r="L27" s="351"/>
      <c r="M27" s="351"/>
      <c r="N27" s="351"/>
      <c r="O27" s="552" t="e">
        <f t="shared" si="2"/>
        <v>#DIV/0!</v>
      </c>
      <c r="P27" s="351"/>
      <c r="Q27" s="352"/>
      <c r="R27" s="184"/>
      <c r="S27" s="185" t="e">
        <f>+P27/BALANCESHEET!G$82</f>
        <v>#DIV/0!</v>
      </c>
      <c r="T27" s="10" t="str">
        <f t="shared" si="0"/>
        <v/>
      </c>
      <c r="U27" s="10"/>
    </row>
    <row r="28" spans="1:21" x14ac:dyDescent="0.2">
      <c r="A28" s="365">
        <f t="shared" si="1"/>
        <v>21</v>
      </c>
      <c r="B28" s="190"/>
      <c r="C28" s="359"/>
      <c r="D28" s="389"/>
      <c r="E28" s="179"/>
      <c r="F28" s="471"/>
      <c r="G28" s="346"/>
      <c r="H28" s="110"/>
      <c r="I28" s="110"/>
      <c r="J28" s="110"/>
      <c r="K28" s="183"/>
      <c r="L28" s="351"/>
      <c r="M28" s="351"/>
      <c r="N28" s="351"/>
      <c r="O28" s="552" t="e">
        <f t="shared" si="2"/>
        <v>#DIV/0!</v>
      </c>
      <c r="P28" s="351"/>
      <c r="Q28" s="352"/>
      <c r="R28" s="184"/>
      <c r="S28" s="185" t="e">
        <f>+P28/BALANCESHEET!G$82</f>
        <v>#DIV/0!</v>
      </c>
      <c r="T28" s="10" t="str">
        <f t="shared" si="0"/>
        <v/>
      </c>
      <c r="U28" s="10"/>
    </row>
    <row r="29" spans="1:21" x14ac:dyDescent="0.2">
      <c r="A29" s="365">
        <f t="shared" si="1"/>
        <v>22</v>
      </c>
      <c r="B29" s="190"/>
      <c r="C29" s="359"/>
      <c r="D29" s="389"/>
      <c r="E29" s="179"/>
      <c r="F29" s="471"/>
      <c r="G29" s="346"/>
      <c r="H29" s="110"/>
      <c r="I29" s="110"/>
      <c r="J29" s="110"/>
      <c r="K29" s="183"/>
      <c r="L29" s="351"/>
      <c r="M29" s="351"/>
      <c r="N29" s="351"/>
      <c r="O29" s="552" t="e">
        <f t="shared" si="2"/>
        <v>#DIV/0!</v>
      </c>
      <c r="P29" s="351"/>
      <c r="Q29" s="352"/>
      <c r="R29" s="184"/>
      <c r="S29" s="185" t="e">
        <f>+P29/BALANCESHEET!G$82</f>
        <v>#DIV/0!</v>
      </c>
      <c r="T29" s="10" t="str">
        <f t="shared" si="0"/>
        <v/>
      </c>
      <c r="U29" s="10"/>
    </row>
    <row r="30" spans="1:21" x14ac:dyDescent="0.2">
      <c r="A30" s="365">
        <f t="shared" si="1"/>
        <v>23</v>
      </c>
      <c r="B30" s="190"/>
      <c r="C30" s="359"/>
      <c r="D30" s="389"/>
      <c r="E30" s="179"/>
      <c r="F30" s="471"/>
      <c r="G30" s="346"/>
      <c r="H30" s="110"/>
      <c r="I30" s="110"/>
      <c r="J30" s="110"/>
      <c r="K30" s="183"/>
      <c r="L30" s="351"/>
      <c r="M30" s="351"/>
      <c r="N30" s="351"/>
      <c r="O30" s="552" t="e">
        <f t="shared" si="2"/>
        <v>#DIV/0!</v>
      </c>
      <c r="P30" s="351"/>
      <c r="Q30" s="352"/>
      <c r="R30" s="184"/>
      <c r="S30" s="185" t="e">
        <f>+P30/BALANCESHEET!G$82</f>
        <v>#DIV/0!</v>
      </c>
      <c r="T30" s="10" t="str">
        <f t="shared" si="0"/>
        <v/>
      </c>
      <c r="U30" s="10"/>
    </row>
    <row r="31" spans="1:21" x14ac:dyDescent="0.2">
      <c r="A31" s="365">
        <f t="shared" si="1"/>
        <v>24</v>
      </c>
      <c r="B31" s="190"/>
      <c r="C31" s="359"/>
      <c r="D31" s="389"/>
      <c r="E31" s="179"/>
      <c r="F31" s="471"/>
      <c r="G31" s="346"/>
      <c r="H31" s="110"/>
      <c r="I31" s="110"/>
      <c r="J31" s="110"/>
      <c r="K31" s="183"/>
      <c r="L31" s="351"/>
      <c r="M31" s="351"/>
      <c r="N31" s="351"/>
      <c r="O31" s="552" t="e">
        <f t="shared" si="2"/>
        <v>#DIV/0!</v>
      </c>
      <c r="P31" s="351"/>
      <c r="Q31" s="352"/>
      <c r="R31" s="184"/>
      <c r="S31" s="185" t="e">
        <f>+P31/BALANCESHEET!G$82</f>
        <v>#DIV/0!</v>
      </c>
      <c r="T31" s="10" t="str">
        <f t="shared" si="0"/>
        <v/>
      </c>
      <c r="U31" s="10"/>
    </row>
    <row r="32" spans="1:21" x14ac:dyDescent="0.2">
      <c r="A32" s="365">
        <f t="shared" si="1"/>
        <v>25</v>
      </c>
      <c r="B32" s="190"/>
      <c r="C32" s="359"/>
      <c r="D32" s="389"/>
      <c r="E32" s="179"/>
      <c r="F32" s="471"/>
      <c r="G32" s="346"/>
      <c r="H32" s="110"/>
      <c r="I32" s="110"/>
      <c r="J32" s="110"/>
      <c r="K32" s="183"/>
      <c r="L32" s="351"/>
      <c r="M32" s="351"/>
      <c r="N32" s="351"/>
      <c r="O32" s="552" t="e">
        <f t="shared" si="2"/>
        <v>#DIV/0!</v>
      </c>
      <c r="P32" s="351"/>
      <c r="Q32" s="352"/>
      <c r="R32" s="184"/>
      <c r="S32" s="185" t="e">
        <f>+P32/BALANCESHEET!G$82</f>
        <v>#DIV/0!</v>
      </c>
      <c r="T32" s="10" t="str">
        <f t="shared" si="0"/>
        <v/>
      </c>
      <c r="U32" s="10"/>
    </row>
    <row r="33" spans="1:21" x14ac:dyDescent="0.2">
      <c r="A33" s="365">
        <f t="shared" si="1"/>
        <v>26</v>
      </c>
      <c r="B33" s="190"/>
      <c r="C33" s="359"/>
      <c r="D33" s="389"/>
      <c r="E33" s="179"/>
      <c r="F33" s="471"/>
      <c r="G33" s="346"/>
      <c r="H33" s="110"/>
      <c r="I33" s="110"/>
      <c r="J33" s="110"/>
      <c r="K33" s="183"/>
      <c r="L33" s="351"/>
      <c r="M33" s="351"/>
      <c r="N33" s="351"/>
      <c r="O33" s="552" t="e">
        <f t="shared" si="2"/>
        <v>#DIV/0!</v>
      </c>
      <c r="P33" s="351"/>
      <c r="Q33" s="352"/>
      <c r="R33" s="184"/>
      <c r="S33" s="185" t="e">
        <f>+P33/BALANCESHEET!G$82</f>
        <v>#DIV/0!</v>
      </c>
      <c r="T33" s="10" t="str">
        <f t="shared" si="0"/>
        <v/>
      </c>
      <c r="U33" s="10"/>
    </row>
    <row r="34" spans="1:21" x14ac:dyDescent="0.2">
      <c r="A34" s="365">
        <f t="shared" si="1"/>
        <v>27</v>
      </c>
      <c r="B34" s="190"/>
      <c r="C34" s="359"/>
      <c r="D34" s="389"/>
      <c r="E34" s="179"/>
      <c r="F34" s="471"/>
      <c r="G34" s="346"/>
      <c r="H34" s="110"/>
      <c r="I34" s="110"/>
      <c r="J34" s="110"/>
      <c r="K34" s="183"/>
      <c r="L34" s="351"/>
      <c r="M34" s="351"/>
      <c r="N34" s="351"/>
      <c r="O34" s="552" t="e">
        <f t="shared" si="2"/>
        <v>#DIV/0!</v>
      </c>
      <c r="P34" s="351"/>
      <c r="Q34" s="352"/>
      <c r="R34" s="184"/>
      <c r="S34" s="185" t="e">
        <f>+P34/BALANCESHEET!G$82</f>
        <v>#DIV/0!</v>
      </c>
      <c r="T34" s="10" t="str">
        <f t="shared" si="0"/>
        <v/>
      </c>
      <c r="U34" s="10"/>
    </row>
    <row r="35" spans="1:21" x14ac:dyDescent="0.2">
      <c r="A35" s="365">
        <f t="shared" si="1"/>
        <v>28</v>
      </c>
      <c r="B35" s="190"/>
      <c r="C35" s="359"/>
      <c r="D35" s="389"/>
      <c r="E35" s="179"/>
      <c r="F35" s="471"/>
      <c r="G35" s="346"/>
      <c r="H35" s="110"/>
      <c r="I35" s="110"/>
      <c r="J35" s="110"/>
      <c r="K35" s="183"/>
      <c r="L35" s="351"/>
      <c r="M35" s="351"/>
      <c r="N35" s="351"/>
      <c r="O35" s="552" t="e">
        <f t="shared" si="2"/>
        <v>#DIV/0!</v>
      </c>
      <c r="P35" s="351"/>
      <c r="Q35" s="352"/>
      <c r="R35" s="184"/>
      <c r="S35" s="185" t="e">
        <f>+P35/BALANCESHEET!G$82</f>
        <v>#DIV/0!</v>
      </c>
      <c r="T35" s="10" t="str">
        <f t="shared" si="0"/>
        <v/>
      </c>
      <c r="U35" s="10"/>
    </row>
    <row r="36" spans="1:21" x14ac:dyDescent="0.2">
      <c r="A36" s="365">
        <f t="shared" si="1"/>
        <v>29</v>
      </c>
      <c r="B36" s="190"/>
      <c r="C36" s="359"/>
      <c r="D36" s="389"/>
      <c r="E36" s="179"/>
      <c r="F36" s="471"/>
      <c r="G36" s="346"/>
      <c r="H36" s="110"/>
      <c r="I36" s="110"/>
      <c r="J36" s="110"/>
      <c r="K36" s="183"/>
      <c r="L36" s="351"/>
      <c r="M36" s="351"/>
      <c r="N36" s="351"/>
      <c r="O36" s="552" t="e">
        <f t="shared" si="2"/>
        <v>#DIV/0!</v>
      </c>
      <c r="P36" s="351"/>
      <c r="Q36" s="352"/>
      <c r="R36" s="184"/>
      <c r="S36" s="185" t="e">
        <f>+P36/BALANCESHEET!G$82</f>
        <v>#DIV/0!</v>
      </c>
      <c r="T36" s="10" t="str">
        <f t="shared" si="0"/>
        <v/>
      </c>
      <c r="U36" s="10"/>
    </row>
    <row r="37" spans="1:21" x14ac:dyDescent="0.2">
      <c r="A37" s="365">
        <f t="shared" si="1"/>
        <v>30</v>
      </c>
      <c r="B37" s="190"/>
      <c r="C37" s="359"/>
      <c r="D37" s="389"/>
      <c r="E37" s="179"/>
      <c r="F37" s="471"/>
      <c r="G37" s="346"/>
      <c r="H37" s="110"/>
      <c r="I37" s="110"/>
      <c r="J37" s="110"/>
      <c r="K37" s="183"/>
      <c r="L37" s="351"/>
      <c r="M37" s="351"/>
      <c r="N37" s="351"/>
      <c r="O37" s="552" t="e">
        <f t="shared" si="2"/>
        <v>#DIV/0!</v>
      </c>
      <c r="P37" s="351"/>
      <c r="Q37" s="352"/>
      <c r="R37" s="184"/>
      <c r="S37" s="185" t="e">
        <f>+P37/BALANCESHEET!G$82</f>
        <v>#DIV/0!</v>
      </c>
      <c r="T37" s="10" t="str">
        <f t="shared" si="0"/>
        <v/>
      </c>
      <c r="U37" s="10"/>
    </row>
    <row r="38" spans="1:21" x14ac:dyDescent="0.2">
      <c r="A38" s="365">
        <f t="shared" si="1"/>
        <v>31</v>
      </c>
      <c r="B38" s="190"/>
      <c r="C38" s="359"/>
      <c r="D38" s="389"/>
      <c r="E38" s="179"/>
      <c r="F38" s="471"/>
      <c r="G38" s="346"/>
      <c r="H38" s="110"/>
      <c r="I38" s="110"/>
      <c r="J38" s="110"/>
      <c r="K38" s="183"/>
      <c r="L38" s="351"/>
      <c r="M38" s="351"/>
      <c r="N38" s="351"/>
      <c r="O38" s="552" t="e">
        <f t="shared" si="2"/>
        <v>#DIV/0!</v>
      </c>
      <c r="P38" s="351"/>
      <c r="Q38" s="352"/>
      <c r="R38" s="184"/>
      <c r="S38" s="185" t="e">
        <f>+P38/BALANCESHEET!G$82</f>
        <v>#DIV/0!</v>
      </c>
      <c r="T38" s="10" t="str">
        <f t="shared" si="0"/>
        <v/>
      </c>
      <c r="U38" s="10"/>
    </row>
    <row r="39" spans="1:21" x14ac:dyDescent="0.2">
      <c r="A39" s="365">
        <f t="shared" si="1"/>
        <v>32</v>
      </c>
      <c r="B39" s="190"/>
      <c r="C39" s="359"/>
      <c r="D39" s="389"/>
      <c r="E39" s="179"/>
      <c r="F39" s="471"/>
      <c r="G39" s="346"/>
      <c r="H39" s="110"/>
      <c r="I39" s="110"/>
      <c r="J39" s="110"/>
      <c r="K39" s="183"/>
      <c r="L39" s="351"/>
      <c r="M39" s="351"/>
      <c r="N39" s="351"/>
      <c r="O39" s="552" t="e">
        <f t="shared" si="2"/>
        <v>#DIV/0!</v>
      </c>
      <c r="P39" s="351"/>
      <c r="Q39" s="352"/>
      <c r="R39" s="184"/>
      <c r="S39" s="185" t="e">
        <f>+P39/BALANCESHEET!G$82</f>
        <v>#DIV/0!</v>
      </c>
      <c r="T39" s="10" t="str">
        <f t="shared" si="0"/>
        <v/>
      </c>
      <c r="U39" s="10"/>
    </row>
    <row r="40" spans="1:21" x14ac:dyDescent="0.2">
      <c r="A40" s="365">
        <f t="shared" si="1"/>
        <v>33</v>
      </c>
      <c r="B40" s="190"/>
      <c r="C40" s="359"/>
      <c r="D40" s="389"/>
      <c r="E40" s="179"/>
      <c r="F40" s="471"/>
      <c r="G40" s="346"/>
      <c r="H40" s="110"/>
      <c r="I40" s="110"/>
      <c r="J40" s="110"/>
      <c r="K40" s="183"/>
      <c r="L40" s="351"/>
      <c r="M40" s="351"/>
      <c r="N40" s="351"/>
      <c r="O40" s="552" t="e">
        <f t="shared" si="2"/>
        <v>#DIV/0!</v>
      </c>
      <c r="P40" s="351"/>
      <c r="Q40" s="352"/>
      <c r="R40" s="184"/>
      <c r="S40" s="185" t="e">
        <f>+P40/BALANCESHEET!G$82</f>
        <v>#DIV/0!</v>
      </c>
      <c r="T40" s="10" t="str">
        <f t="shared" si="0"/>
        <v/>
      </c>
      <c r="U40" s="10"/>
    </row>
    <row r="41" spans="1:21" x14ac:dyDescent="0.2">
      <c r="A41" s="365">
        <f t="shared" si="1"/>
        <v>34</v>
      </c>
      <c r="B41" s="190"/>
      <c r="C41" s="359"/>
      <c r="D41" s="389"/>
      <c r="E41" s="179"/>
      <c r="F41" s="471"/>
      <c r="G41" s="346"/>
      <c r="H41" s="110"/>
      <c r="I41" s="110"/>
      <c r="J41" s="110"/>
      <c r="K41" s="183"/>
      <c r="L41" s="351"/>
      <c r="M41" s="351"/>
      <c r="N41" s="351"/>
      <c r="O41" s="552" t="e">
        <f t="shared" si="2"/>
        <v>#DIV/0!</v>
      </c>
      <c r="P41" s="351"/>
      <c r="Q41" s="352"/>
      <c r="R41" s="184"/>
      <c r="S41" s="185" t="e">
        <f>+P41/BALANCESHEET!G$82</f>
        <v>#DIV/0!</v>
      </c>
      <c r="T41" s="10" t="str">
        <f t="shared" si="0"/>
        <v/>
      </c>
      <c r="U41" s="10"/>
    </row>
    <row r="42" spans="1:21" x14ac:dyDescent="0.2">
      <c r="A42" s="365">
        <f t="shared" si="1"/>
        <v>35</v>
      </c>
      <c r="B42" s="190"/>
      <c r="C42" s="359"/>
      <c r="D42" s="389"/>
      <c r="E42" s="179"/>
      <c r="F42" s="471"/>
      <c r="G42" s="346"/>
      <c r="H42" s="110"/>
      <c r="I42" s="110"/>
      <c r="J42" s="110"/>
      <c r="K42" s="183"/>
      <c r="L42" s="351"/>
      <c r="M42" s="351"/>
      <c r="N42" s="351"/>
      <c r="O42" s="552" t="e">
        <f t="shared" si="2"/>
        <v>#DIV/0!</v>
      </c>
      <c r="P42" s="351"/>
      <c r="Q42" s="352"/>
      <c r="R42" s="184"/>
      <c r="S42" s="185" t="e">
        <f>+P42/BALANCESHEET!G$82</f>
        <v>#DIV/0!</v>
      </c>
      <c r="T42" s="10" t="str">
        <f t="shared" si="0"/>
        <v/>
      </c>
      <c r="U42" s="10"/>
    </row>
    <row r="43" spans="1:21" x14ac:dyDescent="0.2">
      <c r="A43" s="365">
        <f t="shared" si="1"/>
        <v>36</v>
      </c>
      <c r="B43" s="190"/>
      <c r="C43" s="359"/>
      <c r="D43" s="389"/>
      <c r="E43" s="179"/>
      <c r="F43" s="471"/>
      <c r="G43" s="346"/>
      <c r="H43" s="110"/>
      <c r="I43" s="110"/>
      <c r="J43" s="110"/>
      <c r="K43" s="183"/>
      <c r="L43" s="351"/>
      <c r="M43" s="351"/>
      <c r="N43" s="351"/>
      <c r="O43" s="552" t="e">
        <f t="shared" si="2"/>
        <v>#DIV/0!</v>
      </c>
      <c r="P43" s="351"/>
      <c r="Q43" s="352"/>
      <c r="R43" s="184"/>
      <c r="S43" s="185" t="e">
        <f>+P43/BALANCESHEET!G$82</f>
        <v>#DIV/0!</v>
      </c>
      <c r="T43" s="10" t="str">
        <f t="shared" si="0"/>
        <v/>
      </c>
      <c r="U43" s="10"/>
    </row>
    <row r="44" spans="1:21" x14ac:dyDescent="0.2">
      <c r="A44" s="365">
        <f t="shared" si="1"/>
        <v>37</v>
      </c>
      <c r="B44" s="190"/>
      <c r="C44" s="359"/>
      <c r="D44" s="389"/>
      <c r="E44" s="179"/>
      <c r="F44" s="471"/>
      <c r="G44" s="346"/>
      <c r="H44" s="110"/>
      <c r="I44" s="110"/>
      <c r="J44" s="110"/>
      <c r="K44" s="183"/>
      <c r="L44" s="351"/>
      <c r="M44" s="351"/>
      <c r="N44" s="351"/>
      <c r="O44" s="552" t="e">
        <f t="shared" si="2"/>
        <v>#DIV/0!</v>
      </c>
      <c r="P44" s="351"/>
      <c r="Q44" s="352"/>
      <c r="R44" s="184"/>
      <c r="S44" s="185" t="e">
        <f>+P44/BALANCESHEET!G$82</f>
        <v>#DIV/0!</v>
      </c>
      <c r="T44" s="10" t="str">
        <f t="shared" si="0"/>
        <v/>
      </c>
      <c r="U44" s="10"/>
    </row>
    <row r="45" spans="1:21" x14ac:dyDescent="0.2">
      <c r="A45" s="365">
        <f t="shared" si="1"/>
        <v>38</v>
      </c>
      <c r="B45" s="190"/>
      <c r="C45" s="359"/>
      <c r="D45" s="389"/>
      <c r="E45" s="179"/>
      <c r="F45" s="471"/>
      <c r="G45" s="346"/>
      <c r="H45" s="110"/>
      <c r="I45" s="110"/>
      <c r="J45" s="110"/>
      <c r="K45" s="183"/>
      <c r="L45" s="351"/>
      <c r="M45" s="351"/>
      <c r="N45" s="351"/>
      <c r="O45" s="552" t="e">
        <f t="shared" si="2"/>
        <v>#DIV/0!</v>
      </c>
      <c r="P45" s="351"/>
      <c r="Q45" s="352"/>
      <c r="R45" s="184"/>
      <c r="S45" s="185" t="e">
        <f>+P45/BALANCESHEET!G$82</f>
        <v>#DIV/0!</v>
      </c>
      <c r="T45" s="10" t="str">
        <f t="shared" si="0"/>
        <v/>
      </c>
      <c r="U45" s="10"/>
    </row>
    <row r="46" spans="1:21" x14ac:dyDescent="0.2">
      <c r="A46" s="365">
        <f t="shared" si="1"/>
        <v>39</v>
      </c>
      <c r="B46" s="190"/>
      <c r="C46" s="359"/>
      <c r="D46" s="389"/>
      <c r="E46" s="179"/>
      <c r="F46" s="471"/>
      <c r="G46" s="346"/>
      <c r="H46" s="110"/>
      <c r="I46" s="110"/>
      <c r="J46" s="110"/>
      <c r="K46" s="183"/>
      <c r="L46" s="351"/>
      <c r="M46" s="351"/>
      <c r="N46" s="351"/>
      <c r="O46" s="552" t="e">
        <f t="shared" si="2"/>
        <v>#DIV/0!</v>
      </c>
      <c r="P46" s="351"/>
      <c r="Q46" s="352"/>
      <c r="R46" s="184"/>
      <c r="S46" s="185" t="e">
        <f>+P46/BALANCESHEET!G$82</f>
        <v>#DIV/0!</v>
      </c>
      <c r="T46" s="10" t="str">
        <f t="shared" si="0"/>
        <v/>
      </c>
      <c r="U46" s="10"/>
    </row>
    <row r="47" spans="1:21" x14ac:dyDescent="0.2">
      <c r="A47" s="365">
        <f t="shared" si="1"/>
        <v>40</v>
      </c>
      <c r="B47" s="190"/>
      <c r="C47" s="359"/>
      <c r="D47" s="389"/>
      <c r="E47" s="179"/>
      <c r="F47" s="471"/>
      <c r="G47" s="346"/>
      <c r="H47" s="110"/>
      <c r="I47" s="110"/>
      <c r="J47" s="110"/>
      <c r="K47" s="183"/>
      <c r="L47" s="351"/>
      <c r="M47" s="351"/>
      <c r="N47" s="351"/>
      <c r="O47" s="552" t="e">
        <f>+N47/M47</f>
        <v>#DIV/0!</v>
      </c>
      <c r="P47" s="351"/>
      <c r="Q47" s="352"/>
      <c r="R47" s="184"/>
      <c r="S47" s="185" t="e">
        <f>+P47/BALANCESHEET!G$82</f>
        <v>#DIV/0!</v>
      </c>
      <c r="T47" s="10" t="str">
        <f t="shared" si="0"/>
        <v/>
      </c>
      <c r="U47" s="10"/>
    </row>
    <row r="48" spans="1:21" x14ac:dyDescent="0.2">
      <c r="A48" s="877" t="s">
        <v>824</v>
      </c>
      <c r="B48" s="878"/>
      <c r="C48" s="397"/>
      <c r="D48" s="397"/>
      <c r="E48" s="192">
        <f>+SUM(E8:E47)</f>
        <v>0</v>
      </c>
      <c r="F48" s="472"/>
      <c r="G48" s="193"/>
      <c r="H48" s="118"/>
      <c r="I48" s="118"/>
      <c r="J48" s="118"/>
      <c r="K48" s="118"/>
      <c r="L48" s="192">
        <f>+SUM(L8:L47)</f>
        <v>0</v>
      </c>
      <c r="M48" s="192"/>
      <c r="N48" s="549"/>
      <c r="O48" s="233" t="e">
        <f>MAX(O8:O47)</f>
        <v>#DIV/0!</v>
      </c>
      <c r="P48" s="192">
        <f>+SUM(P8:P47)</f>
        <v>0</v>
      </c>
      <c r="Q48" s="353"/>
      <c r="R48" s="192"/>
      <c r="S48" s="194"/>
    </row>
    <row r="49" spans="1:20" x14ac:dyDescent="0.2">
      <c r="A49" s="540"/>
      <c r="B49" s="54"/>
      <c r="C49" s="540"/>
      <c r="D49" s="540"/>
      <c r="E49" s="541"/>
      <c r="F49" s="542"/>
      <c r="G49" s="543"/>
      <c r="H49" s="544"/>
      <c r="I49" s="544"/>
      <c r="J49" s="544"/>
      <c r="K49" s="544"/>
      <c r="L49" s="541"/>
      <c r="M49" s="541"/>
      <c r="N49" s="545"/>
      <c r="O49" s="547"/>
      <c r="P49" s="3"/>
      <c r="Q49" s="880" t="s">
        <v>825</v>
      </c>
      <c r="R49" s="880"/>
      <c r="S49" s="546" t="e">
        <f>MAX(S8:S47)</f>
        <v>#DIV/0!</v>
      </c>
    </row>
    <row r="50" spans="1:20" ht="12.75" customHeight="1" x14ac:dyDescent="0.2">
      <c r="A50" s="879" t="s">
        <v>1079</v>
      </c>
      <c r="B50" s="879"/>
      <c r="C50" s="879"/>
      <c r="D50" s="879"/>
      <c r="E50" s="879"/>
      <c r="F50" s="879"/>
      <c r="G50" s="879"/>
      <c r="H50" s="879"/>
      <c r="I50" s="879"/>
      <c r="J50" s="879"/>
      <c r="K50" s="879"/>
      <c r="L50" s="879"/>
      <c r="M50" s="879"/>
      <c r="N50" s="879"/>
      <c r="O50" s="879"/>
      <c r="P50" s="879"/>
      <c r="Q50" s="879"/>
      <c r="R50" s="879"/>
      <c r="S50" s="879"/>
      <c r="T50" s="494"/>
    </row>
    <row r="51" spans="1:20" ht="12.75" customHeight="1" x14ac:dyDescent="0.2">
      <c r="A51" s="879" t="s">
        <v>927</v>
      </c>
      <c r="B51" s="879"/>
      <c r="C51" s="879"/>
      <c r="D51" s="879"/>
      <c r="E51" s="879"/>
      <c r="F51" s="879"/>
      <c r="G51" s="879"/>
      <c r="H51" s="879"/>
      <c r="I51" s="879"/>
      <c r="J51" s="879"/>
      <c r="K51" s="879"/>
      <c r="L51" s="879"/>
      <c r="M51" s="879"/>
      <c r="N51" s="879"/>
      <c r="O51" s="879"/>
      <c r="P51" s="879"/>
      <c r="Q51" s="879"/>
      <c r="R51" s="879"/>
      <c r="S51" s="879"/>
      <c r="T51" s="494"/>
    </row>
    <row r="52" spans="1:20" x14ac:dyDescent="0.2">
      <c r="A52" s="879"/>
      <c r="B52" s="879"/>
      <c r="C52" s="879"/>
      <c r="D52" s="879"/>
      <c r="E52" s="879"/>
      <c r="F52" s="879"/>
      <c r="G52" s="879"/>
      <c r="H52" s="879"/>
      <c r="I52" s="879"/>
      <c r="J52" s="879"/>
      <c r="K52" s="879"/>
      <c r="L52" s="879"/>
      <c r="M52" s="879"/>
      <c r="N52" s="879"/>
      <c r="O52" s="879"/>
      <c r="P52" s="879"/>
      <c r="Q52" s="879"/>
      <c r="R52" s="879"/>
      <c r="S52" s="879"/>
      <c r="T52" s="493"/>
    </row>
    <row r="53" spans="1:20" x14ac:dyDescent="0.2">
      <c r="E53" s="170"/>
      <c r="F53" s="473"/>
      <c r="G53" s="170"/>
      <c r="L53" s="170"/>
      <c r="M53" s="170"/>
      <c r="N53" s="474"/>
      <c r="O53" s="474"/>
      <c r="P53" s="172"/>
      <c r="Q53" s="354"/>
      <c r="R53" s="172"/>
      <c r="S53" s="173"/>
    </row>
    <row r="54" spans="1:20" x14ac:dyDescent="0.2">
      <c r="E54" s="715" t="s">
        <v>36</v>
      </c>
      <c r="F54" s="715"/>
      <c r="G54" s="716"/>
      <c r="H54" s="126"/>
      <c r="I54" s="126"/>
      <c r="J54" s="13"/>
      <c r="K54" s="13"/>
      <c r="L54" s="14"/>
      <c r="M54" s="14"/>
      <c r="N54" s="475"/>
      <c r="O54" s="475"/>
      <c r="P54" s="172"/>
      <c r="Q54" s="354"/>
      <c r="R54" s="172"/>
      <c r="S54" s="173"/>
    </row>
    <row r="55" spans="1:20" x14ac:dyDescent="0.2">
      <c r="E55" s="15"/>
      <c r="F55" s="476"/>
      <c r="G55" s="16"/>
      <c r="H55" s="126"/>
      <c r="I55" s="126"/>
      <c r="J55" s="13"/>
      <c r="K55" s="13"/>
      <c r="L55" s="14"/>
      <c r="M55" s="14"/>
      <c r="N55" s="475"/>
      <c r="O55" s="475"/>
      <c r="P55" s="172"/>
      <c r="Q55" s="354"/>
      <c r="R55" s="172"/>
      <c r="S55" s="173"/>
    </row>
    <row r="56" spans="1:20" x14ac:dyDescent="0.2">
      <c r="E56" s="15"/>
      <c r="F56" s="476"/>
      <c r="G56" s="718" t="s">
        <v>437</v>
      </c>
      <c r="H56" s="718"/>
      <c r="I56" s="718"/>
      <c r="J56" s="13"/>
      <c r="K56" s="13"/>
      <c r="L56" s="14"/>
      <c r="M56" s="14"/>
      <c r="N56" s="475"/>
      <c r="O56" s="475"/>
      <c r="P56" s="172"/>
      <c r="Q56" s="354"/>
      <c r="R56" s="172"/>
      <c r="S56" s="173"/>
    </row>
    <row r="57" spans="1:20" x14ac:dyDescent="0.2">
      <c r="E57" s="15"/>
      <c r="F57" s="476"/>
      <c r="G57" s="16"/>
      <c r="H57" s="126"/>
      <c r="I57" s="126"/>
      <c r="J57" s="13"/>
      <c r="K57" s="13"/>
      <c r="L57" s="14"/>
      <c r="M57" s="14"/>
      <c r="N57" s="475"/>
      <c r="O57" s="475"/>
      <c r="P57" s="172"/>
      <c r="Q57" s="354"/>
      <c r="R57" s="172"/>
      <c r="S57" s="173"/>
    </row>
    <row r="58" spans="1:20" ht="15" customHeight="1" x14ac:dyDescent="0.2">
      <c r="E58" s="15"/>
      <c r="F58" s="476"/>
      <c r="G58" s="16"/>
      <c r="H58" s="835" t="str">
        <f>BALANCE!D361</f>
        <v>ГҮЙЦЭТГЭХ ЗАХИРАЛ.................................................................//</v>
      </c>
      <c r="I58" s="835"/>
      <c r="J58" s="835"/>
      <c r="K58" s="835"/>
      <c r="L58" s="835"/>
      <c r="M58" s="835"/>
      <c r="N58" s="835"/>
      <c r="O58" s="129"/>
      <c r="P58" s="172"/>
      <c r="Q58" s="354"/>
      <c r="R58" s="172"/>
      <c r="S58" s="173"/>
    </row>
    <row r="59" spans="1:20" x14ac:dyDescent="0.2">
      <c r="E59" s="15"/>
      <c r="F59" s="476"/>
      <c r="G59" s="16"/>
      <c r="H59" s="401"/>
      <c r="I59" s="129"/>
      <c r="J59" s="129"/>
      <c r="K59" s="129"/>
      <c r="L59" s="129"/>
      <c r="M59" s="129"/>
      <c r="N59" s="477"/>
      <c r="O59" s="477"/>
      <c r="P59" s="172"/>
      <c r="Q59" s="354"/>
      <c r="R59" s="172"/>
      <c r="S59" s="173"/>
    </row>
    <row r="60" spans="1:20" ht="15" customHeight="1" x14ac:dyDescent="0.2">
      <c r="E60" s="15"/>
      <c r="F60" s="476"/>
      <c r="G60" s="16"/>
      <c r="H60" s="835" t="str">
        <f>BALANCE!D363</f>
        <v>ЕРӨНХИЙ НЯГТЛАН БОДОГЧ....................................................//</v>
      </c>
      <c r="I60" s="835"/>
      <c r="J60" s="835"/>
      <c r="K60" s="835"/>
      <c r="L60" s="835"/>
      <c r="M60" s="835"/>
      <c r="N60" s="477"/>
      <c r="O60" s="477"/>
      <c r="P60" s="170"/>
      <c r="Q60" s="355"/>
      <c r="R60" s="170"/>
      <c r="S60" s="174"/>
    </row>
    <row r="61" spans="1:20" x14ac:dyDescent="0.2">
      <c r="E61" s="15"/>
      <c r="F61" s="476"/>
      <c r="G61" s="16"/>
      <c r="H61" s="401"/>
      <c r="I61" s="129"/>
      <c r="J61" s="129"/>
      <c r="K61" s="129"/>
      <c r="L61" s="129"/>
      <c r="M61" s="129"/>
      <c r="N61" s="477"/>
      <c r="O61" s="477"/>
      <c r="P61" s="170"/>
      <c r="Q61" s="355"/>
      <c r="R61" s="170"/>
      <c r="S61" s="174"/>
    </row>
    <row r="62" spans="1:20" ht="15" customHeight="1" x14ac:dyDescent="0.2">
      <c r="E62" s="15"/>
      <c r="F62" s="476"/>
      <c r="G62" s="16"/>
      <c r="H62" s="835">
        <f>BALANCE!D365</f>
        <v>0</v>
      </c>
      <c r="I62" s="835"/>
      <c r="J62" s="835"/>
      <c r="K62" s="835"/>
      <c r="L62" s="835"/>
      <c r="M62" s="835"/>
      <c r="N62" s="477"/>
      <c r="O62" s="477"/>
      <c r="P62" s="170"/>
      <c r="Q62" s="355"/>
      <c r="R62" s="170"/>
      <c r="S62" s="174"/>
    </row>
    <row r="63" spans="1:20" hidden="1" x14ac:dyDescent="0.2">
      <c r="E63" s="170"/>
      <c r="F63" s="473"/>
      <c r="G63" s="170"/>
      <c r="L63" s="170"/>
      <c r="M63" s="170"/>
      <c r="N63" s="474"/>
      <c r="O63" s="474"/>
      <c r="P63" s="170"/>
      <c r="Q63" s="355"/>
      <c r="R63" s="170"/>
      <c r="S63" s="174"/>
    </row>
    <row r="64" spans="1:20" hidden="1" x14ac:dyDescent="0.2">
      <c r="B64" s="328" t="s">
        <v>826</v>
      </c>
      <c r="C64" s="328"/>
      <c r="D64" s="328"/>
      <c r="E64" s="170" t="s">
        <v>12</v>
      </c>
      <c r="F64" s="473"/>
      <c r="G64" s="170"/>
      <c r="L64" s="170"/>
      <c r="M64" s="170"/>
      <c r="N64" s="474"/>
      <c r="O64" s="474"/>
      <c r="P64" s="170"/>
      <c r="Q64" s="355"/>
      <c r="R64" s="170"/>
      <c r="S64" s="174"/>
    </row>
    <row r="65" spans="2:19" hidden="1" x14ac:dyDescent="0.2">
      <c r="B65" s="328" t="s">
        <v>827</v>
      </c>
      <c r="C65" s="328"/>
      <c r="D65" s="328"/>
      <c r="E65" s="170" t="s">
        <v>828</v>
      </c>
      <c r="F65" s="473"/>
      <c r="G65" s="170"/>
      <c r="L65" s="170"/>
      <c r="M65" s="170"/>
      <c r="N65" s="474"/>
      <c r="O65" s="474"/>
      <c r="P65" s="170"/>
      <c r="Q65" s="355"/>
      <c r="R65" s="170"/>
      <c r="S65" s="174"/>
    </row>
    <row r="66" spans="2:19" hidden="1" x14ac:dyDescent="0.2">
      <c r="B66" s="329" t="s">
        <v>829</v>
      </c>
      <c r="C66" s="329"/>
      <c r="D66" s="329"/>
      <c r="E66" s="170" t="s">
        <v>481</v>
      </c>
      <c r="F66" s="473"/>
      <c r="G66" s="170"/>
      <c r="L66" s="170"/>
      <c r="M66" s="170"/>
      <c r="N66" s="474"/>
      <c r="O66" s="474"/>
      <c r="P66" s="170"/>
      <c r="Q66" s="355"/>
      <c r="R66" s="170"/>
      <c r="S66" s="174"/>
    </row>
    <row r="67" spans="2:19" hidden="1" x14ac:dyDescent="0.2">
      <c r="B67" s="329" t="s">
        <v>830</v>
      </c>
      <c r="C67" s="329"/>
      <c r="D67" s="329"/>
      <c r="E67" s="170" t="s">
        <v>474</v>
      </c>
      <c r="F67" s="473"/>
      <c r="G67" s="170"/>
      <c r="L67" s="170"/>
      <c r="M67" s="170"/>
      <c r="N67" s="474"/>
      <c r="O67" s="474"/>
      <c r="P67" s="170"/>
      <c r="Q67" s="355"/>
      <c r="R67" s="170"/>
      <c r="S67" s="174"/>
    </row>
    <row r="68" spans="2:19" hidden="1" x14ac:dyDescent="0.2">
      <c r="B68" s="329" t="s">
        <v>831</v>
      </c>
      <c r="C68" s="329"/>
      <c r="D68" s="329"/>
      <c r="E68" s="170" t="s">
        <v>832</v>
      </c>
      <c r="F68" s="473"/>
      <c r="G68" s="170"/>
      <c r="L68" s="170"/>
      <c r="M68" s="170"/>
      <c r="N68" s="474"/>
      <c r="O68" s="474"/>
      <c r="P68" s="170"/>
      <c r="Q68" s="355"/>
      <c r="R68" s="170"/>
      <c r="S68" s="174"/>
    </row>
    <row r="69" spans="2:19" hidden="1" x14ac:dyDescent="0.2">
      <c r="B69" s="329" t="s">
        <v>833</v>
      </c>
      <c r="C69" s="329"/>
      <c r="D69" s="329"/>
      <c r="E69" s="170"/>
      <c r="F69" s="473"/>
      <c r="G69" s="170"/>
      <c r="L69" s="170"/>
      <c r="M69" s="170"/>
      <c r="N69" s="474"/>
      <c r="O69" s="474"/>
      <c r="P69" s="170"/>
      <c r="Q69" s="355"/>
      <c r="R69" s="170"/>
      <c r="S69" s="174"/>
    </row>
    <row r="70" spans="2:19" hidden="1" x14ac:dyDescent="0.2">
      <c r="B70" s="329" t="s">
        <v>128</v>
      </c>
      <c r="C70" s="329"/>
      <c r="D70" s="329"/>
      <c r="E70" s="170"/>
      <c r="F70" s="473"/>
      <c r="G70" s="170"/>
      <c r="L70" s="170"/>
      <c r="M70" s="170"/>
      <c r="N70" s="474"/>
      <c r="O70" s="474"/>
      <c r="P70" s="170"/>
      <c r="Q70" s="355"/>
      <c r="R70" s="170"/>
      <c r="S70" s="174"/>
    </row>
    <row r="71" spans="2:19" hidden="1" x14ac:dyDescent="0.2">
      <c r="B71" s="329" t="s">
        <v>834</v>
      </c>
      <c r="C71" s="329"/>
      <c r="D71" s="329"/>
      <c r="E71" s="170"/>
      <c r="F71" s="473"/>
      <c r="G71" s="170"/>
      <c r="L71" s="170"/>
      <c r="M71" s="170"/>
      <c r="N71" s="474"/>
      <c r="O71" s="474"/>
      <c r="P71" s="170"/>
      <c r="Q71" s="355"/>
      <c r="R71" s="170"/>
      <c r="S71" s="174"/>
    </row>
    <row r="72" spans="2:19" hidden="1" x14ac:dyDescent="0.2">
      <c r="B72" s="329" t="s">
        <v>835</v>
      </c>
      <c r="C72" s="329"/>
      <c r="D72" s="329"/>
      <c r="E72" s="170"/>
      <c r="F72" s="473"/>
      <c r="G72" s="170"/>
      <c r="L72" s="170"/>
      <c r="M72" s="170"/>
      <c r="N72" s="474"/>
      <c r="O72" s="474"/>
      <c r="P72" s="170"/>
      <c r="Q72" s="355"/>
      <c r="R72" s="170"/>
      <c r="S72" s="174"/>
    </row>
    <row r="73" spans="2:19" hidden="1" x14ac:dyDescent="0.2">
      <c r="B73" s="329" t="s">
        <v>836</v>
      </c>
      <c r="C73" s="329"/>
      <c r="D73" s="329"/>
      <c r="E73" s="170"/>
      <c r="F73" s="473"/>
      <c r="G73" s="170"/>
      <c r="L73" s="170"/>
      <c r="M73" s="170"/>
      <c r="N73" s="474"/>
      <c r="O73" s="474"/>
      <c r="P73" s="170"/>
      <c r="Q73" s="355"/>
      <c r="R73" s="170"/>
      <c r="S73" s="174"/>
    </row>
    <row r="74" spans="2:19" hidden="1" x14ac:dyDescent="0.2">
      <c r="B74" s="329" t="s">
        <v>837</v>
      </c>
      <c r="C74" s="329"/>
      <c r="D74" s="329"/>
      <c r="E74" s="170"/>
      <c r="F74" s="473"/>
      <c r="G74" s="170"/>
      <c r="L74" s="170"/>
      <c r="M74" s="170"/>
      <c r="N74" s="474"/>
      <c r="O74" s="474"/>
      <c r="P74" s="170"/>
      <c r="Q74" s="355"/>
      <c r="R74" s="170"/>
      <c r="S74" s="174"/>
    </row>
    <row r="75" spans="2:19" hidden="1" x14ac:dyDescent="0.2">
      <c r="B75" s="329" t="s">
        <v>838</v>
      </c>
      <c r="C75" s="329"/>
      <c r="D75" s="329"/>
      <c r="E75" s="170"/>
      <c r="F75" s="473"/>
      <c r="G75" s="170"/>
      <c r="L75" s="170"/>
      <c r="M75" s="170"/>
      <c r="N75" s="474"/>
      <c r="O75" s="474"/>
      <c r="P75" s="170"/>
      <c r="Q75" s="355"/>
      <c r="R75" s="170"/>
      <c r="S75" s="174"/>
    </row>
    <row r="76" spans="2:19" hidden="1" x14ac:dyDescent="0.2">
      <c r="B76" s="330" t="s">
        <v>162</v>
      </c>
      <c r="C76" s="330"/>
      <c r="D76" s="330"/>
      <c r="E76" s="170"/>
      <c r="F76" s="473"/>
      <c r="G76" s="170"/>
      <c r="L76" s="170"/>
      <c r="M76" s="170"/>
      <c r="N76" s="474"/>
      <c r="O76" s="474"/>
      <c r="P76" s="170"/>
      <c r="Q76" s="355"/>
      <c r="R76" s="170"/>
      <c r="S76" s="174"/>
    </row>
    <row r="77" spans="2:19" hidden="1" x14ac:dyDescent="0.2">
      <c r="E77" s="170"/>
      <c r="F77" s="473"/>
      <c r="G77" s="170"/>
      <c r="L77" s="170"/>
      <c r="M77" s="170"/>
      <c r="N77" s="474"/>
      <c r="O77" s="474"/>
      <c r="P77" s="170"/>
      <c r="Q77" s="355"/>
      <c r="R77" s="170"/>
      <c r="S77" s="174"/>
    </row>
    <row r="78" spans="2:19" hidden="1" x14ac:dyDescent="0.2">
      <c r="E78" s="170"/>
      <c r="F78" s="473"/>
      <c r="G78" s="170"/>
      <c r="L78" s="170"/>
      <c r="M78" s="170"/>
      <c r="N78" s="474"/>
      <c r="O78" s="474"/>
      <c r="P78" s="170"/>
      <c r="Q78" s="355"/>
      <c r="R78" s="170"/>
      <c r="S78" s="174"/>
    </row>
    <row r="79" spans="2:19" hidden="1" x14ac:dyDescent="0.2">
      <c r="E79" s="170"/>
      <c r="F79" s="473"/>
      <c r="G79" s="170"/>
      <c r="L79" s="170"/>
      <c r="M79" s="170"/>
      <c r="N79" s="474"/>
      <c r="O79" s="474"/>
      <c r="P79" s="170"/>
      <c r="Q79" s="355"/>
      <c r="R79" s="170"/>
      <c r="S79" s="174"/>
    </row>
    <row r="80" spans="2:19" hidden="1" x14ac:dyDescent="0.2">
      <c r="D80" s="478" t="s">
        <v>1084</v>
      </c>
      <c r="E80" s="479"/>
      <c r="F80" s="480"/>
      <c r="G80" s="479"/>
      <c r="H80" s="478"/>
      <c r="I80" s="478"/>
      <c r="J80" s="478"/>
      <c r="K80" s="478" t="s">
        <v>1081</v>
      </c>
      <c r="L80" s="170"/>
      <c r="M80" s="170"/>
      <c r="N80" s="474"/>
      <c r="O80" s="474"/>
      <c r="P80" s="170"/>
      <c r="Q80" s="355"/>
      <c r="R80" s="170"/>
      <c r="S80" s="174"/>
    </row>
    <row r="81" spans="4:19" hidden="1" x14ac:dyDescent="0.2">
      <c r="D81" s="478" t="s">
        <v>128</v>
      </c>
      <c r="E81" s="479"/>
      <c r="F81" s="480"/>
      <c r="G81" s="479"/>
      <c r="H81" s="478"/>
      <c r="I81" s="478"/>
      <c r="J81" s="478"/>
      <c r="K81" s="478" t="s">
        <v>95</v>
      </c>
      <c r="L81" s="170"/>
      <c r="M81" s="170"/>
      <c r="N81" s="474"/>
      <c r="O81" s="474"/>
      <c r="P81" s="170"/>
      <c r="Q81" s="355"/>
      <c r="R81" s="170"/>
      <c r="S81" s="174"/>
    </row>
    <row r="82" spans="4:19" hidden="1" x14ac:dyDescent="0.2">
      <c r="D82" s="478" t="s">
        <v>1085</v>
      </c>
      <c r="E82" s="479"/>
      <c r="F82" s="480"/>
      <c r="G82" s="479"/>
      <c r="H82" s="478"/>
      <c r="I82" s="478"/>
      <c r="J82" s="478"/>
      <c r="K82" s="478" t="s">
        <v>1086</v>
      </c>
      <c r="L82" s="170"/>
      <c r="M82" s="170"/>
      <c r="N82" s="474"/>
      <c r="O82" s="474"/>
      <c r="P82" s="170"/>
      <c r="Q82" s="355"/>
      <c r="R82" s="170"/>
      <c r="S82" s="174"/>
    </row>
    <row r="83" spans="4:19" hidden="1" x14ac:dyDescent="0.2">
      <c r="D83" s="478" t="s">
        <v>1087</v>
      </c>
      <c r="E83" s="479"/>
      <c r="F83" s="480"/>
      <c r="G83" s="479"/>
      <c r="H83" s="478"/>
      <c r="I83" s="478"/>
      <c r="J83" s="478"/>
      <c r="K83" s="478" t="s">
        <v>1088</v>
      </c>
      <c r="L83" s="170"/>
      <c r="M83" s="170"/>
      <c r="N83" s="474"/>
      <c r="O83" s="474"/>
      <c r="P83" s="170"/>
      <c r="Q83" s="355"/>
      <c r="R83" s="170"/>
      <c r="S83" s="174"/>
    </row>
    <row r="84" spans="4:19" hidden="1" x14ac:dyDescent="0.2">
      <c r="D84" s="478" t="s">
        <v>1089</v>
      </c>
      <c r="E84" s="479"/>
      <c r="F84" s="480"/>
      <c r="G84" s="479"/>
      <c r="H84" s="478"/>
      <c r="I84" s="478"/>
      <c r="J84" s="478"/>
      <c r="K84" s="478" t="s">
        <v>1090</v>
      </c>
      <c r="L84" s="170"/>
      <c r="M84" s="170"/>
      <c r="N84" s="474"/>
      <c r="O84" s="474"/>
      <c r="P84" s="170"/>
      <c r="Q84" s="355"/>
      <c r="R84" s="170"/>
      <c r="S84" s="174"/>
    </row>
    <row r="85" spans="4:19" hidden="1" x14ac:dyDescent="0.2">
      <c r="D85" s="478" t="s">
        <v>1091</v>
      </c>
      <c r="E85" s="479"/>
      <c r="F85" s="480"/>
      <c r="G85" s="479"/>
      <c r="H85" s="478"/>
      <c r="I85" s="478"/>
      <c r="J85" s="478"/>
      <c r="K85" s="478" t="s">
        <v>834</v>
      </c>
      <c r="L85" s="170"/>
      <c r="M85" s="170"/>
      <c r="N85" s="474"/>
      <c r="O85" s="474"/>
      <c r="P85" s="170"/>
      <c r="Q85" s="355"/>
      <c r="R85" s="170"/>
      <c r="S85" s="174"/>
    </row>
    <row r="86" spans="4:19" hidden="1" x14ac:dyDescent="0.2">
      <c r="D86" s="478" t="s">
        <v>1092</v>
      </c>
      <c r="E86" s="479"/>
      <c r="F86" s="480"/>
      <c r="G86" s="479"/>
      <c r="H86" s="478"/>
      <c r="I86" s="478"/>
      <c r="J86" s="478"/>
      <c r="K86" s="478" t="s">
        <v>1093</v>
      </c>
      <c r="L86" s="170"/>
      <c r="M86" s="170"/>
      <c r="N86" s="474"/>
      <c r="O86" s="474"/>
      <c r="P86" s="170"/>
      <c r="Q86" s="355"/>
      <c r="R86" s="170"/>
      <c r="S86" s="174"/>
    </row>
    <row r="87" spans="4:19" hidden="1" x14ac:dyDescent="0.2">
      <c r="D87" s="478" t="s">
        <v>1094</v>
      </c>
      <c r="E87" s="479"/>
      <c r="F87" s="480"/>
      <c r="G87" s="479"/>
      <c r="H87" s="478"/>
      <c r="I87" s="478"/>
      <c r="J87" s="478"/>
      <c r="K87" s="478" t="s">
        <v>1082</v>
      </c>
      <c r="L87" s="170"/>
      <c r="M87" s="170"/>
      <c r="N87" s="474"/>
      <c r="O87" s="474"/>
      <c r="P87" s="170"/>
      <c r="Q87" s="355"/>
      <c r="R87" s="170"/>
      <c r="S87" s="174"/>
    </row>
    <row r="88" spans="4:19" hidden="1" x14ac:dyDescent="0.2">
      <c r="D88" s="481"/>
      <c r="E88" s="479"/>
      <c r="F88" s="480"/>
      <c r="G88" s="479"/>
      <c r="H88" s="478"/>
      <c r="I88" s="478"/>
      <c r="J88" s="478"/>
      <c r="K88" s="478"/>
      <c r="L88" s="170"/>
      <c r="M88" s="170"/>
      <c r="N88" s="474"/>
      <c r="O88" s="474"/>
      <c r="P88" s="170"/>
      <c r="Q88" s="355"/>
      <c r="R88" s="170"/>
      <c r="S88" s="174"/>
    </row>
    <row r="89" spans="4:19" hidden="1" x14ac:dyDescent="0.2">
      <c r="E89" s="170"/>
      <c r="F89" s="473"/>
      <c r="G89" s="170"/>
      <c r="L89" s="170"/>
      <c r="M89" s="170"/>
      <c r="N89" s="474"/>
      <c r="O89" s="474"/>
      <c r="P89" s="170"/>
      <c r="Q89" s="355"/>
      <c r="R89" s="170"/>
      <c r="S89" s="174"/>
    </row>
    <row r="90" spans="4:19" hidden="1" x14ac:dyDescent="0.2">
      <c r="E90" s="170"/>
      <c r="F90" s="473"/>
      <c r="G90" s="170"/>
      <c r="L90" s="170"/>
      <c r="M90" s="170"/>
      <c r="N90" s="474"/>
      <c r="O90" s="474"/>
      <c r="P90" s="170"/>
      <c r="Q90" s="355"/>
      <c r="R90" s="170"/>
      <c r="S90" s="174"/>
    </row>
    <row r="91" spans="4:19" hidden="1" x14ac:dyDescent="0.2">
      <c r="E91" s="170"/>
      <c r="F91" s="473"/>
      <c r="G91" s="170"/>
      <c r="I91" s="3" t="s">
        <v>732</v>
      </c>
      <c r="L91" s="170"/>
      <c r="M91" s="170"/>
      <c r="N91" s="474"/>
      <c r="O91" s="474"/>
      <c r="P91" s="170"/>
      <c r="Q91" s="355"/>
      <c r="R91" s="170"/>
      <c r="S91" s="174"/>
    </row>
    <row r="92" spans="4:19" hidden="1" x14ac:dyDescent="0.2">
      <c r="E92" s="170"/>
      <c r="F92" s="473"/>
      <c r="G92" s="170"/>
      <c r="I92" s="3" t="s">
        <v>839</v>
      </c>
      <c r="L92" s="170"/>
      <c r="M92" s="170"/>
      <c r="N92" s="474"/>
      <c r="O92" s="474"/>
      <c r="P92" s="170"/>
      <c r="Q92" s="355"/>
      <c r="R92" s="170"/>
      <c r="S92" s="174"/>
    </row>
    <row r="93" spans="4:19" hidden="1" x14ac:dyDescent="0.2">
      <c r="E93" s="170"/>
      <c r="F93" s="473"/>
      <c r="G93" s="170"/>
      <c r="L93" s="170"/>
      <c r="M93" s="170"/>
      <c r="N93" s="474"/>
      <c r="O93" s="474"/>
      <c r="P93" s="170"/>
      <c r="Q93" s="355"/>
      <c r="R93" s="170"/>
      <c r="S93" s="174"/>
    </row>
    <row r="94" spans="4:19" hidden="1" x14ac:dyDescent="0.2">
      <c r="E94" s="170"/>
      <c r="F94" s="473"/>
      <c r="G94" s="170"/>
      <c r="L94" s="170"/>
      <c r="M94" s="170"/>
      <c r="N94" s="474"/>
      <c r="O94" s="474"/>
      <c r="P94" s="170"/>
      <c r="Q94" s="355"/>
      <c r="R94" s="170"/>
      <c r="S94" s="174"/>
    </row>
    <row r="95" spans="4:19" ht="36" hidden="1" x14ac:dyDescent="0.2">
      <c r="E95" s="106" t="s">
        <v>840</v>
      </c>
      <c r="F95" s="482"/>
      <c r="G95" s="170"/>
      <c r="L95" s="170"/>
      <c r="M95" s="170"/>
      <c r="N95" s="474"/>
      <c r="O95" s="474"/>
      <c r="P95" s="170"/>
      <c r="Q95" s="355"/>
      <c r="R95" s="170"/>
      <c r="S95" s="174"/>
    </row>
    <row r="96" spans="4:19" hidden="1" x14ac:dyDescent="0.2">
      <c r="E96" s="106" t="s">
        <v>841</v>
      </c>
      <c r="F96" s="482"/>
      <c r="G96" s="170"/>
      <c r="L96" s="170"/>
      <c r="M96" s="170"/>
      <c r="N96" s="474"/>
      <c r="O96" s="474"/>
      <c r="P96" s="170"/>
      <c r="Q96" s="355"/>
      <c r="R96" s="170"/>
      <c r="S96" s="174"/>
    </row>
    <row r="97" spans="5:19" ht="24" hidden="1" x14ac:dyDescent="0.2">
      <c r="E97" s="108" t="s">
        <v>842</v>
      </c>
      <c r="F97" s="483"/>
      <c r="G97" s="170"/>
      <c r="L97" s="170"/>
      <c r="M97" s="170"/>
      <c r="N97" s="474"/>
      <c r="O97" s="474"/>
      <c r="P97" s="170"/>
      <c r="Q97" s="355"/>
      <c r="R97" s="170"/>
      <c r="S97" s="174"/>
    </row>
    <row r="98" spans="5:19" ht="36" hidden="1" x14ac:dyDescent="0.2">
      <c r="E98" s="108" t="s">
        <v>843</v>
      </c>
      <c r="F98" s="483"/>
      <c r="G98" s="170"/>
      <c r="L98" s="170"/>
      <c r="M98" s="170"/>
      <c r="N98" s="474"/>
      <c r="O98" s="474"/>
      <c r="P98" s="170"/>
      <c r="Q98" s="355"/>
      <c r="R98" s="170"/>
      <c r="S98" s="174"/>
    </row>
    <row r="99" spans="5:19" ht="48" hidden="1" x14ac:dyDescent="0.2">
      <c r="E99" s="108" t="s">
        <v>844</v>
      </c>
      <c r="F99" s="483"/>
      <c r="G99" s="170"/>
      <c r="L99" s="170"/>
      <c r="M99" s="170"/>
      <c r="N99" s="474"/>
      <c r="O99" s="474"/>
      <c r="P99" s="170"/>
      <c r="Q99" s="355"/>
      <c r="R99" s="170"/>
      <c r="S99" s="174"/>
    </row>
    <row r="100" spans="5:19" hidden="1" x14ac:dyDescent="0.2">
      <c r="E100" s="108" t="s">
        <v>826</v>
      </c>
      <c r="F100" s="483"/>
      <c r="G100" s="170"/>
      <c r="L100" s="170"/>
      <c r="M100" s="170"/>
      <c r="N100" s="474"/>
      <c r="O100" s="474"/>
      <c r="P100" s="170"/>
      <c r="Q100" s="355"/>
      <c r="R100" s="170"/>
      <c r="S100" s="174"/>
    </row>
    <row r="101" spans="5:19" ht="24" hidden="1" x14ac:dyDescent="0.2">
      <c r="E101" s="108" t="s">
        <v>845</v>
      </c>
      <c r="F101" s="483"/>
      <c r="G101" s="170"/>
      <c r="L101" s="170"/>
      <c r="M101" s="170"/>
      <c r="N101" s="474"/>
      <c r="O101" s="474"/>
      <c r="P101" s="170"/>
      <c r="Q101" s="355"/>
      <c r="R101" s="170"/>
      <c r="S101" s="174"/>
    </row>
    <row r="102" spans="5:19" ht="24" hidden="1" x14ac:dyDescent="0.2">
      <c r="E102" s="108" t="s">
        <v>846</v>
      </c>
      <c r="F102" s="483"/>
      <c r="G102" s="170"/>
      <c r="L102" s="170"/>
      <c r="M102" s="170"/>
      <c r="N102" s="474"/>
      <c r="O102" s="474"/>
      <c r="P102" s="170"/>
      <c r="Q102" s="355"/>
      <c r="R102" s="170"/>
      <c r="S102" s="174"/>
    </row>
    <row r="103" spans="5:19" ht="24" hidden="1" x14ac:dyDescent="0.2">
      <c r="E103" s="108" t="s">
        <v>847</v>
      </c>
      <c r="F103" s="483"/>
      <c r="G103" s="170"/>
      <c r="L103" s="170"/>
      <c r="M103" s="170"/>
      <c r="N103" s="474"/>
      <c r="O103" s="474"/>
      <c r="P103" s="170"/>
      <c r="Q103" s="355"/>
      <c r="R103" s="170"/>
      <c r="S103" s="174"/>
    </row>
    <row r="104" spans="5:19" ht="36" hidden="1" x14ac:dyDescent="0.2">
      <c r="E104" s="108" t="s">
        <v>848</v>
      </c>
      <c r="F104" s="483"/>
      <c r="G104" s="170"/>
      <c r="L104" s="170"/>
      <c r="M104" s="170"/>
      <c r="N104" s="474"/>
      <c r="O104" s="474"/>
      <c r="P104" s="170"/>
      <c r="Q104" s="355"/>
      <c r="R104" s="170"/>
      <c r="S104" s="174"/>
    </row>
    <row r="105" spans="5:19" hidden="1" x14ac:dyDescent="0.2">
      <c r="E105" s="108" t="s">
        <v>849</v>
      </c>
      <c r="F105" s="483"/>
      <c r="G105" s="170"/>
      <c r="L105" s="170"/>
      <c r="M105" s="170"/>
      <c r="N105" s="474"/>
      <c r="O105" s="474"/>
      <c r="P105" s="170"/>
      <c r="Q105" s="355"/>
      <c r="R105" s="170"/>
      <c r="S105" s="174"/>
    </row>
    <row r="106" spans="5:19" ht="36" hidden="1" x14ac:dyDescent="0.2">
      <c r="E106" s="108" t="s">
        <v>850</v>
      </c>
      <c r="F106" s="483"/>
      <c r="G106" s="170"/>
      <c r="L106" s="170"/>
      <c r="M106" s="170"/>
      <c r="N106" s="474"/>
      <c r="O106" s="474"/>
      <c r="P106" s="170"/>
      <c r="Q106" s="355"/>
      <c r="R106" s="170"/>
      <c r="S106" s="174"/>
    </row>
    <row r="107" spans="5:19" ht="24" hidden="1" x14ac:dyDescent="0.2">
      <c r="E107" s="108" t="s">
        <v>851</v>
      </c>
      <c r="F107" s="483"/>
      <c r="G107" s="170"/>
      <c r="L107" s="170"/>
      <c r="M107" s="170"/>
      <c r="N107" s="474"/>
      <c r="O107" s="474"/>
      <c r="P107" s="170"/>
      <c r="Q107" s="355"/>
      <c r="R107" s="170"/>
      <c r="S107" s="174"/>
    </row>
    <row r="108" spans="5:19" ht="36" hidden="1" x14ac:dyDescent="0.2">
      <c r="E108" s="108" t="s">
        <v>852</v>
      </c>
      <c r="F108" s="483"/>
      <c r="G108" s="170"/>
      <c r="L108" s="170"/>
      <c r="M108" s="170"/>
      <c r="N108" s="474"/>
      <c r="O108" s="474"/>
      <c r="P108" s="170"/>
      <c r="Q108" s="355"/>
      <c r="R108" s="170"/>
      <c r="S108" s="174"/>
    </row>
    <row r="109" spans="5:19" ht="36" hidden="1" x14ac:dyDescent="0.2">
      <c r="E109" s="108" t="s">
        <v>853</v>
      </c>
      <c r="F109" s="483"/>
      <c r="G109" s="170"/>
      <c r="L109" s="170"/>
      <c r="M109" s="170"/>
      <c r="N109" s="474"/>
      <c r="O109" s="474"/>
      <c r="P109" s="170"/>
      <c r="Q109" s="355"/>
      <c r="R109" s="170"/>
      <c r="S109" s="174"/>
    </row>
    <row r="110" spans="5:19" ht="60" hidden="1" x14ac:dyDescent="0.2">
      <c r="E110" s="108" t="s">
        <v>854</v>
      </c>
      <c r="F110" s="483"/>
      <c r="G110" s="170"/>
      <c r="L110" s="170"/>
      <c r="M110" s="170"/>
      <c r="N110" s="474"/>
      <c r="O110" s="474"/>
      <c r="P110" s="170"/>
      <c r="Q110" s="355"/>
      <c r="R110" s="170"/>
      <c r="S110" s="174"/>
    </row>
    <row r="111" spans="5:19" hidden="1" x14ac:dyDescent="0.2">
      <c r="E111" s="108" t="s">
        <v>855</v>
      </c>
      <c r="F111" s="483"/>
      <c r="G111" s="170"/>
      <c r="L111" s="170"/>
      <c r="M111" s="170"/>
      <c r="N111" s="474"/>
      <c r="O111" s="474"/>
      <c r="P111" s="170"/>
      <c r="Q111" s="355"/>
      <c r="R111" s="170"/>
      <c r="S111" s="174"/>
    </row>
    <row r="112" spans="5:19" ht="24" hidden="1" x14ac:dyDescent="0.2">
      <c r="E112" s="108" t="s">
        <v>856</v>
      </c>
      <c r="F112" s="483"/>
      <c r="G112" s="170"/>
      <c r="L112" s="170"/>
      <c r="M112" s="170"/>
      <c r="N112" s="474"/>
      <c r="O112" s="474"/>
      <c r="P112" s="170"/>
      <c r="Q112" s="355"/>
      <c r="R112" s="170"/>
      <c r="S112" s="174"/>
    </row>
    <row r="113" spans="5:19" hidden="1" x14ac:dyDescent="0.2">
      <c r="E113" s="108" t="s">
        <v>128</v>
      </c>
      <c r="F113" s="483"/>
      <c r="G113" s="170"/>
      <c r="L113" s="170"/>
      <c r="M113" s="170"/>
      <c r="N113" s="474"/>
      <c r="O113" s="474"/>
      <c r="P113" s="170"/>
      <c r="Q113" s="355"/>
      <c r="R113" s="170"/>
      <c r="S113" s="174"/>
    </row>
    <row r="114" spans="5:19" ht="48" hidden="1" x14ac:dyDescent="0.2">
      <c r="E114" s="108" t="s">
        <v>857</v>
      </c>
      <c r="F114" s="483"/>
      <c r="G114" s="170"/>
      <c r="L114" s="170"/>
      <c r="M114" s="170"/>
      <c r="N114" s="474"/>
      <c r="O114" s="474"/>
      <c r="P114" s="170"/>
      <c r="Q114" s="355"/>
      <c r="R114" s="170"/>
      <c r="S114" s="174"/>
    </row>
    <row r="115" spans="5:19" x14ac:dyDescent="0.2">
      <c r="E115" s="170"/>
      <c r="F115" s="473"/>
      <c r="G115" s="170"/>
      <c r="L115" s="170"/>
      <c r="M115" s="170"/>
      <c r="N115" s="474"/>
      <c r="O115" s="474"/>
      <c r="P115" s="170"/>
      <c r="Q115" s="355"/>
      <c r="R115" s="170"/>
      <c r="S115" s="174"/>
    </row>
    <row r="116" spans="5:19" x14ac:dyDescent="0.2">
      <c r="E116" s="170"/>
      <c r="F116" s="473"/>
      <c r="G116" s="170"/>
      <c r="L116" s="170"/>
      <c r="M116" s="170"/>
      <c r="N116" s="474"/>
      <c r="O116" s="474"/>
      <c r="P116" s="170"/>
      <c r="Q116" s="355"/>
      <c r="R116" s="170"/>
      <c r="S116" s="174"/>
    </row>
    <row r="117" spans="5:19" x14ac:dyDescent="0.2">
      <c r="E117" s="170"/>
      <c r="F117" s="473"/>
      <c r="G117" s="170"/>
      <c r="L117" s="170"/>
      <c r="M117" s="170"/>
      <c r="N117" s="474"/>
      <c r="O117" s="474"/>
      <c r="P117" s="170"/>
      <c r="Q117" s="355"/>
      <c r="R117" s="170"/>
      <c r="S117" s="174"/>
    </row>
    <row r="118" spans="5:19" x14ac:dyDescent="0.2">
      <c r="E118" s="170"/>
      <c r="F118" s="473"/>
      <c r="G118" s="170"/>
      <c r="L118" s="170"/>
      <c r="M118" s="170"/>
      <c r="N118" s="474"/>
      <c r="O118" s="474"/>
      <c r="P118" s="170"/>
      <c r="Q118" s="355"/>
      <c r="R118" s="170"/>
      <c r="S118" s="174"/>
    </row>
    <row r="119" spans="5:19" x14ac:dyDescent="0.2">
      <c r="E119" s="170"/>
      <c r="F119" s="473"/>
      <c r="G119" s="170"/>
      <c r="L119" s="170"/>
      <c r="M119" s="170"/>
      <c r="N119" s="474"/>
      <c r="O119" s="474"/>
      <c r="P119" s="170"/>
      <c r="Q119" s="355"/>
      <c r="R119" s="170"/>
      <c r="S119" s="174"/>
    </row>
  </sheetData>
  <sheetProtection algorithmName="SHA-512" hashValue="vZKqXFDneUYZmZS43SRWtC9WdQM7QswOFTkR9Qh5vJtqb6P5LuXyEw2c/k0U023bwSn9c0pfUZu3ogs9V+hCOw==" saltValue="Tanw7bqaMXJFQiUGBSYung==" spinCount="100000" sheet="1" objects="1" scenarios="1"/>
  <mergeCells count="32">
    <mergeCell ref="L6:L7"/>
    <mergeCell ref="M6:M7"/>
    <mergeCell ref="N6:N7"/>
    <mergeCell ref="R6:R7"/>
    <mergeCell ref="D6:D7"/>
    <mergeCell ref="E6:E7"/>
    <mergeCell ref="F6:F7"/>
    <mergeCell ref="H62:M62"/>
    <mergeCell ref="A48:B48"/>
    <mergeCell ref="E54:G54"/>
    <mergeCell ref="G56:I56"/>
    <mergeCell ref="H58:N58"/>
    <mergeCell ref="H60:M60"/>
    <mergeCell ref="A51:S52"/>
    <mergeCell ref="Q49:R49"/>
    <mergeCell ref="A50:S50"/>
    <mergeCell ref="S6:S7"/>
    <mergeCell ref="O6:O7"/>
    <mergeCell ref="A6:A7"/>
    <mergeCell ref="A2:S2"/>
    <mergeCell ref="A3:S3"/>
    <mergeCell ref="A4:S4"/>
    <mergeCell ref="A5:B5"/>
    <mergeCell ref="R5:S5"/>
    <mergeCell ref="Q6:Q7"/>
    <mergeCell ref="G6:G7"/>
    <mergeCell ref="H6:H7"/>
    <mergeCell ref="I6:I7"/>
    <mergeCell ref="J6:J7"/>
    <mergeCell ref="K6:K7"/>
    <mergeCell ref="P6:P7"/>
    <mergeCell ref="B6:C6"/>
  </mergeCells>
  <dataValidations count="11">
    <dataValidation type="list" allowBlank="1" showInputMessage="1" showErrorMessage="1" sqref="G8:G47" xr:uid="{00000000-0002-0000-1000-000000000000}">
      <formula1>$E$95:$E$114</formula1>
    </dataValidation>
    <dataValidation type="list" allowBlank="1" showInputMessage="1" showErrorMessage="1" sqref="Q8:Q47" xr:uid="{00000000-0002-0000-1000-000001000000}">
      <formula1>$I$91:$I$92</formula1>
    </dataValidation>
    <dataValidation type="list" allowBlank="1" showInputMessage="1" showErrorMessage="1" sqref="R8:R47" xr:uid="{00000000-0002-0000-1000-000002000000}">
      <formula1>$E$64:$E$68</formula1>
    </dataValidation>
    <dataValidation showDropDown="1" showInputMessage="1" showErrorMessage="1" sqref="G48:G49" xr:uid="{00000000-0002-0000-1000-000003000000}"/>
    <dataValidation type="date" allowBlank="1" showInputMessage="1" showErrorMessage="1" sqref="H8:J47" xr:uid="{00000000-0002-0000-1000-000004000000}">
      <formula1>1</formula1>
      <formula2>767011</formula2>
    </dataValidation>
    <dataValidation type="textLength" showInputMessage="1" showErrorMessage="1" errorTitle="Утга нөхөх" sqref="B10:C47" xr:uid="{00000000-0002-0000-1000-000005000000}">
      <formula1>0</formula1>
      <formula2>100</formula2>
    </dataValidation>
    <dataValidation showInputMessage="1" showErrorMessage="1" errorTitle="Утга нөхөх" error="Утга нөхөх_x000a_" sqref="B8:C8" xr:uid="{00000000-0002-0000-1000-000006000000}"/>
    <dataValidation type="textLength" allowBlank="1" showErrorMessage="1" errorTitle="Утга нөхөх" sqref="B9:C9" xr:uid="{00000000-0002-0000-1000-000007000000}">
      <formula1>1</formula1>
      <formula2>100</formula2>
    </dataValidation>
    <dataValidation type="list" allowBlank="1" showInputMessage="1" showErrorMessage="1" sqref="K8:K47" xr:uid="{00000000-0002-0000-1000-000008000000}">
      <formula1>$K$80:$K$87</formula1>
    </dataValidation>
    <dataValidation type="list" showInputMessage="1" showErrorMessage="1" errorTitle="Утга нөхөх" error="Утга нөхөх_x000a_" sqref="D8:D47" xr:uid="{00000000-0002-0000-1000-000009000000}">
      <formula1>$D$80:$D$87</formula1>
    </dataValidation>
    <dataValidation type="decimal" allowBlank="1" showInputMessage="1" showErrorMessage="1" error="Мянгачилсан дүнг оруулна уу." sqref="M8:N47 P8:P47" xr:uid="{00000000-0002-0000-1000-00000A000000}">
      <formula1>100</formula1>
      <formula2>100000000</formula2>
    </dataValidation>
  </dataValidations>
  <pageMargins left="0.7" right="0.7" top="0.75" bottom="0.75" header="0.3" footer="0.3"/>
  <pageSetup paperSize="9" scale="43"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2:P169"/>
  <sheetViews>
    <sheetView workbookViewId="0"/>
  </sheetViews>
  <sheetFormatPr defaultRowHeight="12.75" x14ac:dyDescent="0.2"/>
  <cols>
    <col min="1" max="1" width="2.7109375" style="3" bestFit="1" customWidth="1"/>
    <col min="2" max="2" width="12.28515625" style="99" customWidth="1"/>
    <col min="3" max="3" width="14.28515625" style="99" customWidth="1"/>
    <col min="4" max="4" width="11" style="3" bestFit="1" customWidth="1"/>
    <col min="5" max="5" width="15.140625" style="3" bestFit="1" customWidth="1"/>
    <col min="6" max="6" width="15.140625" style="3" customWidth="1"/>
    <col min="7" max="7" width="29.7109375" style="3" customWidth="1"/>
    <col min="8" max="8" width="12.85546875" style="3" bestFit="1" customWidth="1"/>
    <col min="9" max="9" width="13.5703125" style="3" bestFit="1" customWidth="1"/>
    <col min="10" max="10" width="15.28515625" style="3" bestFit="1" customWidth="1"/>
    <col min="11" max="11" width="16.42578125" style="3" bestFit="1" customWidth="1"/>
    <col min="12" max="12" width="16.85546875" style="3" bestFit="1" customWidth="1"/>
    <col min="13" max="13" width="16.28515625" style="3" bestFit="1" customWidth="1"/>
    <col min="14" max="14" width="14.85546875" style="3" bestFit="1" customWidth="1"/>
    <col min="15" max="15" width="15" style="3" bestFit="1" customWidth="1"/>
    <col min="16" max="16" width="10.5703125" style="3" customWidth="1"/>
    <col min="17" max="16384" width="9.140625" style="3"/>
  </cols>
  <sheetData>
    <row r="2" spans="1:16" x14ac:dyDescent="0.2">
      <c r="A2" s="654" t="s">
        <v>858</v>
      </c>
      <c r="B2" s="654"/>
      <c r="C2" s="654"/>
      <c r="D2" s="654"/>
      <c r="E2" s="654"/>
      <c r="F2" s="654"/>
      <c r="G2" s="654"/>
      <c r="H2" s="654"/>
      <c r="I2" s="654"/>
      <c r="J2" s="654"/>
      <c r="K2" s="654"/>
      <c r="L2" s="654"/>
      <c r="M2" s="654"/>
      <c r="N2" s="654"/>
      <c r="O2" s="654"/>
      <c r="P2" s="654"/>
    </row>
    <row r="3" spans="1:16" x14ac:dyDescent="0.2">
      <c r="A3" s="670" t="str">
        <f>BALANCE!A3</f>
        <v>БАНК БУС САНХҮҮГИЙН БАЙГУУЛЛАГЫН НЭР</v>
      </c>
      <c r="B3" s="670"/>
      <c r="C3" s="670"/>
      <c r="D3" s="670"/>
      <c r="E3" s="670"/>
      <c r="F3" s="670"/>
      <c r="G3" s="670"/>
      <c r="H3" s="670"/>
      <c r="I3" s="670"/>
      <c r="J3" s="670"/>
      <c r="K3" s="670"/>
      <c r="L3" s="670"/>
      <c r="M3" s="670"/>
      <c r="N3" s="670"/>
      <c r="O3" s="670"/>
      <c r="P3" s="670"/>
    </row>
    <row r="4" spans="1:16" x14ac:dyDescent="0.2">
      <c r="A4" s="652" t="str">
        <f>BALANCE!A4</f>
        <v>БАНК БУС САНХҮҮГИЙН БАЙГУУЛЛАГА</v>
      </c>
      <c r="B4" s="652"/>
      <c r="C4" s="652"/>
      <c r="D4" s="652"/>
      <c r="E4" s="652"/>
      <c r="F4" s="652"/>
      <c r="G4" s="652"/>
      <c r="H4" s="652"/>
      <c r="I4" s="652"/>
      <c r="J4" s="652"/>
      <c r="K4" s="652"/>
      <c r="L4" s="652"/>
      <c r="M4" s="652"/>
      <c r="N4" s="652"/>
      <c r="O4" s="652"/>
      <c r="P4" s="652"/>
    </row>
    <row r="5" spans="1:16" x14ac:dyDescent="0.2">
      <c r="A5" s="731">
        <f>BALANCE!A6</f>
        <v>44834</v>
      </c>
      <c r="B5" s="731"/>
      <c r="C5" s="331"/>
      <c r="D5" s="102"/>
      <c r="E5" s="169"/>
      <c r="F5" s="169"/>
      <c r="G5" s="1"/>
      <c r="H5" s="1"/>
      <c r="I5" s="1"/>
      <c r="J5" s="1"/>
      <c r="K5" s="1"/>
      <c r="L5" s="169"/>
      <c r="M5" s="169"/>
      <c r="N5" s="169"/>
      <c r="O5" s="870" t="s">
        <v>439</v>
      </c>
      <c r="P5" s="870"/>
    </row>
    <row r="6" spans="1:16" ht="70.5" customHeight="1" x14ac:dyDescent="0.2">
      <c r="A6" s="868" t="s">
        <v>813</v>
      </c>
      <c r="B6" s="881" t="s">
        <v>1055</v>
      </c>
      <c r="C6" s="882"/>
      <c r="D6" s="873" t="s">
        <v>859</v>
      </c>
      <c r="E6" s="871" t="s">
        <v>1282</v>
      </c>
      <c r="F6" s="871" t="s">
        <v>1059</v>
      </c>
      <c r="G6" s="871" t="s">
        <v>814</v>
      </c>
      <c r="H6" s="868" t="s">
        <v>815</v>
      </c>
      <c r="I6" s="868" t="s">
        <v>816</v>
      </c>
      <c r="J6" s="873" t="s">
        <v>817</v>
      </c>
      <c r="K6" s="873" t="s">
        <v>818</v>
      </c>
      <c r="L6" s="871" t="s">
        <v>819</v>
      </c>
      <c r="M6" s="871" t="s">
        <v>820</v>
      </c>
      <c r="N6" s="871" t="s">
        <v>821</v>
      </c>
      <c r="O6" s="871" t="s">
        <v>822</v>
      </c>
      <c r="P6" s="865" t="s">
        <v>823</v>
      </c>
    </row>
    <row r="7" spans="1:16" x14ac:dyDescent="0.2">
      <c r="A7" s="869"/>
      <c r="B7" s="398" t="s">
        <v>1163</v>
      </c>
      <c r="C7" s="115" t="s">
        <v>1057</v>
      </c>
      <c r="D7" s="874"/>
      <c r="E7" s="886"/>
      <c r="F7" s="872"/>
      <c r="G7" s="872"/>
      <c r="H7" s="869"/>
      <c r="I7" s="869"/>
      <c r="J7" s="874"/>
      <c r="K7" s="874"/>
      <c r="L7" s="872"/>
      <c r="M7" s="872"/>
      <c r="N7" s="872"/>
      <c r="O7" s="872"/>
      <c r="P7" s="866"/>
    </row>
    <row r="8" spans="1:16" x14ac:dyDescent="0.2">
      <c r="A8" s="360">
        <v>1</v>
      </c>
      <c r="B8" s="178"/>
      <c r="C8" s="358"/>
      <c r="D8" s="196"/>
      <c r="E8" s="179"/>
      <c r="F8" s="357"/>
      <c r="G8" s="180"/>
      <c r="H8" s="181"/>
      <c r="I8" s="181"/>
      <c r="J8" s="181"/>
      <c r="K8" s="183"/>
      <c r="L8" s="179"/>
      <c r="M8" s="179"/>
      <c r="N8" s="179"/>
      <c r="O8" s="184"/>
      <c r="P8" s="197" t="e">
        <f>+M8/BALANCESHEET!G$82</f>
        <v>#DIV/0!</v>
      </c>
    </row>
    <row r="9" spans="1:16" x14ac:dyDescent="0.2">
      <c r="A9" s="360">
        <f>1+1</f>
        <v>2</v>
      </c>
      <c r="B9" s="178"/>
      <c r="C9" s="358"/>
      <c r="D9" s="196"/>
      <c r="E9" s="179"/>
      <c r="F9" s="357"/>
      <c r="G9" s="180"/>
      <c r="H9" s="181"/>
      <c r="I9" s="181"/>
      <c r="J9" s="181"/>
      <c r="K9" s="183"/>
      <c r="L9" s="179"/>
      <c r="M9" s="179"/>
      <c r="N9" s="179"/>
      <c r="O9" s="184"/>
      <c r="P9" s="197" t="e">
        <f>+M9/BALANCESHEET!G$82</f>
        <v>#DIV/0!</v>
      </c>
    </row>
    <row r="10" spans="1:16" x14ac:dyDescent="0.2">
      <c r="A10" s="360">
        <v>3</v>
      </c>
      <c r="B10" s="178"/>
      <c r="C10" s="358"/>
      <c r="D10" s="196"/>
      <c r="E10" s="179"/>
      <c r="F10" s="357"/>
      <c r="G10" s="180"/>
      <c r="H10" s="181"/>
      <c r="I10" s="181"/>
      <c r="J10" s="181"/>
      <c r="K10" s="183"/>
      <c r="L10" s="179"/>
      <c r="M10" s="179"/>
      <c r="N10" s="179"/>
      <c r="O10" s="184"/>
      <c r="P10" s="197" t="e">
        <f>+M10/BALANCESHEET!G$82</f>
        <v>#DIV/0!</v>
      </c>
    </row>
    <row r="11" spans="1:16" x14ac:dyDescent="0.2">
      <c r="A11" s="360">
        <v>4</v>
      </c>
      <c r="B11" s="178"/>
      <c r="C11" s="358"/>
      <c r="D11" s="196"/>
      <c r="E11" s="186"/>
      <c r="F11" s="566"/>
      <c r="G11" s="180"/>
      <c r="H11" s="181"/>
      <c r="I11" s="110"/>
      <c r="J11" s="182"/>
      <c r="K11" s="183"/>
      <c r="L11" s="187"/>
      <c r="M11" s="188"/>
      <c r="N11" s="179"/>
      <c r="O11" s="184"/>
      <c r="P11" s="197" t="e">
        <f>+M11/BALANCESHEET!G$82</f>
        <v>#DIV/0!</v>
      </c>
    </row>
    <row r="12" spans="1:16" x14ac:dyDescent="0.2">
      <c r="A12" s="360">
        <v>5</v>
      </c>
      <c r="B12" s="178"/>
      <c r="C12" s="358"/>
      <c r="D12" s="196"/>
      <c r="E12" s="179"/>
      <c r="F12" s="357"/>
      <c r="G12" s="180"/>
      <c r="H12" s="181"/>
      <c r="I12" s="181"/>
      <c r="J12" s="181"/>
      <c r="K12" s="183"/>
      <c r="L12" s="186"/>
      <c r="M12" s="186"/>
      <c r="N12" s="179"/>
      <c r="O12" s="184"/>
      <c r="P12" s="197" t="e">
        <f>+M12/BALANCESHEET!G$82</f>
        <v>#DIV/0!</v>
      </c>
    </row>
    <row r="13" spans="1:16" x14ac:dyDescent="0.2">
      <c r="A13" s="360">
        <v>6</v>
      </c>
      <c r="B13" s="178"/>
      <c r="C13" s="358"/>
      <c r="D13" s="196"/>
      <c r="E13" s="179"/>
      <c r="F13" s="357"/>
      <c r="G13" s="180"/>
      <c r="H13" s="181"/>
      <c r="I13" s="181"/>
      <c r="J13" s="181"/>
      <c r="K13" s="183"/>
      <c r="L13" s="186"/>
      <c r="M13" s="186"/>
      <c r="N13" s="179"/>
      <c r="O13" s="184"/>
      <c r="P13" s="197" t="e">
        <f>+M13/BALANCESHEET!G$82</f>
        <v>#DIV/0!</v>
      </c>
    </row>
    <row r="14" spans="1:16" x14ac:dyDescent="0.2">
      <c r="A14" s="360">
        <v>7</v>
      </c>
      <c r="B14" s="178"/>
      <c r="C14" s="358"/>
      <c r="D14" s="196"/>
      <c r="E14" s="179"/>
      <c r="F14" s="357"/>
      <c r="G14" s="180"/>
      <c r="H14" s="181"/>
      <c r="I14" s="181"/>
      <c r="J14" s="181"/>
      <c r="K14" s="183"/>
      <c r="L14" s="186"/>
      <c r="M14" s="186"/>
      <c r="N14" s="179"/>
      <c r="O14" s="184"/>
      <c r="P14" s="197" t="e">
        <f>+M14/BALANCESHEET!G$82</f>
        <v>#DIV/0!</v>
      </c>
    </row>
    <row r="15" spans="1:16" x14ac:dyDescent="0.2">
      <c r="A15" s="360">
        <v>8</v>
      </c>
      <c r="B15" s="178"/>
      <c r="C15" s="358"/>
      <c r="D15" s="196"/>
      <c r="E15" s="179"/>
      <c r="F15" s="357"/>
      <c r="G15" s="180"/>
      <c r="H15" s="181"/>
      <c r="I15" s="181"/>
      <c r="J15" s="181"/>
      <c r="K15" s="183"/>
      <c r="L15" s="186"/>
      <c r="M15" s="186"/>
      <c r="N15" s="179"/>
      <c r="O15" s="184"/>
      <c r="P15" s="197" t="e">
        <f>+M15/BALANCESHEET!G$82</f>
        <v>#DIV/0!</v>
      </c>
    </row>
    <row r="16" spans="1:16" x14ac:dyDescent="0.2">
      <c r="A16" s="360">
        <v>9</v>
      </c>
      <c r="B16" s="178"/>
      <c r="C16" s="358"/>
      <c r="D16" s="196"/>
      <c r="E16" s="179"/>
      <c r="F16" s="357"/>
      <c r="G16" s="180"/>
      <c r="H16" s="181"/>
      <c r="I16" s="181"/>
      <c r="J16" s="181"/>
      <c r="K16" s="183"/>
      <c r="L16" s="186"/>
      <c r="M16" s="186"/>
      <c r="N16" s="179"/>
      <c r="O16" s="184"/>
      <c r="P16" s="197" t="e">
        <f>+M16/BALANCESHEET!G$82</f>
        <v>#DIV/0!</v>
      </c>
    </row>
    <row r="17" spans="1:16" x14ac:dyDescent="0.2">
      <c r="A17" s="360">
        <v>10</v>
      </c>
      <c r="B17" s="178"/>
      <c r="C17" s="358"/>
      <c r="D17" s="196"/>
      <c r="E17" s="179"/>
      <c r="F17" s="357"/>
      <c r="G17" s="180"/>
      <c r="H17" s="181"/>
      <c r="I17" s="181"/>
      <c r="J17" s="181"/>
      <c r="K17" s="183"/>
      <c r="L17" s="186"/>
      <c r="M17" s="186"/>
      <c r="N17" s="179"/>
      <c r="O17" s="184"/>
      <c r="P17" s="197" t="e">
        <f>+M17/BALANCESHEET!G$82</f>
        <v>#DIV/0!</v>
      </c>
    </row>
    <row r="18" spans="1:16" x14ac:dyDescent="0.2">
      <c r="A18" s="360">
        <v>11</v>
      </c>
      <c r="B18" s="178"/>
      <c r="C18" s="358"/>
      <c r="D18" s="196"/>
      <c r="E18" s="189"/>
      <c r="F18" s="567"/>
      <c r="G18" s="180"/>
      <c r="H18" s="181"/>
      <c r="I18" s="181"/>
      <c r="J18" s="181"/>
      <c r="K18" s="183"/>
      <c r="L18" s="186"/>
      <c r="M18" s="186"/>
      <c r="N18" s="179"/>
      <c r="O18" s="184"/>
      <c r="P18" s="197" t="e">
        <f>+M18/BALANCESHEET!G$82</f>
        <v>#DIV/0!</v>
      </c>
    </row>
    <row r="19" spans="1:16" x14ac:dyDescent="0.2">
      <c r="A19" s="360">
        <v>12</v>
      </c>
      <c r="B19" s="178"/>
      <c r="C19" s="358"/>
      <c r="D19" s="196"/>
      <c r="E19" s="179"/>
      <c r="F19" s="357"/>
      <c r="G19" s="180"/>
      <c r="H19" s="181"/>
      <c r="I19" s="181"/>
      <c r="J19" s="181"/>
      <c r="K19" s="183"/>
      <c r="L19" s="186"/>
      <c r="M19" s="179"/>
      <c r="N19" s="179"/>
      <c r="O19" s="184"/>
      <c r="P19" s="197" t="e">
        <f>+M19/BALANCESHEET!G$82</f>
        <v>#DIV/0!</v>
      </c>
    </row>
    <row r="20" spans="1:16" x14ac:dyDescent="0.2">
      <c r="A20" s="360">
        <v>13</v>
      </c>
      <c r="B20" s="178"/>
      <c r="C20" s="358"/>
      <c r="D20" s="196"/>
      <c r="E20" s="179"/>
      <c r="F20" s="357"/>
      <c r="G20" s="180"/>
      <c r="H20" s="181"/>
      <c r="I20" s="181"/>
      <c r="J20" s="181"/>
      <c r="K20" s="183"/>
      <c r="L20" s="186"/>
      <c r="M20" s="179"/>
      <c r="N20" s="179"/>
      <c r="O20" s="184"/>
      <c r="P20" s="197" t="e">
        <f>+M20/BALANCESHEET!G$82</f>
        <v>#DIV/0!</v>
      </c>
    </row>
    <row r="21" spans="1:16" x14ac:dyDescent="0.2">
      <c r="A21" s="360">
        <v>14</v>
      </c>
      <c r="B21" s="190"/>
      <c r="C21" s="359"/>
      <c r="D21" s="196"/>
      <c r="E21" s="191"/>
      <c r="F21" s="568"/>
      <c r="G21" s="180"/>
      <c r="H21" s="110"/>
      <c r="I21" s="110"/>
      <c r="J21" s="110"/>
      <c r="K21" s="183"/>
      <c r="L21" s="191"/>
      <c r="M21" s="191"/>
      <c r="N21" s="179"/>
      <c r="O21" s="184"/>
      <c r="P21" s="197" t="e">
        <f>+M21/BALANCESHEET!G$82</f>
        <v>#DIV/0!</v>
      </c>
    </row>
    <row r="22" spans="1:16" x14ac:dyDescent="0.2">
      <c r="A22" s="360">
        <v>15</v>
      </c>
      <c r="B22" s="190"/>
      <c r="C22" s="359"/>
      <c r="D22" s="196"/>
      <c r="E22" s="191"/>
      <c r="F22" s="568"/>
      <c r="G22" s="180"/>
      <c r="H22" s="110"/>
      <c r="I22" s="110"/>
      <c r="J22" s="110"/>
      <c r="K22" s="183"/>
      <c r="L22" s="191"/>
      <c r="M22" s="191"/>
      <c r="N22" s="179"/>
      <c r="O22" s="184"/>
      <c r="P22" s="197" t="e">
        <f>+M22/BALANCESHEET!G$82</f>
        <v>#DIV/0!</v>
      </c>
    </row>
    <row r="23" spans="1:16" x14ac:dyDescent="0.2">
      <c r="A23" s="360">
        <v>16</v>
      </c>
      <c r="B23" s="190"/>
      <c r="C23" s="359"/>
      <c r="D23" s="196"/>
      <c r="E23" s="191"/>
      <c r="F23" s="568"/>
      <c r="G23" s="180"/>
      <c r="H23" s="110"/>
      <c r="I23" s="110"/>
      <c r="J23" s="110"/>
      <c r="K23" s="183"/>
      <c r="L23" s="191"/>
      <c r="M23" s="191"/>
      <c r="N23" s="179"/>
      <c r="O23" s="184"/>
      <c r="P23" s="197" t="e">
        <f>+M23/BALANCESHEET!G$82</f>
        <v>#DIV/0!</v>
      </c>
    </row>
    <row r="24" spans="1:16" x14ac:dyDescent="0.2">
      <c r="A24" s="360">
        <v>17</v>
      </c>
      <c r="B24" s="190"/>
      <c r="C24" s="359"/>
      <c r="D24" s="196"/>
      <c r="E24" s="191"/>
      <c r="F24" s="568"/>
      <c r="G24" s="180"/>
      <c r="H24" s="110"/>
      <c r="I24" s="110"/>
      <c r="J24" s="110"/>
      <c r="K24" s="183"/>
      <c r="L24" s="191"/>
      <c r="M24" s="191"/>
      <c r="N24" s="179"/>
      <c r="O24" s="184"/>
      <c r="P24" s="197" t="e">
        <f>+M24/BALANCESHEET!G$82</f>
        <v>#DIV/0!</v>
      </c>
    </row>
    <row r="25" spans="1:16" x14ac:dyDescent="0.2">
      <c r="A25" s="360">
        <v>18</v>
      </c>
      <c r="B25" s="190"/>
      <c r="C25" s="359"/>
      <c r="D25" s="196"/>
      <c r="E25" s="191"/>
      <c r="F25" s="568"/>
      <c r="G25" s="180"/>
      <c r="H25" s="110"/>
      <c r="I25" s="110"/>
      <c r="J25" s="110"/>
      <c r="K25" s="183"/>
      <c r="L25" s="191"/>
      <c r="M25" s="191"/>
      <c r="N25" s="179"/>
      <c r="O25" s="184"/>
      <c r="P25" s="197" t="e">
        <f>+M25/BALANCESHEET!G$82</f>
        <v>#DIV/0!</v>
      </c>
    </row>
    <row r="26" spans="1:16" x14ac:dyDescent="0.2">
      <c r="A26" s="360">
        <v>19</v>
      </c>
      <c r="B26" s="190"/>
      <c r="C26" s="359"/>
      <c r="D26" s="196"/>
      <c r="E26" s="191"/>
      <c r="F26" s="568"/>
      <c r="G26" s="180"/>
      <c r="H26" s="110"/>
      <c r="I26" s="110"/>
      <c r="J26" s="110"/>
      <c r="K26" s="183"/>
      <c r="L26" s="191"/>
      <c r="M26" s="191"/>
      <c r="N26" s="179"/>
      <c r="O26" s="184"/>
      <c r="P26" s="197" t="e">
        <f>+M26/BALANCESHEET!G$82</f>
        <v>#DIV/0!</v>
      </c>
    </row>
    <row r="27" spans="1:16" x14ac:dyDescent="0.2">
      <c r="A27" s="360">
        <v>20</v>
      </c>
      <c r="B27" s="190"/>
      <c r="C27" s="359"/>
      <c r="D27" s="196"/>
      <c r="E27" s="191"/>
      <c r="F27" s="568"/>
      <c r="G27" s="180"/>
      <c r="H27" s="110"/>
      <c r="I27" s="110"/>
      <c r="J27" s="110"/>
      <c r="K27" s="183"/>
      <c r="L27" s="191"/>
      <c r="M27" s="191"/>
      <c r="N27" s="179"/>
      <c r="O27" s="184"/>
      <c r="P27" s="197" t="e">
        <f>+M27/BALANCESHEET!G$82</f>
        <v>#DIV/0!</v>
      </c>
    </row>
    <row r="28" spans="1:16" x14ac:dyDescent="0.2">
      <c r="A28" s="877" t="s">
        <v>824</v>
      </c>
      <c r="B28" s="878"/>
      <c r="C28" s="397"/>
      <c r="D28" s="397"/>
      <c r="E28" s="192">
        <f>+SUM(E8:E27)</f>
        <v>0</v>
      </c>
      <c r="F28" s="192"/>
      <c r="G28" s="193"/>
      <c r="H28" s="118"/>
      <c r="I28" s="118"/>
      <c r="J28" s="118"/>
      <c r="K28" s="118"/>
      <c r="L28" s="192">
        <f>+SUM(L8:L27)</f>
        <v>0</v>
      </c>
      <c r="M28" s="192">
        <f>+SUM(M8:M27)</f>
        <v>0</v>
      </c>
      <c r="N28" s="192"/>
      <c r="O28" s="192"/>
      <c r="P28" s="194"/>
    </row>
    <row r="29" spans="1:16" x14ac:dyDescent="0.2">
      <c r="E29" s="170"/>
      <c r="F29" s="170"/>
      <c r="G29" s="170"/>
      <c r="L29" s="170"/>
      <c r="M29" s="889" t="s">
        <v>825</v>
      </c>
      <c r="N29" s="889"/>
      <c r="O29" s="889"/>
      <c r="P29" s="171" t="e">
        <f>+MAX(P8:P27)</f>
        <v>#DIV/0!</v>
      </c>
    </row>
    <row r="30" spans="1:16" x14ac:dyDescent="0.2">
      <c r="E30" s="170"/>
      <c r="F30" s="170"/>
      <c r="G30" s="170"/>
      <c r="L30" s="170"/>
      <c r="M30" s="172"/>
      <c r="N30" s="172"/>
      <c r="O30" s="172"/>
      <c r="P30" s="173"/>
    </row>
    <row r="31" spans="1:16" x14ac:dyDescent="0.2">
      <c r="E31" s="715" t="s">
        <v>36</v>
      </c>
      <c r="F31" s="715"/>
      <c r="G31" s="716"/>
      <c r="H31" s="126"/>
      <c r="I31" s="126"/>
      <c r="J31" s="13"/>
      <c r="K31" s="13"/>
      <c r="L31" s="14"/>
      <c r="M31" s="172"/>
      <c r="N31" s="172"/>
      <c r="O31" s="172"/>
      <c r="P31" s="173"/>
    </row>
    <row r="32" spans="1:16" x14ac:dyDescent="0.2">
      <c r="E32" s="15"/>
      <c r="F32" s="15"/>
      <c r="G32" s="16"/>
      <c r="H32" s="126"/>
      <c r="I32" s="126"/>
      <c r="J32" s="13"/>
      <c r="K32" s="13"/>
      <c r="L32" s="14"/>
      <c r="M32" s="172"/>
      <c r="N32" s="172"/>
      <c r="O32" s="172"/>
      <c r="P32" s="173"/>
    </row>
    <row r="33" spans="2:16" x14ac:dyDescent="0.2">
      <c r="E33" s="15"/>
      <c r="F33" s="15"/>
      <c r="G33" s="718" t="s">
        <v>437</v>
      </c>
      <c r="H33" s="718"/>
      <c r="I33" s="718"/>
      <c r="J33" s="13"/>
      <c r="K33" s="13"/>
      <c r="L33" s="14"/>
      <c r="M33" s="172"/>
      <c r="N33" s="172"/>
      <c r="O33" s="172"/>
      <c r="P33" s="173"/>
    </row>
    <row r="34" spans="2:16" x14ac:dyDescent="0.2">
      <c r="E34" s="15"/>
      <c r="F34" s="15"/>
      <c r="G34" s="16"/>
      <c r="H34" s="126"/>
      <c r="I34" s="126"/>
      <c r="J34" s="13"/>
      <c r="K34" s="13"/>
      <c r="L34" s="14"/>
      <c r="M34" s="172"/>
      <c r="N34" s="172"/>
      <c r="O34" s="172"/>
      <c r="P34" s="173"/>
    </row>
    <row r="35" spans="2:16" ht="15" customHeight="1" x14ac:dyDescent="0.2">
      <c r="E35" s="15"/>
      <c r="F35" s="15"/>
      <c r="G35" s="16"/>
      <c r="H35" s="835" t="str">
        <f>BALANCE!D361</f>
        <v>ГҮЙЦЭТГЭХ ЗАХИРАЛ.................................................................//</v>
      </c>
      <c r="I35" s="835"/>
      <c r="J35" s="835"/>
      <c r="K35" s="835"/>
      <c r="L35" s="835"/>
      <c r="M35" s="172"/>
      <c r="N35" s="172"/>
      <c r="O35" s="172"/>
      <c r="P35" s="173"/>
    </row>
    <row r="36" spans="2:16" x14ac:dyDescent="0.2">
      <c r="E36" s="15"/>
      <c r="F36" s="15"/>
      <c r="G36" s="16"/>
      <c r="H36" s="126"/>
      <c r="I36" s="129"/>
      <c r="J36" s="129"/>
      <c r="K36" s="129"/>
      <c r="L36" s="129"/>
      <c r="M36" s="172"/>
      <c r="N36" s="172"/>
      <c r="O36" s="172"/>
      <c r="P36" s="173"/>
    </row>
    <row r="37" spans="2:16" ht="15" customHeight="1" x14ac:dyDescent="0.2">
      <c r="E37" s="15"/>
      <c r="F37" s="15"/>
      <c r="G37" s="16"/>
      <c r="H37" s="835" t="str">
        <f>BALANCE!D363</f>
        <v>ЕРӨНХИЙ НЯГТЛАН БОДОГЧ....................................................//</v>
      </c>
      <c r="I37" s="835"/>
      <c r="J37" s="835"/>
      <c r="K37" s="835"/>
      <c r="L37" s="835"/>
      <c r="M37" s="170"/>
      <c r="N37" s="170"/>
      <c r="O37" s="170"/>
      <c r="P37" s="174"/>
    </row>
    <row r="38" spans="2:16" x14ac:dyDescent="0.2">
      <c r="E38" s="15"/>
      <c r="F38" s="15"/>
      <c r="G38" s="16"/>
      <c r="H38" s="126"/>
      <c r="I38" s="129"/>
      <c r="J38" s="129"/>
      <c r="K38" s="129"/>
      <c r="L38" s="129"/>
      <c r="M38" s="170"/>
      <c r="N38" s="170"/>
      <c r="O38" s="170"/>
      <c r="P38" s="174"/>
    </row>
    <row r="39" spans="2:16" ht="15" customHeight="1" x14ac:dyDescent="0.2">
      <c r="E39" s="15"/>
      <c r="F39" s="15"/>
      <c r="G39" s="16"/>
      <c r="H39" s="835">
        <f>BALANCE!D365</f>
        <v>0</v>
      </c>
      <c r="I39" s="835"/>
      <c r="J39" s="835"/>
      <c r="K39" s="835"/>
      <c r="L39" s="835"/>
      <c r="M39" s="170"/>
      <c r="N39" s="170"/>
      <c r="O39" s="170"/>
      <c r="P39" s="174"/>
    </row>
    <row r="46" spans="2:16" hidden="1" x14ac:dyDescent="0.2"/>
    <row r="47" spans="2:16" hidden="1" x14ac:dyDescent="0.2">
      <c r="B47" s="99" t="s">
        <v>732</v>
      </c>
    </row>
    <row r="48" spans="2:16" hidden="1" x14ac:dyDescent="0.2">
      <c r="B48" s="99" t="s">
        <v>839</v>
      </c>
    </row>
    <row r="49" spans="2:5" hidden="1" x14ac:dyDescent="0.2"/>
    <row r="50" spans="2:5" hidden="1" x14ac:dyDescent="0.2"/>
    <row r="51" spans="2:5" hidden="1" x14ac:dyDescent="0.2"/>
    <row r="52" spans="2:5" hidden="1" x14ac:dyDescent="0.2"/>
    <row r="53" spans="2:5" hidden="1" x14ac:dyDescent="0.2"/>
    <row r="54" spans="2:5" hidden="1" x14ac:dyDescent="0.2"/>
    <row r="55" spans="2:5" hidden="1" x14ac:dyDescent="0.2"/>
    <row r="56" spans="2:5" hidden="1" x14ac:dyDescent="0.2"/>
    <row r="57" spans="2:5" hidden="1" x14ac:dyDescent="0.2"/>
    <row r="58" spans="2:5" hidden="1" x14ac:dyDescent="0.2"/>
    <row r="59" spans="2:5" hidden="1" x14ac:dyDescent="0.2"/>
    <row r="60" spans="2:5" hidden="1" x14ac:dyDescent="0.2"/>
    <row r="61" spans="2:5" ht="12.75" hidden="1" customHeight="1" x14ac:dyDescent="0.2">
      <c r="B61" s="100" t="s">
        <v>826</v>
      </c>
      <c r="C61" s="328"/>
      <c r="D61" s="103"/>
      <c r="E61" s="3" t="s">
        <v>470</v>
      </c>
    </row>
    <row r="62" spans="2:5" ht="12.75" hidden="1" customHeight="1" x14ac:dyDescent="0.2">
      <c r="B62" s="100" t="s">
        <v>827</v>
      </c>
      <c r="C62" s="328"/>
      <c r="D62" s="103"/>
      <c r="E62" s="3" t="s">
        <v>1164</v>
      </c>
    </row>
    <row r="63" spans="2:5" ht="12.75" hidden="1" customHeight="1" x14ac:dyDescent="0.2">
      <c r="B63" s="101" t="s">
        <v>829</v>
      </c>
      <c r="C63" s="329"/>
      <c r="D63" s="104"/>
      <c r="E63" s="3" t="s">
        <v>481</v>
      </c>
    </row>
    <row r="64" spans="2:5" ht="12.75" hidden="1" customHeight="1" x14ac:dyDescent="0.2">
      <c r="B64" s="101" t="s">
        <v>830</v>
      </c>
      <c r="C64" s="329"/>
      <c r="D64" s="104"/>
      <c r="E64" s="3" t="s">
        <v>474</v>
      </c>
    </row>
    <row r="65" spans="2:5" ht="12.75" hidden="1" customHeight="1" x14ac:dyDescent="0.2">
      <c r="B65" s="101" t="s">
        <v>831</v>
      </c>
      <c r="C65" s="329"/>
      <c r="D65" s="104"/>
      <c r="E65" s="3" t="s">
        <v>832</v>
      </c>
    </row>
    <row r="66" spans="2:5" ht="12.75" hidden="1" customHeight="1" x14ac:dyDescent="0.2">
      <c r="B66" s="101" t="s">
        <v>833</v>
      </c>
      <c r="C66" s="329"/>
      <c r="D66" s="104"/>
    </row>
    <row r="67" spans="2:5" ht="12.75" hidden="1" customHeight="1" x14ac:dyDescent="0.2">
      <c r="B67" s="101" t="s">
        <v>128</v>
      </c>
      <c r="C67" s="329"/>
      <c r="D67" s="104"/>
    </row>
    <row r="68" spans="2:5" ht="12.75" hidden="1" customHeight="1" x14ac:dyDescent="0.2">
      <c r="B68" s="101" t="s">
        <v>834</v>
      </c>
      <c r="C68" s="329"/>
      <c r="D68" s="104"/>
    </row>
    <row r="69" spans="2:5" ht="12.75" hidden="1" customHeight="1" x14ac:dyDescent="0.2">
      <c r="B69" s="101" t="s">
        <v>835</v>
      </c>
      <c r="C69" s="329"/>
      <c r="D69" s="104"/>
    </row>
    <row r="70" spans="2:5" ht="12.75" hidden="1" customHeight="1" x14ac:dyDescent="0.2">
      <c r="B70" s="101" t="s">
        <v>836</v>
      </c>
      <c r="C70" s="329"/>
      <c r="D70" s="104"/>
    </row>
    <row r="71" spans="2:5" hidden="1" x14ac:dyDescent="0.2">
      <c r="B71" s="101" t="s">
        <v>837</v>
      </c>
      <c r="C71" s="329"/>
      <c r="D71" s="104"/>
    </row>
    <row r="72" spans="2:5" ht="25.5" hidden="1" x14ac:dyDescent="0.2">
      <c r="B72" s="101" t="s">
        <v>838</v>
      </c>
      <c r="C72" s="329"/>
      <c r="D72" s="104"/>
    </row>
    <row r="73" spans="2:5" hidden="1" x14ac:dyDescent="0.2">
      <c r="B73" s="101" t="s">
        <v>162</v>
      </c>
      <c r="C73" s="329"/>
      <c r="D73" s="104"/>
    </row>
    <row r="74" spans="2:5" hidden="1" x14ac:dyDescent="0.2"/>
    <row r="75" spans="2:5" hidden="1" x14ac:dyDescent="0.2"/>
    <row r="76" spans="2:5" hidden="1" x14ac:dyDescent="0.2"/>
    <row r="77" spans="2:5" hidden="1" x14ac:dyDescent="0.2"/>
    <row r="78" spans="2:5" hidden="1" x14ac:dyDescent="0.2"/>
    <row r="79" spans="2:5" hidden="1" x14ac:dyDescent="0.2"/>
    <row r="80" spans="2:5" hidden="1" x14ac:dyDescent="0.2"/>
    <row r="81" spans="2:4" hidden="1" x14ac:dyDescent="0.2"/>
    <row r="82" spans="2:4" hidden="1" x14ac:dyDescent="0.2"/>
    <row r="83" spans="2:4" hidden="1" x14ac:dyDescent="0.2"/>
    <row r="84" spans="2:4" hidden="1" x14ac:dyDescent="0.2"/>
    <row r="85" spans="2:4" hidden="1" x14ac:dyDescent="0.2"/>
    <row r="86" spans="2:4" hidden="1" x14ac:dyDescent="0.2"/>
    <row r="87" spans="2:4" hidden="1" x14ac:dyDescent="0.2"/>
    <row r="88" spans="2:4" hidden="1" x14ac:dyDescent="0.2"/>
    <row r="89" spans="2:4" hidden="1" x14ac:dyDescent="0.2"/>
    <row r="90" spans="2:4" ht="48.75" hidden="1" thickBot="1" x14ac:dyDescent="0.25">
      <c r="B90" s="105" t="s">
        <v>840</v>
      </c>
      <c r="C90" s="335"/>
      <c r="D90" s="106"/>
    </row>
    <row r="91" spans="2:4" ht="24.75" hidden="1" thickBot="1" x14ac:dyDescent="0.25">
      <c r="B91" s="105" t="s">
        <v>841</v>
      </c>
      <c r="C91" s="335"/>
      <c r="D91" s="106"/>
    </row>
    <row r="92" spans="2:4" ht="24.75" hidden="1" thickBot="1" x14ac:dyDescent="0.25">
      <c r="B92" s="107" t="s">
        <v>842</v>
      </c>
      <c r="C92" s="336"/>
      <c r="D92" s="108"/>
    </row>
    <row r="93" spans="2:4" ht="48.75" hidden="1" thickBot="1" x14ac:dyDescent="0.25">
      <c r="B93" s="107" t="s">
        <v>843</v>
      </c>
      <c r="C93" s="336"/>
      <c r="D93" s="108"/>
    </row>
    <row r="94" spans="2:4" ht="72.75" hidden="1" thickBot="1" x14ac:dyDescent="0.25">
      <c r="B94" s="107" t="s">
        <v>844</v>
      </c>
      <c r="C94" s="336"/>
      <c r="D94" s="108"/>
    </row>
    <row r="95" spans="2:4" ht="13.5" hidden="1" thickBot="1" x14ac:dyDescent="0.25">
      <c r="B95" s="107" t="s">
        <v>826</v>
      </c>
      <c r="C95" s="336"/>
      <c r="D95" s="108"/>
    </row>
    <row r="96" spans="2:4" ht="36.75" hidden="1" thickBot="1" x14ac:dyDescent="0.25">
      <c r="B96" s="107" t="s">
        <v>845</v>
      </c>
      <c r="C96" s="336"/>
      <c r="D96" s="108"/>
    </row>
    <row r="97" spans="2:4" ht="48.75" hidden="1" thickBot="1" x14ac:dyDescent="0.25">
      <c r="B97" s="107" t="s">
        <v>846</v>
      </c>
      <c r="C97" s="336"/>
      <c r="D97" s="108"/>
    </row>
    <row r="98" spans="2:4" ht="36.75" hidden="1" thickBot="1" x14ac:dyDescent="0.25">
      <c r="B98" s="107" t="s">
        <v>847</v>
      </c>
      <c r="C98" s="336"/>
      <c r="D98" s="108"/>
    </row>
    <row r="99" spans="2:4" ht="60.75" hidden="1" thickBot="1" x14ac:dyDescent="0.25">
      <c r="B99" s="107" t="s">
        <v>848</v>
      </c>
      <c r="C99" s="336"/>
      <c r="D99" s="108"/>
    </row>
    <row r="100" spans="2:4" ht="24.75" hidden="1" thickBot="1" x14ac:dyDescent="0.25">
      <c r="B100" s="107" t="s">
        <v>849</v>
      </c>
      <c r="C100" s="336"/>
      <c r="D100" s="108"/>
    </row>
    <row r="101" spans="2:4" ht="48.75" hidden="1" thickBot="1" x14ac:dyDescent="0.25">
      <c r="B101" s="107" t="s">
        <v>850</v>
      </c>
      <c r="C101" s="336"/>
      <c r="D101" s="108"/>
    </row>
    <row r="102" spans="2:4" ht="36.75" hidden="1" thickBot="1" x14ac:dyDescent="0.25">
      <c r="B102" s="107" t="s">
        <v>851</v>
      </c>
      <c r="C102" s="336"/>
      <c r="D102" s="108"/>
    </row>
    <row r="103" spans="2:4" ht="60.75" hidden="1" thickBot="1" x14ac:dyDescent="0.25">
      <c r="B103" s="107" t="s">
        <v>852</v>
      </c>
      <c r="C103" s="336"/>
      <c r="D103" s="108"/>
    </row>
    <row r="104" spans="2:4" ht="48.75" hidden="1" thickBot="1" x14ac:dyDescent="0.25">
      <c r="B104" s="107" t="s">
        <v>853</v>
      </c>
      <c r="C104" s="336"/>
      <c r="D104" s="108"/>
    </row>
    <row r="105" spans="2:4" ht="96.75" hidden="1" thickBot="1" x14ac:dyDescent="0.25">
      <c r="B105" s="107" t="s">
        <v>854</v>
      </c>
      <c r="C105" s="336"/>
      <c r="D105" s="108"/>
    </row>
    <row r="106" spans="2:4" ht="13.5" hidden="1" thickBot="1" x14ac:dyDescent="0.25">
      <c r="B106" s="107" t="s">
        <v>855</v>
      </c>
      <c r="C106" s="336"/>
      <c r="D106" s="108"/>
    </row>
    <row r="107" spans="2:4" ht="36.75" hidden="1" thickBot="1" x14ac:dyDescent="0.25">
      <c r="B107" s="107" t="s">
        <v>856</v>
      </c>
      <c r="C107" s="336"/>
      <c r="D107" s="108"/>
    </row>
    <row r="108" spans="2:4" ht="13.5" hidden="1" thickBot="1" x14ac:dyDescent="0.25">
      <c r="B108" s="107" t="s">
        <v>128</v>
      </c>
      <c r="C108" s="336"/>
      <c r="D108" s="108"/>
    </row>
    <row r="109" spans="2:4" ht="96.75" hidden="1" thickBot="1" x14ac:dyDescent="0.25">
      <c r="B109" s="107" t="s">
        <v>860</v>
      </c>
      <c r="C109" s="336"/>
      <c r="D109" s="108"/>
    </row>
    <row r="165" spans="2:2" hidden="1" x14ac:dyDescent="0.2">
      <c r="B165" s="99" t="s">
        <v>861</v>
      </c>
    </row>
    <row r="166" spans="2:2" hidden="1" x14ac:dyDescent="0.2">
      <c r="B166" s="99" t="s">
        <v>862</v>
      </c>
    </row>
    <row r="167" spans="2:2" hidden="1" x14ac:dyDescent="0.2">
      <c r="B167" s="99" t="s">
        <v>863</v>
      </c>
    </row>
    <row r="168" spans="2:2" hidden="1" x14ac:dyDescent="0.2">
      <c r="B168" s="99" t="s">
        <v>864</v>
      </c>
    </row>
    <row r="169" spans="2:2" hidden="1" x14ac:dyDescent="0.2">
      <c r="B169" s="99" t="s">
        <v>865</v>
      </c>
    </row>
  </sheetData>
  <sheetProtection algorithmName="SHA-512" hashValue="i+NQjHHgiCecYQAmiE7NG2c+nOYtKH14oY0ki89Ben96TIwlHHUQBz+ky2BBCw+BCvOQO25JluZGVtFxlJ1tJw==" saltValue="6WsAuzxE9Q04AQaF92XaFw==" spinCount="100000" sheet="1" objects="1" scenarios="1"/>
  <dataConsolidate>
    <dataRefs count="1">
      <dataRef ref="K80:K87" sheet="Top40"/>
    </dataRefs>
  </dataConsolidate>
  <mergeCells count="27">
    <mergeCell ref="H39:L39"/>
    <mergeCell ref="H37:L37"/>
    <mergeCell ref="H35:L35"/>
    <mergeCell ref="M6:M7"/>
    <mergeCell ref="G33:I33"/>
    <mergeCell ref="G6:G7"/>
    <mergeCell ref="A28:B28"/>
    <mergeCell ref="M29:O29"/>
    <mergeCell ref="E31:G31"/>
    <mergeCell ref="H6:H7"/>
    <mergeCell ref="I6:I7"/>
    <mergeCell ref="J6:J7"/>
    <mergeCell ref="K6:K7"/>
    <mergeCell ref="L6:L7"/>
    <mergeCell ref="F6:F7"/>
    <mergeCell ref="O6:O7"/>
    <mergeCell ref="E6:E7"/>
    <mergeCell ref="P6:P7"/>
    <mergeCell ref="A2:P2"/>
    <mergeCell ref="A3:P3"/>
    <mergeCell ref="A4:P4"/>
    <mergeCell ref="A5:B5"/>
    <mergeCell ref="O5:P5"/>
    <mergeCell ref="N6:N7"/>
    <mergeCell ref="A6:A7"/>
    <mergeCell ref="B6:C6"/>
    <mergeCell ref="D6:D7"/>
  </mergeCells>
  <dataValidations count="6">
    <dataValidation type="list" allowBlank="1" showInputMessage="1" showErrorMessage="1" sqref="D8:D27" xr:uid="{00000000-0002-0000-1100-000000000000}">
      <formula1>$B$165:$B$169</formula1>
    </dataValidation>
    <dataValidation type="list" allowBlank="1" showInputMessage="1" showErrorMessage="1" sqref="G8:G27" xr:uid="{00000000-0002-0000-1100-000001000000}">
      <formula1>$B$90:$B$109</formula1>
    </dataValidation>
    <dataValidation type="list" allowBlank="1" showInputMessage="1" showErrorMessage="1" sqref="N8:N27" xr:uid="{00000000-0002-0000-1100-000002000000}">
      <formula1>$B$47:$B$48</formula1>
    </dataValidation>
    <dataValidation type="list" allowBlank="1" showInputMessage="1" showErrorMessage="1" sqref="O8:O27" xr:uid="{00000000-0002-0000-1100-000003000000}">
      <formula1>$E$61:$E$65</formula1>
    </dataValidation>
    <dataValidation showDropDown="1" showInputMessage="1" showErrorMessage="1" sqref="G28" xr:uid="{00000000-0002-0000-1100-000004000000}"/>
    <dataValidation type="date" allowBlank="1" showInputMessage="1" showErrorMessage="1" sqref="H8:J27" xr:uid="{00000000-0002-0000-1100-000005000000}">
      <formula1>1</formula1>
      <formula2>767011</formula2>
    </dataValidation>
  </dataValidations>
  <pageMargins left="0.7" right="0.7" top="0.75" bottom="0.75" header="0.3" footer="0.3"/>
  <pageSetup paperSize="9" scale="57"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pageSetUpPr fitToPage="1"/>
  </sheetPr>
  <dimension ref="A2:M48"/>
  <sheetViews>
    <sheetView workbookViewId="0"/>
  </sheetViews>
  <sheetFormatPr defaultRowHeight="12.75" x14ac:dyDescent="0.2"/>
  <cols>
    <col min="1" max="1" width="4.140625" style="16" customWidth="1"/>
    <col min="2" max="2" width="15" style="3" bestFit="1" customWidth="1"/>
    <col min="3" max="3" width="12.28515625" style="3" customWidth="1"/>
    <col min="4" max="4" width="17.7109375" style="123" customWidth="1"/>
    <col min="5" max="5" width="10.85546875" style="124" customWidth="1"/>
    <col min="6" max="6" width="11.140625" style="3" bestFit="1" customWidth="1"/>
    <col min="7" max="7" width="13.5703125" style="3" bestFit="1" customWidth="1"/>
    <col min="8" max="8" width="14.85546875" style="3" customWidth="1"/>
    <col min="9" max="9" width="14.28515625" style="3" bestFit="1" customWidth="1"/>
    <col min="10" max="10" width="14.42578125" style="123" bestFit="1" customWidth="1"/>
    <col min="11" max="11" width="14.42578125" style="123" customWidth="1"/>
    <col min="12" max="12" width="15.7109375" style="123" customWidth="1"/>
    <col min="13" max="13" width="9.140625" style="124"/>
    <col min="14" max="16384" width="9.140625" style="3"/>
  </cols>
  <sheetData>
    <row r="2" spans="1:13" x14ac:dyDescent="0.2">
      <c r="A2" s="652" t="s">
        <v>866</v>
      </c>
      <c r="B2" s="652"/>
      <c r="C2" s="652"/>
      <c r="D2" s="652"/>
      <c r="E2" s="652"/>
      <c r="F2" s="652"/>
      <c r="G2" s="652"/>
      <c r="H2" s="652"/>
      <c r="I2" s="652"/>
      <c r="J2" s="652"/>
      <c r="K2" s="652"/>
      <c r="L2" s="652"/>
    </row>
    <row r="3" spans="1:13" x14ac:dyDescent="0.2">
      <c r="A3" s="670" t="str">
        <f>BALANCE!A3</f>
        <v>БАНК БУС САНХҮҮГИЙН БАЙГУУЛЛАГЫН НЭР</v>
      </c>
      <c r="B3" s="670"/>
      <c r="C3" s="670"/>
      <c r="D3" s="670"/>
      <c r="E3" s="670"/>
      <c r="F3" s="670"/>
      <c r="G3" s="670"/>
      <c r="H3" s="670"/>
      <c r="I3" s="670"/>
      <c r="J3" s="670"/>
      <c r="K3" s="670"/>
      <c r="L3" s="670"/>
    </row>
    <row r="4" spans="1:13" x14ac:dyDescent="0.2">
      <c r="A4" s="652" t="str">
        <f>+BALANCE!A4</f>
        <v>БАНК БУС САНХҮҮГИЙН БАЙГУУЛЛАГА</v>
      </c>
      <c r="B4" s="652"/>
      <c r="C4" s="652"/>
      <c r="D4" s="652"/>
      <c r="E4" s="652"/>
      <c r="F4" s="652"/>
      <c r="G4" s="652"/>
      <c r="H4" s="652"/>
      <c r="I4" s="652"/>
      <c r="J4" s="652"/>
      <c r="K4" s="652"/>
      <c r="L4" s="652"/>
    </row>
    <row r="5" spans="1:13" x14ac:dyDescent="0.2">
      <c r="A5" s="731">
        <f>BALANCE!A6</f>
        <v>44834</v>
      </c>
      <c r="B5" s="731"/>
      <c r="C5" s="331"/>
      <c r="L5" s="849" t="s">
        <v>439</v>
      </c>
      <c r="M5" s="849"/>
    </row>
    <row r="6" spans="1:13" x14ac:dyDescent="0.2">
      <c r="A6" s="873" t="s">
        <v>2</v>
      </c>
      <c r="B6" s="890" t="s">
        <v>1281</v>
      </c>
      <c r="C6" s="891"/>
      <c r="D6" s="871" t="s">
        <v>867</v>
      </c>
      <c r="E6" s="865" t="s">
        <v>1059</v>
      </c>
      <c r="F6" s="873" t="s">
        <v>868</v>
      </c>
      <c r="G6" s="873" t="s">
        <v>816</v>
      </c>
      <c r="H6" s="873" t="s">
        <v>869</v>
      </c>
      <c r="I6" s="873" t="s">
        <v>870</v>
      </c>
      <c r="J6" s="871" t="s">
        <v>871</v>
      </c>
      <c r="K6" s="871" t="s">
        <v>872</v>
      </c>
      <c r="L6" s="871" t="s">
        <v>873</v>
      </c>
      <c r="M6" s="892" t="s">
        <v>823</v>
      </c>
    </row>
    <row r="7" spans="1:13" x14ac:dyDescent="0.2">
      <c r="A7" s="874"/>
      <c r="B7" s="334" t="s">
        <v>1056</v>
      </c>
      <c r="C7" s="334" t="s">
        <v>1057</v>
      </c>
      <c r="D7" s="872"/>
      <c r="E7" s="866"/>
      <c r="F7" s="874"/>
      <c r="G7" s="874"/>
      <c r="H7" s="874"/>
      <c r="I7" s="874"/>
      <c r="J7" s="872"/>
      <c r="K7" s="872"/>
      <c r="L7" s="872"/>
      <c r="M7" s="893"/>
    </row>
    <row r="8" spans="1:13" x14ac:dyDescent="0.2">
      <c r="A8" s="298">
        <v>1</v>
      </c>
      <c r="B8" s="109"/>
      <c r="C8" s="109"/>
      <c r="D8" s="191"/>
      <c r="E8" s="294"/>
      <c r="F8" s="110"/>
      <c r="G8" s="110"/>
      <c r="H8" s="110"/>
      <c r="I8" s="109"/>
      <c r="J8" s="295"/>
      <c r="K8" s="191"/>
      <c r="L8" s="191"/>
      <c r="M8" s="299" t="e">
        <f>+K8/BALANCESHEET!G$82*100%</f>
        <v>#DIV/0!</v>
      </c>
    </row>
    <row r="9" spans="1:13" x14ac:dyDescent="0.2">
      <c r="A9" s="298">
        <v>2</v>
      </c>
      <c r="B9" s="109"/>
      <c r="C9" s="109"/>
      <c r="D9" s="191"/>
      <c r="E9" s="294"/>
      <c r="F9" s="110"/>
      <c r="G9" s="110"/>
      <c r="H9" s="110"/>
      <c r="I9" s="109"/>
      <c r="J9" s="295"/>
      <c r="K9" s="191"/>
      <c r="L9" s="191"/>
      <c r="M9" s="299" t="e">
        <f>+K9/BALANCESHEET!G$82*100%</f>
        <v>#DIV/0!</v>
      </c>
    </row>
    <row r="10" spans="1:13" x14ac:dyDescent="0.2">
      <c r="A10" s="298">
        <v>3</v>
      </c>
      <c r="B10" s="109"/>
      <c r="C10" s="109"/>
      <c r="D10" s="191"/>
      <c r="E10" s="294"/>
      <c r="F10" s="110"/>
      <c r="G10" s="110"/>
      <c r="H10" s="110"/>
      <c r="I10" s="109"/>
      <c r="J10" s="295"/>
      <c r="K10" s="191"/>
      <c r="L10" s="191"/>
      <c r="M10" s="299" t="e">
        <f>+K10/BALANCESHEET!G$82*100%</f>
        <v>#DIV/0!</v>
      </c>
    </row>
    <row r="11" spans="1:13" x14ac:dyDescent="0.2">
      <c r="A11" s="298">
        <v>4</v>
      </c>
      <c r="B11" s="109"/>
      <c r="C11" s="109"/>
      <c r="D11" s="191"/>
      <c r="E11" s="294"/>
      <c r="F11" s="110"/>
      <c r="G11" s="110"/>
      <c r="H11" s="110"/>
      <c r="I11" s="109"/>
      <c r="J11" s="295"/>
      <c r="K11" s="191"/>
      <c r="L11" s="191"/>
      <c r="M11" s="299" t="e">
        <f>+K11/BALANCESHEET!G$82*100%</f>
        <v>#DIV/0!</v>
      </c>
    </row>
    <row r="12" spans="1:13" x14ac:dyDescent="0.2">
      <c r="A12" s="298">
        <v>5</v>
      </c>
      <c r="B12" s="109"/>
      <c r="C12" s="109"/>
      <c r="D12" s="191"/>
      <c r="E12" s="294"/>
      <c r="F12" s="110"/>
      <c r="G12" s="110"/>
      <c r="H12" s="110"/>
      <c r="I12" s="109"/>
      <c r="J12" s="295"/>
      <c r="K12" s="191"/>
      <c r="L12" s="191"/>
      <c r="M12" s="299" t="e">
        <f>+K12/BALANCESHEET!G$82*100%</f>
        <v>#DIV/0!</v>
      </c>
    </row>
    <row r="13" spans="1:13" x14ac:dyDescent="0.2">
      <c r="A13" s="298">
        <v>6</v>
      </c>
      <c r="B13" s="109"/>
      <c r="C13" s="109"/>
      <c r="D13" s="191"/>
      <c r="E13" s="294"/>
      <c r="F13" s="110"/>
      <c r="G13" s="110"/>
      <c r="H13" s="110"/>
      <c r="I13" s="109"/>
      <c r="J13" s="295"/>
      <c r="K13" s="191"/>
      <c r="L13" s="191"/>
      <c r="M13" s="299" t="e">
        <f>+K13/BALANCESHEET!G$82*100%</f>
        <v>#DIV/0!</v>
      </c>
    </row>
    <row r="14" spans="1:13" x14ac:dyDescent="0.2">
      <c r="A14" s="298">
        <v>7</v>
      </c>
      <c r="B14" s="109"/>
      <c r="C14" s="109"/>
      <c r="D14" s="191"/>
      <c r="E14" s="294"/>
      <c r="F14" s="110"/>
      <c r="G14" s="110"/>
      <c r="H14" s="110"/>
      <c r="I14" s="109"/>
      <c r="J14" s="295"/>
      <c r="K14" s="191"/>
      <c r="L14" s="191"/>
      <c r="M14" s="299" t="e">
        <f>+K14/BALANCESHEET!G$82*100%</f>
        <v>#DIV/0!</v>
      </c>
    </row>
    <row r="15" spans="1:13" x14ac:dyDescent="0.2">
      <c r="A15" s="298">
        <v>8</v>
      </c>
      <c r="B15" s="109"/>
      <c r="C15" s="109"/>
      <c r="D15" s="191"/>
      <c r="E15" s="294"/>
      <c r="F15" s="110"/>
      <c r="G15" s="110"/>
      <c r="H15" s="110"/>
      <c r="I15" s="109"/>
      <c r="J15" s="295"/>
      <c r="K15" s="191"/>
      <c r="L15" s="191"/>
      <c r="M15" s="299" t="e">
        <f>+K15/BALANCESHEET!G$82*100%</f>
        <v>#DIV/0!</v>
      </c>
    </row>
    <row r="16" spans="1:13" x14ac:dyDescent="0.2">
      <c r="A16" s="298">
        <v>9</v>
      </c>
      <c r="B16" s="109"/>
      <c r="C16" s="109"/>
      <c r="D16" s="191"/>
      <c r="E16" s="294"/>
      <c r="F16" s="110"/>
      <c r="G16" s="110"/>
      <c r="H16" s="110"/>
      <c r="I16" s="109"/>
      <c r="J16" s="295"/>
      <c r="K16" s="191"/>
      <c r="L16" s="191"/>
      <c r="M16" s="299" t="e">
        <f>+K16/BALANCESHEET!G$82*100%</f>
        <v>#DIV/0!</v>
      </c>
    </row>
    <row r="17" spans="1:13" x14ac:dyDescent="0.2">
      <c r="A17" s="298">
        <v>10</v>
      </c>
      <c r="B17" s="109"/>
      <c r="C17" s="109"/>
      <c r="D17" s="191"/>
      <c r="E17" s="294"/>
      <c r="F17" s="110"/>
      <c r="G17" s="110"/>
      <c r="H17" s="110"/>
      <c r="I17" s="109"/>
      <c r="J17" s="295"/>
      <c r="K17" s="191"/>
      <c r="L17" s="191"/>
      <c r="M17" s="299" t="e">
        <f>+K17/BALANCESHEET!G$82*100%</f>
        <v>#DIV/0!</v>
      </c>
    </row>
    <row r="18" spans="1:13" x14ac:dyDescent="0.2">
      <c r="A18" s="298">
        <v>11</v>
      </c>
      <c r="B18" s="109"/>
      <c r="C18" s="109"/>
      <c r="D18" s="191"/>
      <c r="E18" s="294"/>
      <c r="F18" s="110"/>
      <c r="G18" s="110"/>
      <c r="H18" s="110"/>
      <c r="I18" s="109"/>
      <c r="J18" s="295"/>
      <c r="K18" s="191"/>
      <c r="L18" s="191"/>
      <c r="M18" s="299" t="e">
        <f>+K18/BALANCESHEET!G$82*100%</f>
        <v>#DIV/0!</v>
      </c>
    </row>
    <row r="19" spans="1:13" x14ac:dyDescent="0.2">
      <c r="A19" s="298">
        <v>12</v>
      </c>
      <c r="B19" s="109"/>
      <c r="C19" s="109"/>
      <c r="D19" s="191"/>
      <c r="E19" s="294"/>
      <c r="F19" s="110"/>
      <c r="G19" s="110"/>
      <c r="H19" s="110"/>
      <c r="I19" s="109"/>
      <c r="J19" s="295"/>
      <c r="K19" s="191"/>
      <c r="L19" s="191"/>
      <c r="M19" s="299" t="e">
        <f>+K19/BALANCESHEET!G$82*100%</f>
        <v>#DIV/0!</v>
      </c>
    </row>
    <row r="20" spans="1:13" x14ac:dyDescent="0.2">
      <c r="A20" s="298">
        <v>13</v>
      </c>
      <c r="B20" s="109"/>
      <c r="C20" s="109"/>
      <c r="D20" s="191"/>
      <c r="E20" s="294"/>
      <c r="F20" s="110"/>
      <c r="G20" s="110"/>
      <c r="H20" s="110"/>
      <c r="I20" s="109"/>
      <c r="J20" s="295"/>
      <c r="K20" s="191"/>
      <c r="L20" s="191"/>
      <c r="M20" s="299" t="e">
        <f>+K20/BALANCESHEET!G$82*100%</f>
        <v>#DIV/0!</v>
      </c>
    </row>
    <row r="21" spans="1:13" x14ac:dyDescent="0.2">
      <c r="A21" s="298">
        <v>14</v>
      </c>
      <c r="B21" s="109"/>
      <c r="C21" s="109"/>
      <c r="D21" s="191"/>
      <c r="E21" s="294"/>
      <c r="F21" s="110"/>
      <c r="G21" s="110"/>
      <c r="H21" s="110"/>
      <c r="I21" s="109"/>
      <c r="J21" s="295"/>
      <c r="K21" s="191"/>
      <c r="L21" s="191"/>
      <c r="M21" s="299" t="e">
        <f>+K21/BALANCESHEET!G$82*100%</f>
        <v>#DIV/0!</v>
      </c>
    </row>
    <row r="22" spans="1:13" x14ac:dyDescent="0.2">
      <c r="A22" s="298">
        <v>15</v>
      </c>
      <c r="B22" s="109"/>
      <c r="C22" s="109"/>
      <c r="D22" s="191"/>
      <c r="E22" s="294"/>
      <c r="F22" s="110"/>
      <c r="G22" s="110"/>
      <c r="H22" s="110"/>
      <c r="I22" s="109"/>
      <c r="J22" s="295"/>
      <c r="K22" s="191"/>
      <c r="L22" s="191"/>
      <c r="M22" s="299" t="e">
        <f>+K22/BALANCESHEET!G$82*100%</f>
        <v>#DIV/0!</v>
      </c>
    </row>
    <row r="23" spans="1:13" x14ac:dyDescent="0.2">
      <c r="A23" s="298">
        <v>16</v>
      </c>
      <c r="B23" s="109"/>
      <c r="C23" s="109"/>
      <c r="D23" s="191"/>
      <c r="E23" s="294"/>
      <c r="F23" s="110"/>
      <c r="G23" s="110"/>
      <c r="H23" s="110"/>
      <c r="I23" s="109"/>
      <c r="J23" s="295"/>
      <c r="K23" s="191"/>
      <c r="L23" s="191"/>
      <c r="M23" s="299" t="e">
        <f>+K23/BALANCESHEET!G$82*100%</f>
        <v>#DIV/0!</v>
      </c>
    </row>
    <row r="24" spans="1:13" x14ac:dyDescent="0.2">
      <c r="A24" s="298">
        <v>17</v>
      </c>
      <c r="B24" s="109"/>
      <c r="C24" s="109"/>
      <c r="D24" s="191"/>
      <c r="E24" s="294"/>
      <c r="F24" s="110"/>
      <c r="G24" s="110"/>
      <c r="H24" s="110"/>
      <c r="I24" s="109"/>
      <c r="J24" s="295"/>
      <c r="K24" s="191"/>
      <c r="L24" s="191"/>
      <c r="M24" s="299" t="e">
        <f>+K24/BALANCESHEET!G$82*100%</f>
        <v>#DIV/0!</v>
      </c>
    </row>
    <row r="25" spans="1:13" x14ac:dyDescent="0.2">
      <c r="A25" s="298">
        <v>18</v>
      </c>
      <c r="B25" s="109"/>
      <c r="C25" s="109"/>
      <c r="D25" s="191"/>
      <c r="E25" s="294"/>
      <c r="F25" s="110"/>
      <c r="G25" s="110"/>
      <c r="H25" s="110"/>
      <c r="I25" s="109"/>
      <c r="J25" s="295"/>
      <c r="K25" s="191"/>
      <c r="L25" s="191"/>
      <c r="M25" s="299" t="e">
        <f>+K25/BALANCESHEET!G$82*100%</f>
        <v>#DIV/0!</v>
      </c>
    </row>
    <row r="26" spans="1:13" x14ac:dyDescent="0.2">
      <c r="A26" s="298">
        <v>19</v>
      </c>
      <c r="B26" s="109"/>
      <c r="C26" s="109"/>
      <c r="D26" s="191"/>
      <c r="E26" s="294"/>
      <c r="F26" s="110"/>
      <c r="G26" s="110"/>
      <c r="H26" s="110"/>
      <c r="I26" s="109"/>
      <c r="J26" s="295"/>
      <c r="K26" s="191"/>
      <c r="L26" s="191"/>
      <c r="M26" s="299" t="e">
        <f>+K26/BALANCESHEET!G$82*100%</f>
        <v>#DIV/0!</v>
      </c>
    </row>
    <row r="27" spans="1:13" x14ac:dyDescent="0.2">
      <c r="A27" s="298">
        <v>20</v>
      </c>
      <c r="B27" s="109"/>
      <c r="C27" s="109"/>
      <c r="D27" s="191"/>
      <c r="E27" s="294"/>
      <c r="F27" s="110"/>
      <c r="G27" s="110"/>
      <c r="H27" s="110"/>
      <c r="I27" s="109"/>
      <c r="J27" s="295"/>
      <c r="K27" s="191"/>
      <c r="L27" s="191"/>
      <c r="M27" s="299" t="e">
        <f>+K27/BALANCESHEET!G$82*100%</f>
        <v>#DIV/0!</v>
      </c>
    </row>
    <row r="28" spans="1:13" ht="15.75" customHeight="1" x14ac:dyDescent="0.2">
      <c r="A28" s="836" t="s">
        <v>824</v>
      </c>
      <c r="B28" s="836"/>
      <c r="C28" s="332"/>
      <c r="D28" s="395">
        <f>+SUM(D8:D27)</f>
        <v>0</v>
      </c>
      <c r="E28" s="293"/>
      <c r="F28" s="396"/>
      <c r="G28" s="396"/>
      <c r="H28" s="396"/>
      <c r="I28" s="396"/>
      <c r="J28" s="395"/>
      <c r="K28" s="395">
        <f>SUM(K8:K27)</f>
        <v>0</v>
      </c>
      <c r="L28" s="395">
        <f>+SUM(L8:L27)</f>
        <v>0</v>
      </c>
      <c r="M28" s="392"/>
    </row>
    <row r="29" spans="1:13" ht="15.75" customHeight="1" x14ac:dyDescent="0.2">
      <c r="F29" s="894" t="s">
        <v>874</v>
      </c>
      <c r="G29" s="894"/>
      <c r="H29" s="894"/>
      <c r="I29" s="894"/>
      <c r="J29" s="894"/>
      <c r="K29" s="894"/>
      <c r="L29" s="894"/>
      <c r="M29" s="296" t="e">
        <f>+MAX(M8:M27)</f>
        <v>#DIV/0!</v>
      </c>
    </row>
    <row r="30" spans="1:13" ht="12.75" customHeight="1" x14ac:dyDescent="0.2">
      <c r="F30" s="895" t="str">
        <f>IF(ROUND(SUM(BALANCESHEET!G14,BALANCESHEET!G42),2)=K28,"","Балансын дүнгээс зөрүүтэй тул зууны нарийвчлалтай шивнэ үү. зөв 200,265.23 | буруу 200,236.256")</f>
        <v/>
      </c>
      <c r="G30" s="895"/>
      <c r="H30" s="895"/>
      <c r="I30" s="895"/>
      <c r="J30" s="895"/>
      <c r="K30" s="895"/>
      <c r="L30" s="895"/>
      <c r="M30" s="895"/>
    </row>
    <row r="31" spans="1:13" x14ac:dyDescent="0.2">
      <c r="B31" s="65" t="s">
        <v>36</v>
      </c>
      <c r="C31" s="65"/>
      <c r="D31" s="126"/>
      <c r="E31" s="125"/>
      <c r="F31" s="13"/>
      <c r="G31" s="14"/>
      <c r="I31" s="575"/>
      <c r="J31" s="575"/>
      <c r="K31" s="575"/>
      <c r="L31" s="575"/>
      <c r="M31" s="575"/>
    </row>
    <row r="32" spans="1:13" x14ac:dyDescent="0.2">
      <c r="B32" s="65"/>
      <c r="C32" s="65"/>
      <c r="D32" s="126"/>
      <c r="E32" s="125"/>
      <c r="F32" s="13"/>
      <c r="G32" s="14"/>
    </row>
    <row r="33" spans="2:10" x14ac:dyDescent="0.2">
      <c r="B33" s="123"/>
      <c r="C33" s="123"/>
      <c r="D33" s="17" t="s">
        <v>437</v>
      </c>
      <c r="E33" s="127"/>
      <c r="F33" s="17"/>
    </row>
    <row r="34" spans="2:10" x14ac:dyDescent="0.2">
      <c r="B34" s="16"/>
      <c r="C34" s="16"/>
      <c r="D34" s="126"/>
      <c r="E34" s="125"/>
      <c r="F34" s="13"/>
      <c r="G34" s="14"/>
    </row>
    <row r="35" spans="2:10" ht="15" customHeight="1" x14ac:dyDescent="0.2">
      <c r="B35" s="167"/>
      <c r="C35" s="167"/>
      <c r="D35" s="167"/>
      <c r="E35" s="835" t="str">
        <f>BALANCE!D361</f>
        <v>ГҮЙЦЭТГЭХ ЗАХИРАЛ.................................................................//</v>
      </c>
      <c r="F35" s="835"/>
      <c r="G35" s="835"/>
      <c r="H35" s="835"/>
      <c r="I35" s="835"/>
      <c r="J35" s="835"/>
    </row>
    <row r="36" spans="2:10" x14ac:dyDescent="0.2">
      <c r="B36" s="128"/>
      <c r="C36" s="128"/>
      <c r="D36" s="128"/>
      <c r="E36" s="491"/>
      <c r="F36" s="129"/>
      <c r="G36" s="129"/>
      <c r="H36" s="99"/>
      <c r="I36" s="99"/>
      <c r="J36" s="492"/>
    </row>
    <row r="37" spans="2:10" ht="15" customHeight="1" x14ac:dyDescent="0.2">
      <c r="B37" s="167"/>
      <c r="C37" s="167"/>
      <c r="D37" s="167"/>
      <c r="E37" s="835" t="str">
        <f>BALANCE!D363</f>
        <v>ЕРӨНХИЙ НЯГТЛАН БОДОГЧ....................................................//</v>
      </c>
      <c r="F37" s="835"/>
      <c r="G37" s="835"/>
      <c r="H37" s="835"/>
      <c r="I37" s="835"/>
      <c r="J37" s="835"/>
    </row>
    <row r="38" spans="2:10" x14ac:dyDescent="0.2">
      <c r="B38" s="128"/>
      <c r="C38" s="128"/>
      <c r="D38" s="128"/>
      <c r="E38" s="491"/>
      <c r="F38" s="129"/>
      <c r="G38" s="129"/>
      <c r="H38" s="99"/>
      <c r="I38" s="99"/>
      <c r="J38" s="492"/>
    </row>
    <row r="39" spans="2:10" ht="15" customHeight="1" x14ac:dyDescent="0.2">
      <c r="B39" s="167"/>
      <c r="C39" s="167"/>
      <c r="D39" s="167"/>
      <c r="E39" s="835">
        <f>BALANCE!D365</f>
        <v>0</v>
      </c>
      <c r="F39" s="835"/>
      <c r="G39" s="835"/>
      <c r="H39" s="835"/>
      <c r="I39" s="835"/>
      <c r="J39" s="835"/>
    </row>
    <row r="44" spans="2:10" hidden="1" x14ac:dyDescent="0.2">
      <c r="B44" s="3" t="s">
        <v>470</v>
      </c>
    </row>
    <row r="45" spans="2:10" hidden="1" x14ac:dyDescent="0.2">
      <c r="B45" s="3" t="s">
        <v>1164</v>
      </c>
    </row>
    <row r="46" spans="2:10" hidden="1" x14ac:dyDescent="0.2">
      <c r="B46" s="3" t="s">
        <v>481</v>
      </c>
    </row>
    <row r="47" spans="2:10" hidden="1" x14ac:dyDescent="0.2">
      <c r="B47" s="3" t="s">
        <v>474</v>
      </c>
    </row>
    <row r="48" spans="2:10" hidden="1" x14ac:dyDescent="0.2">
      <c r="B48" s="3" t="s">
        <v>832</v>
      </c>
    </row>
  </sheetData>
  <sheetProtection algorithmName="SHA-512" hashValue="0MKwaJNe1kdZeVrgH3sZ22xbzA0Qed0YradBv3Y6LQMEAFHww4SUTvNLms2w58TSgt83PlhnXzCHO5vaPaxd6A==" saltValue="5Mb3Sed20KnYOEBUI3LbOA==" spinCount="100000" sheet="1"/>
  <mergeCells count="23">
    <mergeCell ref="A28:B28"/>
    <mergeCell ref="E39:J39"/>
    <mergeCell ref="F29:L29"/>
    <mergeCell ref="E35:J35"/>
    <mergeCell ref="E37:J37"/>
    <mergeCell ref="F30:M30"/>
    <mergeCell ref="A2:L2"/>
    <mergeCell ref="A3:L3"/>
    <mergeCell ref="A4:L4"/>
    <mergeCell ref="A5:B5"/>
    <mergeCell ref="L5:M5"/>
    <mergeCell ref="B6:C6"/>
    <mergeCell ref="E6:E7"/>
    <mergeCell ref="M6:M7"/>
    <mergeCell ref="L6:L7"/>
    <mergeCell ref="A6:A7"/>
    <mergeCell ref="J6:J7"/>
    <mergeCell ref="I6:I7"/>
    <mergeCell ref="H6:H7"/>
    <mergeCell ref="D6:D7"/>
    <mergeCell ref="K6:K7"/>
    <mergeCell ref="G6:G7"/>
    <mergeCell ref="F6:F7"/>
  </mergeCells>
  <dataValidations count="2">
    <dataValidation type="date" allowBlank="1" showInputMessage="1" showErrorMessage="1" sqref="F8:H27" xr:uid="{00000000-0002-0000-1200-000000000000}">
      <formula1>1</formula1>
      <formula2>767011</formula2>
    </dataValidation>
    <dataValidation type="list" allowBlank="1" showInputMessage="1" showErrorMessage="1" sqref="I8:I27" xr:uid="{00000000-0002-0000-1200-000001000000}">
      <formula1>$B$44:$B$48</formula1>
    </dataValidation>
  </dataValidations>
  <pageMargins left="0.7" right="0.7" top="0.75" bottom="0.75" header="0.3" footer="0.3"/>
  <pageSetup paperSize="9" scale="80"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2:N64"/>
  <sheetViews>
    <sheetView workbookViewId="0">
      <selection activeCell="A3" sqref="A3:C3"/>
    </sheetView>
  </sheetViews>
  <sheetFormatPr defaultRowHeight="12.75" x14ac:dyDescent="0.2"/>
  <cols>
    <col min="1" max="1" width="3.7109375" style="49" bestFit="1" customWidth="1"/>
    <col min="2" max="2" width="55.140625" style="3" customWidth="1"/>
    <col min="3" max="3" width="28" style="20" customWidth="1"/>
    <col min="4" max="4" width="38.140625" style="3" customWidth="1"/>
    <col min="5" max="5" width="13.7109375" style="3" customWidth="1"/>
    <col min="6" max="6" width="12.85546875" style="3" hidden="1" customWidth="1"/>
    <col min="7" max="7" width="16.42578125" style="3" hidden="1" customWidth="1"/>
    <col min="8" max="8" width="14.28515625" style="3" hidden="1" customWidth="1"/>
    <col min="9" max="13" width="9.140625" style="3" customWidth="1"/>
    <col min="14" max="14" width="9.42578125" style="3" bestFit="1" customWidth="1"/>
    <col min="15" max="15" width="8.5703125" style="3" customWidth="1"/>
    <col min="16" max="16384" width="9.140625" style="3"/>
  </cols>
  <sheetData>
    <row r="2" spans="1:14" x14ac:dyDescent="0.2">
      <c r="A2" s="652" t="s">
        <v>0</v>
      </c>
      <c r="B2" s="652"/>
      <c r="C2" s="652"/>
      <c r="F2" s="2"/>
      <c r="G2" s="2"/>
      <c r="H2" s="2"/>
      <c r="I2" s="2"/>
      <c r="J2" s="2"/>
    </row>
    <row r="3" spans="1:14" x14ac:dyDescent="0.2">
      <c r="A3" s="653" t="s">
        <v>1083</v>
      </c>
      <c r="B3" s="653"/>
      <c r="C3" s="653"/>
      <c r="D3" s="8"/>
      <c r="E3" s="8"/>
      <c r="F3" s="4"/>
      <c r="G3" s="4"/>
      <c r="H3" s="4"/>
      <c r="I3" s="4"/>
      <c r="J3" s="4"/>
    </row>
    <row r="4" spans="1:14" x14ac:dyDescent="0.2">
      <c r="A4" s="654" t="str">
        <f>+BALANCE!A4</f>
        <v>БАНК БУС САНХҮҮГИЙН БАЙГУУЛЛАГА</v>
      </c>
      <c r="B4" s="654"/>
      <c r="C4" s="654"/>
      <c r="D4" s="69"/>
      <c r="E4" s="69"/>
      <c r="F4" s="6"/>
      <c r="G4" s="6"/>
      <c r="H4" s="6"/>
      <c r="I4" s="6"/>
      <c r="J4" s="6"/>
    </row>
    <row r="5" spans="1:14" x14ac:dyDescent="0.2">
      <c r="A5" s="5"/>
      <c r="B5" s="5"/>
      <c r="C5" s="5"/>
      <c r="D5" s="69"/>
      <c r="E5" s="69"/>
      <c r="F5" s="6"/>
      <c r="G5" s="6"/>
      <c r="H5" s="6"/>
      <c r="I5" s="6"/>
      <c r="J5" s="6"/>
    </row>
    <row r="6" spans="1:14" x14ac:dyDescent="0.2">
      <c r="A6" s="5"/>
      <c r="B6" s="5"/>
      <c r="C6" s="5"/>
      <c r="D6" s="69"/>
      <c r="E6" s="69"/>
      <c r="F6" s="6"/>
      <c r="G6" s="6"/>
      <c r="H6" s="6"/>
      <c r="I6" s="6"/>
      <c r="J6" s="6"/>
    </row>
    <row r="7" spans="1:14" x14ac:dyDescent="0.2">
      <c r="A7" s="655">
        <v>44834</v>
      </c>
      <c r="B7" s="655"/>
      <c r="C7" s="7"/>
      <c r="D7" s="8"/>
      <c r="E7" s="8"/>
      <c r="F7" s="8"/>
      <c r="G7" s="8"/>
      <c r="H7" s="69"/>
      <c r="I7" s="8"/>
      <c r="J7" s="8"/>
    </row>
    <row r="8" spans="1:14" x14ac:dyDescent="0.2">
      <c r="A8" s="22" t="s">
        <v>2</v>
      </c>
      <c r="B8" s="22" t="s">
        <v>0</v>
      </c>
      <c r="C8" s="21" t="s">
        <v>3</v>
      </c>
      <c r="H8" s="564" t="s">
        <v>4</v>
      </c>
    </row>
    <row r="9" spans="1:14" x14ac:dyDescent="0.2">
      <c r="A9" s="22" t="s">
        <v>5</v>
      </c>
      <c r="B9" s="656" t="s">
        <v>6</v>
      </c>
      <c r="C9" s="656"/>
      <c r="H9" s="564" t="s">
        <v>7</v>
      </c>
    </row>
    <row r="10" spans="1:14" x14ac:dyDescent="0.2">
      <c r="A10" s="651">
        <v>1</v>
      </c>
      <c r="B10" s="23" t="s">
        <v>1288</v>
      </c>
      <c r="C10" s="399">
        <f>SUM(C11:C13)</f>
        <v>0</v>
      </c>
      <c r="D10" s="10" t="str">
        <f>+IF(C10&gt;0,"","Утга нөхөх")</f>
        <v>Утга нөхөх</v>
      </c>
      <c r="E10" s="10"/>
      <c r="F10" s="10"/>
      <c r="H10" s="564"/>
    </row>
    <row r="11" spans="1:14" x14ac:dyDescent="0.2">
      <c r="A11" s="651"/>
      <c r="B11" s="24" t="s">
        <v>8</v>
      </c>
      <c r="C11" s="25"/>
      <c r="D11" s="10" t="str">
        <f>+IF(C11&gt;0,"","Утга нөхөх")</f>
        <v>Утга нөхөх</v>
      </c>
      <c r="E11" s="10"/>
      <c r="F11" s="10"/>
      <c r="H11" s="69" t="s">
        <v>9</v>
      </c>
    </row>
    <row r="12" spans="1:14" x14ac:dyDescent="0.2">
      <c r="A12" s="651"/>
      <c r="B12" s="24" t="s">
        <v>1080</v>
      </c>
      <c r="C12" s="25"/>
      <c r="D12" s="10"/>
      <c r="E12" s="10"/>
      <c r="F12" s="10"/>
      <c r="H12" s="564" t="s">
        <v>11</v>
      </c>
    </row>
    <row r="13" spans="1:14" x14ac:dyDescent="0.2">
      <c r="A13" s="651"/>
      <c r="B13" s="24" t="s">
        <v>10</v>
      </c>
      <c r="C13" s="25"/>
      <c r="F13" s="10"/>
      <c r="H13" s="564"/>
    </row>
    <row r="14" spans="1:14" x14ac:dyDescent="0.2">
      <c r="A14" s="651"/>
      <c r="B14" s="24" t="s">
        <v>42</v>
      </c>
      <c r="C14" s="25"/>
      <c r="D14" s="10" t="str">
        <f>IF(BALANCE!H11&gt;0,IF(Statistic!C14&gt;0,"","Утга нөхөх"),"")</f>
        <v/>
      </c>
      <c r="E14" s="10"/>
      <c r="F14" s="10"/>
      <c r="H14" s="564"/>
    </row>
    <row r="15" spans="1:14" x14ac:dyDescent="0.2">
      <c r="A15" s="651"/>
      <c r="B15" s="24" t="s">
        <v>43</v>
      </c>
      <c r="C15" s="25"/>
      <c r="D15" s="10" t="str">
        <f>IF(BALANCE!H75&gt;0,IF(Statistic!C15&gt;0,"","Утга нөхөх"),"")</f>
        <v/>
      </c>
      <c r="E15" s="10"/>
      <c r="F15" s="10"/>
      <c r="H15" s="69"/>
    </row>
    <row r="16" spans="1:14" x14ac:dyDescent="0.2">
      <c r="A16" s="657">
        <v>2</v>
      </c>
      <c r="B16" s="26" t="s">
        <v>1287</v>
      </c>
      <c r="C16" s="399">
        <f>SUM(C17:C19)</f>
        <v>0</v>
      </c>
      <c r="D16" s="10" t="str">
        <f>+IF(C10&gt;=C23,"","Зээлдэгчдийн насжилтын судалгааг нөхнө үү")</f>
        <v/>
      </c>
      <c r="E16" s="10" t="str">
        <f>IF(C10&gt;=C16,"","Зөвхөн зээлдэгчдийн тоог оруулна уу!")</f>
        <v/>
      </c>
      <c r="F16" s="10"/>
      <c r="H16" s="69"/>
      <c r="N16" s="10" t="str">
        <f>IF(BALANCESHEET!C32&gt;0,IF(Statistic!C16&gt;0,"","Зээлдэгчдийн тоог нөхнө үү!"),"")</f>
        <v/>
      </c>
    </row>
    <row r="17" spans="1:6" x14ac:dyDescent="0.2">
      <c r="A17" s="657"/>
      <c r="B17" s="27" t="s">
        <v>12</v>
      </c>
      <c r="C17" s="28"/>
      <c r="F17" s="10"/>
    </row>
    <row r="18" spans="1:6" x14ac:dyDescent="0.2">
      <c r="A18" s="657"/>
      <c r="B18" s="27" t="s">
        <v>1164</v>
      </c>
      <c r="C18" s="28"/>
      <c r="F18" s="10"/>
    </row>
    <row r="19" spans="1:6" x14ac:dyDescent="0.2">
      <c r="A19" s="657"/>
      <c r="B19" s="29" t="s">
        <v>471</v>
      </c>
      <c r="C19" s="400">
        <f>SUM(C20:C22)</f>
        <v>0</v>
      </c>
      <c r="F19" s="10"/>
    </row>
    <row r="20" spans="1:6" x14ac:dyDescent="0.2">
      <c r="A20" s="657"/>
      <c r="B20" s="27" t="s">
        <v>13</v>
      </c>
      <c r="C20" s="28"/>
      <c r="F20" s="10"/>
    </row>
    <row r="21" spans="1:6" x14ac:dyDescent="0.2">
      <c r="A21" s="657"/>
      <c r="B21" s="27" t="s">
        <v>14</v>
      </c>
      <c r="C21" s="28"/>
      <c r="F21" s="10"/>
    </row>
    <row r="22" spans="1:6" x14ac:dyDescent="0.2">
      <c r="A22" s="657"/>
      <c r="B22" s="27" t="s">
        <v>15</v>
      </c>
      <c r="C22" s="28"/>
      <c r="F22" s="10"/>
    </row>
    <row r="23" spans="1:6" ht="13.5" x14ac:dyDescent="0.25">
      <c r="A23" s="657">
        <v>3</v>
      </c>
      <c r="B23" s="30" t="s">
        <v>16</v>
      </c>
      <c r="C23" s="399">
        <f>SUM(C24:C27)</f>
        <v>0</v>
      </c>
      <c r="D23" s="10" t="str">
        <f>+IF(C23=C28,"","Зээлдэгчийн боловсролын судалгааг нөхнө үү")</f>
        <v/>
      </c>
      <c r="E23" s="10"/>
      <c r="F23" s="10"/>
    </row>
    <row r="24" spans="1:6" x14ac:dyDescent="0.2">
      <c r="A24" s="657"/>
      <c r="B24" s="31" t="s">
        <v>17</v>
      </c>
      <c r="C24" s="28"/>
      <c r="F24" s="10"/>
    </row>
    <row r="25" spans="1:6" x14ac:dyDescent="0.2">
      <c r="A25" s="657"/>
      <c r="B25" s="31" t="s">
        <v>18</v>
      </c>
      <c r="C25" s="28"/>
      <c r="F25" s="10"/>
    </row>
    <row r="26" spans="1:6" x14ac:dyDescent="0.2">
      <c r="A26" s="657"/>
      <c r="B26" s="27" t="s">
        <v>19</v>
      </c>
      <c r="C26" s="28"/>
      <c r="F26" s="10"/>
    </row>
    <row r="27" spans="1:6" x14ac:dyDescent="0.2">
      <c r="A27" s="657"/>
      <c r="B27" s="27" t="s">
        <v>20</v>
      </c>
      <c r="C27" s="28"/>
      <c r="F27" s="10"/>
    </row>
    <row r="28" spans="1:6" ht="13.5" x14ac:dyDescent="0.25">
      <c r="A28" s="657">
        <v>4</v>
      </c>
      <c r="B28" s="30" t="s">
        <v>21</v>
      </c>
      <c r="C28" s="399">
        <f>SUM(C29:C33)</f>
        <v>0</v>
      </c>
      <c r="D28" s="10" t="str">
        <f>IF(SUM(C24:C27)=SUM(C29:C33),"","Зээлдэгчдийн насжилт болон боловсролын утга тэнцүү байх шаардлагатай")</f>
        <v/>
      </c>
      <c r="F28" s="10"/>
    </row>
    <row r="29" spans="1:6" x14ac:dyDescent="0.2">
      <c r="A29" s="657"/>
      <c r="B29" s="32" t="s">
        <v>22</v>
      </c>
      <c r="C29" s="28"/>
      <c r="F29" s="10"/>
    </row>
    <row r="30" spans="1:6" x14ac:dyDescent="0.2">
      <c r="A30" s="657"/>
      <c r="B30" s="32" t="s">
        <v>23</v>
      </c>
      <c r="C30" s="28"/>
      <c r="F30" s="10"/>
    </row>
    <row r="31" spans="1:6" x14ac:dyDescent="0.2">
      <c r="A31" s="657"/>
      <c r="B31" s="32" t="s">
        <v>24</v>
      </c>
      <c r="C31" s="28"/>
      <c r="F31" s="10"/>
    </row>
    <row r="32" spans="1:6" x14ac:dyDescent="0.2">
      <c r="A32" s="657"/>
      <c r="B32" s="32" t="s">
        <v>25</v>
      </c>
      <c r="C32" s="28"/>
      <c r="F32" s="10"/>
    </row>
    <row r="33" spans="1:6" x14ac:dyDescent="0.2">
      <c r="A33" s="657"/>
      <c r="B33" s="32" t="s">
        <v>26</v>
      </c>
      <c r="C33" s="28"/>
    </row>
    <row r="34" spans="1:6" x14ac:dyDescent="0.2">
      <c r="A34" s="22" t="s">
        <v>27</v>
      </c>
      <c r="B34" s="659" t="s">
        <v>28</v>
      </c>
      <c r="C34" s="659"/>
    </row>
    <row r="35" spans="1:6" x14ac:dyDescent="0.2">
      <c r="A35" s="660">
        <v>7</v>
      </c>
      <c r="B35" s="33" t="s">
        <v>29</v>
      </c>
      <c r="C35" s="35"/>
      <c r="D35" s="10" t="str">
        <f>+IF(C35&gt;0,"","Утга нөхөх")</f>
        <v>Утга нөхөх</v>
      </c>
      <c r="E35" s="10"/>
    </row>
    <row r="36" spans="1:6" x14ac:dyDescent="0.2">
      <c r="A36" s="660"/>
      <c r="B36" s="36" t="s">
        <v>30</v>
      </c>
      <c r="C36" s="34"/>
      <c r="D36" s="10" t="str">
        <f>+IF(C36&gt;0,IF(C36&lt;=C35,"","Зөвхөн эмэгтэй ажилтнуудын тоог оруулна уу!"),"Утга нөхөх")</f>
        <v>Утга нөхөх</v>
      </c>
      <c r="E36" s="10"/>
    </row>
    <row r="37" spans="1:6" x14ac:dyDescent="0.2">
      <c r="A37" s="663">
        <v>9</v>
      </c>
      <c r="B37" s="26" t="s">
        <v>32</v>
      </c>
      <c r="C37" s="40"/>
      <c r="D37" s="10" t="str">
        <f>+IF(C37&gt;0,"","Сонгох")</f>
        <v>Сонгох</v>
      </c>
      <c r="E37" s="10"/>
    </row>
    <row r="38" spans="1:6" x14ac:dyDescent="0.2">
      <c r="A38" s="663"/>
      <c r="B38" s="41" t="s">
        <v>38</v>
      </c>
      <c r="C38" s="38"/>
      <c r="D38" s="10" t="str">
        <f>+IF(C38&gt;0,"","Утга нөхөх")</f>
        <v>Утга нөхөх</v>
      </c>
      <c r="E38" s="10"/>
    </row>
    <row r="39" spans="1:6" x14ac:dyDescent="0.2">
      <c r="A39" s="663"/>
      <c r="B39" s="41" t="s">
        <v>40</v>
      </c>
      <c r="C39" s="38"/>
      <c r="D39" s="10" t="str">
        <f>+IF(C39&gt;0,"","Утга нөхөх")</f>
        <v>Утга нөхөх</v>
      </c>
      <c r="E39" s="10"/>
    </row>
    <row r="40" spans="1:6" x14ac:dyDescent="0.2">
      <c r="A40" s="663">
        <v>10</v>
      </c>
      <c r="B40" s="661" t="s">
        <v>1146</v>
      </c>
      <c r="C40" s="662"/>
      <c r="D40" s="10"/>
      <c r="E40" s="10"/>
    </row>
    <row r="41" spans="1:6" x14ac:dyDescent="0.2">
      <c r="A41" s="663"/>
      <c r="B41" s="48" t="s">
        <v>41</v>
      </c>
      <c r="C41" s="109"/>
      <c r="D41" s="10" t="str">
        <f>IF(C41&gt;200000,"","Заавал нөхнө үү!")</f>
        <v>Заавал нөхнө үү!</v>
      </c>
      <c r="E41" s="10"/>
    </row>
    <row r="42" spans="1:6" ht="15" x14ac:dyDescent="0.25">
      <c r="A42" s="663"/>
      <c r="B42" s="48" t="s">
        <v>1238</v>
      </c>
      <c r="C42" s="402"/>
      <c r="D42" s="10" t="str">
        <f>IF(C42&gt;0,"","Тус майл хаягаар СЗХ-оос гаргаж буй шийдвэрүүдтэй холбоотой бүхий л төрлийн мэдээлэл хүргүүлэх тул заавал нөхнө үү!")</f>
        <v>Тус майл хаягаар СЗХ-оос гаргаж буй шийдвэрүүдтэй холбоотой бүхий л төрлийн мэдээлэл хүргүүлэх тул заавал нөхнө үү!</v>
      </c>
      <c r="E42" s="10"/>
    </row>
    <row r="43" spans="1:6" x14ac:dyDescent="0.2">
      <c r="A43" s="663"/>
      <c r="B43" s="48" t="s">
        <v>1114</v>
      </c>
      <c r="C43" s="109"/>
      <c r="D43" s="10" t="str">
        <f>IF(C43&gt;80000000,"","Заавал нөхнө үү!")</f>
        <v>Заавал нөхнө үү!</v>
      </c>
      <c r="E43" s="10"/>
    </row>
    <row r="44" spans="1:6" x14ac:dyDescent="0.2">
      <c r="A44" s="43">
        <v>15</v>
      </c>
      <c r="B44" s="42" t="s">
        <v>33</v>
      </c>
      <c r="C44" s="364"/>
      <c r="D44" s="10" t="str">
        <f>+IF(C44&gt;0,IF(C44&lt;F44,"","мянган төгрөгөөр шивнэ үү"),"Утга нөхөх")</f>
        <v>Утга нөхөх</v>
      </c>
      <c r="E44" s="10"/>
      <c r="F44" s="20">
        <v>100000000</v>
      </c>
    </row>
    <row r="45" spans="1:6" x14ac:dyDescent="0.2">
      <c r="A45" s="43">
        <v>16</v>
      </c>
      <c r="B45" s="42" t="s">
        <v>39</v>
      </c>
      <c r="C45" s="364"/>
      <c r="D45" s="10" t="str">
        <f>+IF(C45&gt;0,IF(C45&lt;F45,"","мянган төгрөгөөр шивнэ үү"),"Утга нөхөх")</f>
        <v>Утга нөхөх</v>
      </c>
      <c r="E45" s="10"/>
      <c r="F45" s="20">
        <v>50000000</v>
      </c>
    </row>
    <row r="46" spans="1:6" x14ac:dyDescent="0.2">
      <c r="A46" s="664">
        <v>17</v>
      </c>
      <c r="B46" s="665" t="s">
        <v>34</v>
      </c>
      <c r="C46" s="665"/>
    </row>
    <row r="47" spans="1:6" x14ac:dyDescent="0.2">
      <c r="A47" s="664"/>
      <c r="B47" s="45" t="s">
        <v>1115</v>
      </c>
      <c r="C47" s="46"/>
      <c r="D47" s="10" t="str">
        <f>IF(C47&gt;0,IF(C50&gt;0,"","C50 нүдэнд харгалзах дүнг оруулна уу"),"")</f>
        <v/>
      </c>
      <c r="E47" s="10"/>
    </row>
    <row r="48" spans="1:6" x14ac:dyDescent="0.2">
      <c r="A48" s="664"/>
      <c r="B48" s="45" t="s">
        <v>1116</v>
      </c>
      <c r="C48" s="46"/>
      <c r="D48" s="10" t="str">
        <f>IF(C48&gt;0,IF(C51&gt;0,"","C51 нүдэнд харгалзах дүнг оруулна уу"),"")</f>
        <v/>
      </c>
      <c r="E48" s="10"/>
    </row>
    <row r="49" spans="1:7" x14ac:dyDescent="0.2">
      <c r="A49" s="664"/>
      <c r="B49" s="665" t="s">
        <v>35</v>
      </c>
      <c r="C49" s="665"/>
      <c r="D49" s="10"/>
      <c r="E49" s="10"/>
    </row>
    <row r="50" spans="1:7" x14ac:dyDescent="0.2">
      <c r="A50" s="664"/>
      <c r="B50" s="45" t="s">
        <v>1117</v>
      </c>
      <c r="C50" s="47"/>
      <c r="D50" s="10"/>
      <c r="E50" s="10"/>
    </row>
    <row r="51" spans="1:7" x14ac:dyDescent="0.2">
      <c r="A51" s="664"/>
      <c r="B51" s="45" t="s">
        <v>1118</v>
      </c>
      <c r="C51" s="47"/>
      <c r="D51" s="10"/>
      <c r="E51" s="10"/>
    </row>
    <row r="52" spans="1:7" ht="25.5" x14ac:dyDescent="0.2">
      <c r="A52" s="573">
        <v>18</v>
      </c>
      <c r="B52" s="600" t="s">
        <v>1165</v>
      </c>
      <c r="C52" s="601"/>
      <c r="D52" s="10" t="str">
        <f>+IF(C52&gt;0,"","Утга нөхөх")</f>
        <v>Утга нөхөх</v>
      </c>
      <c r="E52" s="10"/>
    </row>
    <row r="53" spans="1:7" x14ac:dyDescent="0.2">
      <c r="A53" s="51"/>
      <c r="B53" s="52"/>
      <c r="C53" s="576"/>
      <c r="D53" s="10"/>
      <c r="E53" s="10"/>
    </row>
    <row r="54" spans="1:7" x14ac:dyDescent="0.2">
      <c r="A54" s="51"/>
      <c r="B54" s="52"/>
      <c r="C54" s="576"/>
      <c r="D54" s="10"/>
      <c r="E54" s="10"/>
    </row>
    <row r="55" spans="1:7" x14ac:dyDescent="0.2">
      <c r="A55" s="51"/>
      <c r="B55" s="52"/>
      <c r="C55" s="11"/>
    </row>
    <row r="56" spans="1:7" x14ac:dyDescent="0.2">
      <c r="A56" s="666" t="s">
        <v>36</v>
      </c>
      <c r="B56" s="666"/>
      <c r="C56" s="12"/>
      <c r="D56" s="12"/>
      <c r="E56" s="12"/>
      <c r="F56" s="13"/>
      <c r="G56" s="14"/>
    </row>
    <row r="57" spans="1:7" x14ac:dyDescent="0.2">
      <c r="A57" s="15"/>
      <c r="B57" s="53"/>
      <c r="C57" s="12"/>
      <c r="D57" s="12"/>
      <c r="E57" s="12"/>
      <c r="F57" s="13"/>
      <c r="G57" s="14"/>
    </row>
    <row r="58" spans="1:7" x14ac:dyDescent="0.2">
      <c r="A58" s="17" t="s">
        <v>37</v>
      </c>
      <c r="B58" s="17"/>
      <c r="C58" s="18"/>
      <c r="F58" s="13"/>
      <c r="G58" s="14"/>
    </row>
    <row r="59" spans="1:7" x14ac:dyDescent="0.2">
      <c r="A59" s="50"/>
      <c r="B59" s="16"/>
      <c r="C59" s="12"/>
      <c r="D59" s="12"/>
      <c r="E59" s="12"/>
      <c r="F59" s="13"/>
      <c r="G59" s="14"/>
    </row>
    <row r="60" spans="1:7" x14ac:dyDescent="0.2">
      <c r="A60" s="50"/>
      <c r="B60" s="658" t="s">
        <v>1096</v>
      </c>
      <c r="C60" s="658"/>
    </row>
    <row r="61" spans="1:7" x14ac:dyDescent="0.2">
      <c r="A61" s="50"/>
      <c r="B61" s="19"/>
      <c r="C61" s="19"/>
    </row>
    <row r="62" spans="1:7" x14ac:dyDescent="0.2">
      <c r="A62" s="50"/>
      <c r="B62" s="658" t="s">
        <v>1097</v>
      </c>
      <c r="C62" s="658"/>
    </row>
    <row r="63" spans="1:7" x14ac:dyDescent="0.2">
      <c r="A63" s="50"/>
      <c r="B63" s="19"/>
      <c r="C63" s="19"/>
    </row>
    <row r="64" spans="1:7" x14ac:dyDescent="0.2">
      <c r="A64" s="50"/>
      <c r="B64" s="658"/>
      <c r="C64" s="658"/>
    </row>
  </sheetData>
  <sheetProtection algorithmName="SHA-512" hashValue="Q/m7Ur0k9nA5IQITO1eGuCSaBVqmV6ks1bw5vCft0QOO9TA+a3Qq8cPn2F6sJd7XwiHZrIme+xN8C5al+Z/y3g==" saltValue="tef9uiH6GqDhpUOBu2eZ8A==" spinCount="100000" sheet="1" objects="1" scenarios="1"/>
  <mergeCells count="21">
    <mergeCell ref="B62:C62"/>
    <mergeCell ref="B64:C64"/>
    <mergeCell ref="A37:A39"/>
    <mergeCell ref="A40:A43"/>
    <mergeCell ref="A46:A51"/>
    <mergeCell ref="B46:C46"/>
    <mergeCell ref="B49:C49"/>
    <mergeCell ref="A56:B56"/>
    <mergeCell ref="A16:A22"/>
    <mergeCell ref="A23:A27"/>
    <mergeCell ref="A28:A33"/>
    <mergeCell ref="B60:C60"/>
    <mergeCell ref="B34:C34"/>
    <mergeCell ref="A35:A36"/>
    <mergeCell ref="B40:C40"/>
    <mergeCell ref="A10:A15"/>
    <mergeCell ref="A2:C2"/>
    <mergeCell ref="A3:C3"/>
    <mergeCell ref="A4:C4"/>
    <mergeCell ref="A7:B7"/>
    <mergeCell ref="B9:C9"/>
  </mergeCells>
  <dataValidations count="7">
    <dataValidation type="list" allowBlank="1" showInputMessage="1" showErrorMessage="1" errorTitle="Сонгох" error="Тохирох утгыг сонгох_x000a_" sqref="C37" xr:uid="{00000000-0002-0000-0100-000000000000}">
      <formula1>$H$11:$H$12</formula1>
    </dataValidation>
    <dataValidation type="whole" allowBlank="1" showInputMessage="1" showErrorMessage="1" error="Зөвхөн эмэгтэй ажилтны тоог оруулна уу!" sqref="C36" xr:uid="{00000000-0002-0000-0100-000001000000}">
      <formula1>0</formula1>
      <formula2>C35</formula2>
    </dataValidation>
    <dataValidation type="whole" allowBlank="1" showInputMessage="1" showErrorMessage="1" error="СМА-д хүргүүлсэн гүйлгээний ТООг оруулна уу" sqref="C47:C48" xr:uid="{00000000-0002-0000-0100-000002000000}">
      <formula1>1</formula1>
      <formula2>10000</formula2>
    </dataValidation>
    <dataValidation type="decimal" allowBlank="1" showInputMessage="1" showErrorMessage="1" error="20 сая төгрөгөөс дээш бэлэн мөнгөний гүйлгээний ДҮНг оруулна уу!" sqref="C50" xr:uid="{00000000-0002-0000-0100-000003000000}">
      <formula1>20000000</formula1>
      <formula2>1E+37</formula2>
    </dataValidation>
    <dataValidation type="decimal" allowBlank="1" showInputMessage="1" showErrorMessage="1" error="Сэжигтэй гүйлгээний ДҮНг оруулна уу." sqref="C51" xr:uid="{00000000-0002-0000-0100-000004000000}">
      <formula1>1000000</formula1>
      <formula2>1E+34</formula2>
    </dataValidation>
    <dataValidation type="whole" allowBlank="1" showInputMessage="1" showErrorMessage="1" error="Харилцагчдийн тоог оруулна уу." sqref="C11:C15" xr:uid="{00000000-0002-0000-0100-000005000000}">
      <formula1>0</formula1>
      <formula2>2000000</formula2>
    </dataValidation>
    <dataValidation type="whole" allowBlank="1" showInputMessage="1" showErrorMessage="1" error="Зээлдэгчдийн тоог оруулна уу." sqref="C17:C18 C20:C22 C24:C27 C29:C33" xr:uid="{00000000-0002-0000-0100-000006000000}">
      <formula1>0</formula1>
      <formula2>2000000</formula2>
    </dataValidation>
  </dataValidations>
  <pageMargins left="0.7" right="0.7" top="0.75" bottom="0.75" header="0.3" footer="0.3"/>
  <pageSetup paperSize="9" scale="46"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pageSetUpPr fitToPage="1"/>
  </sheetPr>
  <dimension ref="A2:R88"/>
  <sheetViews>
    <sheetView workbookViewId="0">
      <pane xSplit="3" ySplit="9" topLeftCell="D40" activePane="bottomRight" state="frozen"/>
      <selection pane="topRight" activeCell="D1" sqref="D1"/>
      <selection pane="bottomLeft" activeCell="A10" sqref="A10"/>
      <selection pane="bottomRight"/>
    </sheetView>
  </sheetViews>
  <sheetFormatPr defaultRowHeight="12" x14ac:dyDescent="0.2"/>
  <cols>
    <col min="1" max="1" width="39.5703125" style="499" customWidth="1"/>
    <col min="2" max="2" width="13.7109375" style="518" customWidth="1"/>
    <col min="3" max="3" width="8" style="518" bestFit="1" customWidth="1"/>
    <col min="4" max="4" width="14.140625" style="518" customWidth="1"/>
    <col min="5" max="5" width="8" style="508" bestFit="1" customWidth="1"/>
    <col min="6" max="6" width="9.140625" style="519"/>
    <col min="7" max="7" width="15.5703125" style="518" customWidth="1"/>
    <col min="8" max="8" width="8" style="508" bestFit="1" customWidth="1"/>
    <col min="9" max="9" width="18" style="508" customWidth="1"/>
    <col min="10" max="10" width="14.85546875" style="518" customWidth="1"/>
    <col min="11" max="11" width="8" style="518" bestFit="1" customWidth="1"/>
    <col min="12" max="13" width="14.85546875" style="518" customWidth="1"/>
    <col min="14" max="14" width="14.85546875" style="508" customWidth="1"/>
    <col min="15" max="15" width="11.140625" style="519" customWidth="1"/>
    <col min="16" max="16" width="12.28515625" style="519" customWidth="1"/>
    <col min="17" max="17" width="24.85546875" style="497" bestFit="1" customWidth="1"/>
    <col min="18" max="18" width="18.42578125" style="602" customWidth="1"/>
    <col min="19" max="16384" width="9.140625" style="499"/>
  </cols>
  <sheetData>
    <row r="2" spans="1:18" x14ac:dyDescent="0.2">
      <c r="A2" s="918" t="s">
        <v>875</v>
      </c>
      <c r="B2" s="918"/>
      <c r="C2" s="918"/>
      <c r="D2" s="918"/>
      <c r="E2" s="918"/>
      <c r="F2" s="918"/>
      <c r="G2" s="918"/>
      <c r="H2" s="918"/>
      <c r="I2" s="918"/>
      <c r="J2" s="918"/>
      <c r="K2" s="918"/>
      <c r="L2" s="918"/>
      <c r="M2" s="918"/>
      <c r="N2" s="918"/>
      <c r="O2" s="918"/>
      <c r="P2" s="918"/>
    </row>
    <row r="3" spans="1:18" x14ac:dyDescent="0.2">
      <c r="A3" s="919" t="str">
        <f>+BALANCE!A3</f>
        <v>БАНК БУС САНХҮҮГИЙН БАЙГУУЛЛАГЫН НЭР</v>
      </c>
      <c r="B3" s="919"/>
      <c r="C3" s="919"/>
      <c r="D3" s="919"/>
      <c r="E3" s="919"/>
      <c r="F3" s="919"/>
      <c r="G3" s="919"/>
      <c r="H3" s="919"/>
      <c r="I3" s="919"/>
      <c r="J3" s="919"/>
      <c r="K3" s="919"/>
      <c r="L3" s="919"/>
      <c r="M3" s="919"/>
      <c r="N3" s="919"/>
      <c r="O3" s="919"/>
      <c r="P3" s="919"/>
    </row>
    <row r="4" spans="1:18" x14ac:dyDescent="0.2">
      <c r="A4" s="920" t="str">
        <f>+BALANCE!A4</f>
        <v>БАНК БУС САНХҮҮГИЙН БАЙГУУЛЛАГА</v>
      </c>
      <c r="B4" s="920"/>
      <c r="C4" s="920"/>
      <c r="D4" s="920"/>
      <c r="E4" s="920"/>
      <c r="F4" s="920"/>
      <c r="G4" s="920"/>
      <c r="H4" s="920"/>
      <c r="I4" s="920"/>
      <c r="J4" s="920"/>
      <c r="K4" s="920"/>
      <c r="L4" s="920"/>
      <c r="M4" s="920"/>
      <c r="N4" s="920"/>
      <c r="O4" s="920"/>
      <c r="P4" s="920"/>
    </row>
    <row r="5" spans="1:18" x14ac:dyDescent="0.2">
      <c r="A5" s="500"/>
      <c r="B5" s="500"/>
      <c r="C5" s="500"/>
      <c r="D5" s="500"/>
      <c r="E5" s="501"/>
      <c r="F5" s="502"/>
      <c r="G5" s="500"/>
      <c r="H5" s="501"/>
      <c r="I5" s="501"/>
      <c r="J5" s="500"/>
      <c r="K5" s="500"/>
      <c r="L5" s="500"/>
      <c r="M5" s="500"/>
      <c r="N5" s="501"/>
      <c r="O5" s="502"/>
      <c r="P5" s="502"/>
    </row>
    <row r="6" spans="1:18" x14ac:dyDescent="0.2">
      <c r="A6" s="550">
        <f>+BALANCE!A6</f>
        <v>44834</v>
      </c>
      <c r="B6" s="550"/>
      <c r="C6" s="550"/>
      <c r="D6" s="503"/>
      <c r="E6" s="504"/>
      <c r="F6" s="505"/>
      <c r="G6" s="506"/>
      <c r="H6" s="921"/>
      <c r="I6" s="921"/>
      <c r="J6" s="921"/>
      <c r="K6" s="507"/>
      <c r="L6" s="507"/>
      <c r="M6" s="507"/>
      <c r="O6" s="922" t="s">
        <v>439</v>
      </c>
      <c r="P6" s="922"/>
    </row>
    <row r="7" spans="1:18" ht="12.75" customHeight="1" x14ac:dyDescent="0.2">
      <c r="A7" s="899" t="s">
        <v>876</v>
      </c>
      <c r="B7" s="901" t="s">
        <v>867</v>
      </c>
      <c r="C7" s="901"/>
      <c r="D7" s="901" t="s">
        <v>877</v>
      </c>
      <c r="E7" s="901"/>
      <c r="F7" s="900" t="s">
        <v>1067</v>
      </c>
      <c r="G7" s="901" t="s">
        <v>878</v>
      </c>
      <c r="H7" s="901"/>
      <c r="I7" s="903" t="s">
        <v>1098</v>
      </c>
      <c r="J7" s="901" t="s">
        <v>879</v>
      </c>
      <c r="K7" s="901"/>
      <c r="L7" s="901"/>
      <c r="M7" s="901"/>
      <c r="N7" s="901"/>
      <c r="O7" s="897" t="s">
        <v>880</v>
      </c>
      <c r="P7" s="897"/>
    </row>
    <row r="8" spans="1:18" ht="23.25" customHeight="1" x14ac:dyDescent="0.2">
      <c r="A8" s="899"/>
      <c r="B8" s="509" t="s">
        <v>881</v>
      </c>
      <c r="C8" s="510" t="s">
        <v>882</v>
      </c>
      <c r="D8" s="509" t="s">
        <v>881</v>
      </c>
      <c r="E8" s="510" t="s">
        <v>882</v>
      </c>
      <c r="F8" s="900"/>
      <c r="G8" s="509" t="s">
        <v>881</v>
      </c>
      <c r="H8" s="510" t="s">
        <v>882</v>
      </c>
      <c r="I8" s="904"/>
      <c r="J8" s="509" t="s">
        <v>881</v>
      </c>
      <c r="K8" s="510" t="s">
        <v>882</v>
      </c>
      <c r="L8" s="509" t="s">
        <v>470</v>
      </c>
      <c r="M8" s="509" t="s">
        <v>1164</v>
      </c>
      <c r="N8" s="510" t="s">
        <v>1066</v>
      </c>
      <c r="O8" s="511" t="s">
        <v>883</v>
      </c>
      <c r="P8" s="511" t="s">
        <v>884</v>
      </c>
    </row>
    <row r="9" spans="1:18" s="512" customFormat="1" x14ac:dyDescent="0.2">
      <c r="A9" s="385" t="s">
        <v>885</v>
      </c>
      <c r="B9" s="553">
        <f>+SUM(B10:B28)</f>
        <v>0</v>
      </c>
      <c r="C9" s="369">
        <f>+SUM(C10:C28)</f>
        <v>0</v>
      </c>
      <c r="D9" s="553">
        <f t="shared" ref="D9:N9" si="0">+SUM(D10:D28)</f>
        <v>0</v>
      </c>
      <c r="E9" s="369">
        <f t="shared" si="0"/>
        <v>0</v>
      </c>
      <c r="F9" s="370" t="e">
        <f>(D10*F10+D11*F11+D12*F12+D13*F13+D14*F14+D15*F15+D16*F16+D17*F17+D18*F18+D19*F19+D20*F20+D21*F21+D22*F22+D23*F23+D24*F24+D25*F25+D26*F26+D27*F27+D28*F28)/D9</f>
        <v>#DIV/0!</v>
      </c>
      <c r="G9" s="553">
        <f t="shared" si="0"/>
        <v>0</v>
      </c>
      <c r="H9" s="369">
        <f t="shared" si="0"/>
        <v>0</v>
      </c>
      <c r="I9" s="553">
        <f>+SUM(I10:I28)</f>
        <v>0</v>
      </c>
      <c r="J9" s="553">
        <f t="shared" si="0"/>
        <v>0</v>
      </c>
      <c r="K9" s="369">
        <f t="shared" si="0"/>
        <v>0</v>
      </c>
      <c r="L9" s="553">
        <f t="shared" si="0"/>
        <v>0</v>
      </c>
      <c r="M9" s="553">
        <f t="shared" si="0"/>
        <v>0</v>
      </c>
      <c r="N9" s="553">
        <f t="shared" si="0"/>
        <v>0</v>
      </c>
      <c r="O9" s="371">
        <f>+MAX(O10:O28)</f>
        <v>0</v>
      </c>
      <c r="P9" s="371">
        <f t="array" ref="P9">MIN(IF(P10:P29&gt;0,P10:P29))</f>
        <v>0</v>
      </c>
      <c r="Q9" s="497"/>
      <c r="R9" s="603"/>
    </row>
    <row r="10" spans="1:18" ht="24" x14ac:dyDescent="0.2">
      <c r="A10" s="513" t="s">
        <v>886</v>
      </c>
      <c r="B10" s="554"/>
      <c r="C10" s="372"/>
      <c r="D10" s="554"/>
      <c r="E10" s="373"/>
      <c r="F10" s="534"/>
      <c r="G10" s="554"/>
      <c r="H10" s="373"/>
      <c r="I10" s="555"/>
      <c r="J10" s="556">
        <f t="shared" ref="J10:J28" si="1">B10+D10-G10+I10</f>
        <v>0</v>
      </c>
      <c r="K10" s="373"/>
      <c r="L10" s="554"/>
      <c r="M10" s="554"/>
      <c r="N10" s="554"/>
      <c r="O10" s="374"/>
      <c r="P10" s="374"/>
      <c r="Q10" s="497" t="str">
        <f>+IF(D10&gt;0,IF(AND(F10&gt;0,F10&lt;0.15,O10&gt;0,O10&lt;0.15,P10&gt;0,P10&lt;0.15),"","ЗЖДХ болон дээд, доод хүүг сараар шивнэ үү."),"")</f>
        <v/>
      </c>
      <c r="R10" s="603" t="str">
        <f>IF(SUM(L10:N10)=J10,"",IF(ROUND(J10-L10-M10-N10,2)=ROUND($Q$71,2),"","Зээлийн эцсийн үлдэгдлийн дүн зөрүүтэй"))</f>
        <v/>
      </c>
    </row>
    <row r="11" spans="1:18" x14ac:dyDescent="0.2">
      <c r="A11" s="513" t="s">
        <v>887</v>
      </c>
      <c r="B11" s="554"/>
      <c r="C11" s="372"/>
      <c r="D11" s="554"/>
      <c r="E11" s="373"/>
      <c r="F11" s="534"/>
      <c r="G11" s="554"/>
      <c r="H11" s="373"/>
      <c r="I11" s="555"/>
      <c r="J11" s="556">
        <f t="shared" si="1"/>
        <v>0</v>
      </c>
      <c r="K11" s="373"/>
      <c r="L11" s="554"/>
      <c r="M11" s="554"/>
      <c r="N11" s="554"/>
      <c r="O11" s="374"/>
      <c r="P11" s="374"/>
      <c r="Q11" s="497" t="str">
        <f t="shared" ref="Q11:Q29" si="2">+IF(D11&gt;0,IF(AND(F11&gt;0,F11&lt;0.15,O11&gt;0,O11&lt;0.15,P11&gt;0,P11&lt;0.15),"","ЗЖДХ болон дээд, доод хүүг сараар шивнэ үү."),"")</f>
        <v/>
      </c>
      <c r="R11" s="603" t="str">
        <f t="shared" ref="R11:R50" si="3">IF(SUM(L11:N11)=J11,"",IF(ROUND(J11-L11-M11-N11,2)=ROUND($Q$71,2),"","Зээлийн эцсийн үлдэгдлийн дүн зөрүүтэй"))</f>
        <v/>
      </c>
    </row>
    <row r="12" spans="1:18" x14ac:dyDescent="0.2">
      <c r="A12" s="514" t="s">
        <v>888</v>
      </c>
      <c r="B12" s="554"/>
      <c r="C12" s="375"/>
      <c r="D12" s="557"/>
      <c r="E12" s="376"/>
      <c r="F12" s="534"/>
      <c r="G12" s="557"/>
      <c r="H12" s="376"/>
      <c r="I12" s="558"/>
      <c r="J12" s="556">
        <f t="shared" si="1"/>
        <v>0</v>
      </c>
      <c r="K12" s="373"/>
      <c r="L12" s="557"/>
      <c r="M12" s="557"/>
      <c r="N12" s="557"/>
      <c r="O12" s="374"/>
      <c r="P12" s="374"/>
      <c r="Q12" s="497" t="str">
        <f t="shared" si="2"/>
        <v/>
      </c>
      <c r="R12" s="603" t="str">
        <f t="shared" si="3"/>
        <v/>
      </c>
    </row>
    <row r="13" spans="1:18" x14ac:dyDescent="0.2">
      <c r="A13" s="514" t="s">
        <v>889</v>
      </c>
      <c r="B13" s="554"/>
      <c r="C13" s="375"/>
      <c r="D13" s="557"/>
      <c r="E13" s="376"/>
      <c r="F13" s="534"/>
      <c r="G13" s="557"/>
      <c r="H13" s="376"/>
      <c r="I13" s="558"/>
      <c r="J13" s="556">
        <f t="shared" si="1"/>
        <v>0</v>
      </c>
      <c r="K13" s="373"/>
      <c r="L13" s="557"/>
      <c r="M13" s="557"/>
      <c r="N13" s="557"/>
      <c r="O13" s="374"/>
      <c r="P13" s="374"/>
      <c r="Q13" s="497" t="str">
        <f t="shared" si="2"/>
        <v/>
      </c>
      <c r="R13" s="603" t="str">
        <f t="shared" si="3"/>
        <v/>
      </c>
    </row>
    <row r="14" spans="1:18" ht="24" x14ac:dyDescent="0.2">
      <c r="A14" s="514" t="s">
        <v>890</v>
      </c>
      <c r="B14" s="554"/>
      <c r="C14" s="375"/>
      <c r="D14" s="557"/>
      <c r="E14" s="376"/>
      <c r="F14" s="534"/>
      <c r="G14" s="557"/>
      <c r="H14" s="376"/>
      <c r="I14" s="558"/>
      <c r="J14" s="556">
        <f t="shared" si="1"/>
        <v>0</v>
      </c>
      <c r="K14" s="373"/>
      <c r="L14" s="557"/>
      <c r="M14" s="557"/>
      <c r="N14" s="557"/>
      <c r="O14" s="374"/>
      <c r="P14" s="374"/>
      <c r="Q14" s="497" t="str">
        <f t="shared" si="2"/>
        <v/>
      </c>
      <c r="R14" s="603" t="str">
        <f t="shared" si="3"/>
        <v/>
      </c>
    </row>
    <row r="15" spans="1:18" x14ac:dyDescent="0.2">
      <c r="A15" s="514" t="s">
        <v>891</v>
      </c>
      <c r="B15" s="554"/>
      <c r="C15" s="375"/>
      <c r="D15" s="557"/>
      <c r="E15" s="376"/>
      <c r="F15" s="534"/>
      <c r="G15" s="557"/>
      <c r="H15" s="376"/>
      <c r="I15" s="558"/>
      <c r="J15" s="556">
        <f t="shared" si="1"/>
        <v>0</v>
      </c>
      <c r="K15" s="373"/>
      <c r="L15" s="557"/>
      <c r="M15" s="557"/>
      <c r="N15" s="557"/>
      <c r="O15" s="374"/>
      <c r="P15" s="374"/>
      <c r="Q15" s="497" t="str">
        <f t="shared" si="2"/>
        <v/>
      </c>
      <c r="R15" s="603" t="str">
        <f t="shared" si="3"/>
        <v/>
      </c>
    </row>
    <row r="16" spans="1:18" x14ac:dyDescent="0.2">
      <c r="A16" s="514" t="s">
        <v>892</v>
      </c>
      <c r="B16" s="554"/>
      <c r="C16" s="375"/>
      <c r="D16" s="557"/>
      <c r="E16" s="376"/>
      <c r="F16" s="534"/>
      <c r="G16" s="557"/>
      <c r="H16" s="376"/>
      <c r="I16" s="558"/>
      <c r="J16" s="556">
        <f t="shared" si="1"/>
        <v>0</v>
      </c>
      <c r="K16" s="373"/>
      <c r="L16" s="557"/>
      <c r="M16" s="557"/>
      <c r="N16" s="557"/>
      <c r="O16" s="374"/>
      <c r="P16" s="374"/>
      <c r="Q16" s="497" t="str">
        <f t="shared" si="2"/>
        <v/>
      </c>
      <c r="R16" s="603" t="str">
        <f t="shared" si="3"/>
        <v/>
      </c>
    </row>
    <row r="17" spans="1:18" x14ac:dyDescent="0.2">
      <c r="A17" s="514" t="s">
        <v>893</v>
      </c>
      <c r="B17" s="554"/>
      <c r="C17" s="375"/>
      <c r="D17" s="557"/>
      <c r="E17" s="376"/>
      <c r="F17" s="534"/>
      <c r="G17" s="557"/>
      <c r="H17" s="376"/>
      <c r="I17" s="558"/>
      <c r="J17" s="556">
        <f t="shared" si="1"/>
        <v>0</v>
      </c>
      <c r="K17" s="373"/>
      <c r="L17" s="557"/>
      <c r="M17" s="557"/>
      <c r="N17" s="557"/>
      <c r="O17" s="374"/>
      <c r="P17" s="374"/>
      <c r="Q17" s="497" t="str">
        <f t="shared" si="2"/>
        <v/>
      </c>
      <c r="R17" s="603" t="str">
        <f t="shared" si="3"/>
        <v/>
      </c>
    </row>
    <row r="18" spans="1:18" x14ac:dyDescent="0.2">
      <c r="A18" s="514" t="s">
        <v>894</v>
      </c>
      <c r="B18" s="554"/>
      <c r="C18" s="375"/>
      <c r="D18" s="557"/>
      <c r="E18" s="376"/>
      <c r="F18" s="534"/>
      <c r="G18" s="557"/>
      <c r="H18" s="376"/>
      <c r="I18" s="558"/>
      <c r="J18" s="556">
        <f t="shared" si="1"/>
        <v>0</v>
      </c>
      <c r="K18" s="373"/>
      <c r="L18" s="557"/>
      <c r="M18" s="557"/>
      <c r="N18" s="557"/>
      <c r="O18" s="374"/>
      <c r="P18" s="374"/>
      <c r="Q18" s="497" t="str">
        <f t="shared" si="2"/>
        <v/>
      </c>
      <c r="R18" s="603" t="str">
        <f t="shared" si="3"/>
        <v/>
      </c>
    </row>
    <row r="19" spans="1:18" ht="24" x14ac:dyDescent="0.2">
      <c r="A19" s="514" t="s">
        <v>895</v>
      </c>
      <c r="B19" s="554"/>
      <c r="C19" s="375"/>
      <c r="D19" s="557"/>
      <c r="E19" s="376"/>
      <c r="F19" s="534"/>
      <c r="G19" s="557"/>
      <c r="H19" s="376"/>
      <c r="I19" s="558"/>
      <c r="J19" s="556">
        <f t="shared" si="1"/>
        <v>0</v>
      </c>
      <c r="K19" s="373"/>
      <c r="L19" s="557"/>
      <c r="M19" s="557"/>
      <c r="N19" s="557"/>
      <c r="O19" s="374"/>
      <c r="P19" s="374"/>
      <c r="Q19" s="497" t="str">
        <f t="shared" si="2"/>
        <v/>
      </c>
      <c r="R19" s="603" t="str">
        <f t="shared" si="3"/>
        <v/>
      </c>
    </row>
    <row r="20" spans="1:18" x14ac:dyDescent="0.2">
      <c r="A20" s="514" t="s">
        <v>896</v>
      </c>
      <c r="B20" s="554"/>
      <c r="C20" s="375"/>
      <c r="D20" s="557"/>
      <c r="E20" s="376"/>
      <c r="F20" s="534"/>
      <c r="G20" s="557"/>
      <c r="H20" s="376"/>
      <c r="I20" s="558"/>
      <c r="J20" s="556">
        <f t="shared" si="1"/>
        <v>0</v>
      </c>
      <c r="K20" s="373"/>
      <c r="L20" s="557"/>
      <c r="M20" s="557"/>
      <c r="N20" s="557"/>
      <c r="O20" s="374"/>
      <c r="P20" s="374"/>
      <c r="Q20" s="497" t="str">
        <f t="shared" si="2"/>
        <v/>
      </c>
      <c r="R20" s="603" t="str">
        <f t="shared" si="3"/>
        <v/>
      </c>
    </row>
    <row r="21" spans="1:18" x14ac:dyDescent="0.2">
      <c r="A21" s="514" t="s">
        <v>897</v>
      </c>
      <c r="B21" s="554"/>
      <c r="C21" s="375"/>
      <c r="D21" s="557"/>
      <c r="E21" s="376"/>
      <c r="F21" s="534"/>
      <c r="G21" s="557"/>
      <c r="H21" s="376"/>
      <c r="I21" s="558"/>
      <c r="J21" s="556">
        <f t="shared" si="1"/>
        <v>0</v>
      </c>
      <c r="K21" s="373"/>
      <c r="L21" s="557"/>
      <c r="M21" s="557"/>
      <c r="N21" s="557"/>
      <c r="O21" s="374"/>
      <c r="P21" s="374"/>
      <c r="Q21" s="497" t="str">
        <f t="shared" si="2"/>
        <v/>
      </c>
      <c r="R21" s="603" t="str">
        <f t="shared" si="3"/>
        <v/>
      </c>
    </row>
    <row r="22" spans="1:18" x14ac:dyDescent="0.2">
      <c r="A22" s="514" t="s">
        <v>898</v>
      </c>
      <c r="B22" s="554"/>
      <c r="C22" s="375"/>
      <c r="D22" s="557"/>
      <c r="E22" s="376"/>
      <c r="F22" s="534"/>
      <c r="G22" s="557"/>
      <c r="H22" s="376"/>
      <c r="I22" s="558"/>
      <c r="J22" s="556">
        <f t="shared" si="1"/>
        <v>0</v>
      </c>
      <c r="K22" s="373"/>
      <c r="L22" s="557"/>
      <c r="M22" s="557"/>
      <c r="N22" s="557"/>
      <c r="O22" s="374"/>
      <c r="P22" s="374"/>
      <c r="Q22" s="497" t="str">
        <f t="shared" si="2"/>
        <v/>
      </c>
      <c r="R22" s="603" t="str">
        <f t="shared" si="3"/>
        <v/>
      </c>
    </row>
    <row r="23" spans="1:18" ht="24" x14ac:dyDescent="0.2">
      <c r="A23" s="514" t="s">
        <v>899</v>
      </c>
      <c r="B23" s="554"/>
      <c r="C23" s="375"/>
      <c r="D23" s="557"/>
      <c r="E23" s="376"/>
      <c r="F23" s="534"/>
      <c r="G23" s="557"/>
      <c r="H23" s="376"/>
      <c r="I23" s="558"/>
      <c r="J23" s="556">
        <f t="shared" si="1"/>
        <v>0</v>
      </c>
      <c r="K23" s="373"/>
      <c r="L23" s="557"/>
      <c r="M23" s="557"/>
      <c r="N23" s="557"/>
      <c r="O23" s="374"/>
      <c r="P23" s="374"/>
      <c r="Q23" s="497" t="str">
        <f t="shared" si="2"/>
        <v/>
      </c>
      <c r="R23" s="603" t="str">
        <f t="shared" si="3"/>
        <v/>
      </c>
    </row>
    <row r="24" spans="1:18" ht="24" x14ac:dyDescent="0.2">
      <c r="A24" s="514" t="s">
        <v>900</v>
      </c>
      <c r="B24" s="554"/>
      <c r="C24" s="375"/>
      <c r="D24" s="557"/>
      <c r="E24" s="376"/>
      <c r="F24" s="534"/>
      <c r="G24" s="557"/>
      <c r="H24" s="376"/>
      <c r="I24" s="558"/>
      <c r="J24" s="556">
        <f t="shared" si="1"/>
        <v>0</v>
      </c>
      <c r="K24" s="373"/>
      <c r="L24" s="557"/>
      <c r="M24" s="557"/>
      <c r="N24" s="557"/>
      <c r="O24" s="374"/>
      <c r="P24" s="374"/>
      <c r="Q24" s="497" t="str">
        <f t="shared" si="2"/>
        <v/>
      </c>
      <c r="R24" s="603" t="str">
        <f t="shared" si="3"/>
        <v/>
      </c>
    </row>
    <row r="25" spans="1:18" ht="24" x14ac:dyDescent="0.2">
      <c r="A25" s="514" t="s">
        <v>901</v>
      </c>
      <c r="B25" s="554"/>
      <c r="C25" s="375"/>
      <c r="D25" s="557"/>
      <c r="E25" s="376"/>
      <c r="F25" s="534"/>
      <c r="G25" s="557"/>
      <c r="H25" s="376"/>
      <c r="I25" s="558"/>
      <c r="J25" s="556">
        <f t="shared" si="1"/>
        <v>0</v>
      </c>
      <c r="K25" s="373"/>
      <c r="L25" s="557"/>
      <c r="M25" s="557"/>
      <c r="N25" s="557"/>
      <c r="O25" s="374"/>
      <c r="P25" s="374"/>
      <c r="Q25" s="497" t="str">
        <f t="shared" si="2"/>
        <v/>
      </c>
      <c r="R25" s="603" t="str">
        <f t="shared" si="3"/>
        <v/>
      </c>
    </row>
    <row r="26" spans="1:18" x14ac:dyDescent="0.2">
      <c r="A26" s="514" t="s">
        <v>902</v>
      </c>
      <c r="B26" s="554"/>
      <c r="C26" s="375"/>
      <c r="D26" s="557"/>
      <c r="E26" s="376"/>
      <c r="F26" s="534"/>
      <c r="G26" s="557"/>
      <c r="H26" s="376"/>
      <c r="I26" s="558"/>
      <c r="J26" s="556">
        <f t="shared" si="1"/>
        <v>0</v>
      </c>
      <c r="K26" s="373"/>
      <c r="L26" s="557"/>
      <c r="M26" s="557"/>
      <c r="N26" s="557"/>
      <c r="O26" s="374"/>
      <c r="P26" s="374"/>
      <c r="Q26" s="497" t="str">
        <f t="shared" si="2"/>
        <v/>
      </c>
      <c r="R26" s="603" t="str">
        <f t="shared" si="3"/>
        <v/>
      </c>
    </row>
    <row r="27" spans="1:18" x14ac:dyDescent="0.2">
      <c r="A27" s="514" t="s">
        <v>903</v>
      </c>
      <c r="B27" s="554"/>
      <c r="C27" s="375"/>
      <c r="D27" s="557"/>
      <c r="E27" s="376"/>
      <c r="F27" s="534"/>
      <c r="G27" s="557"/>
      <c r="H27" s="376"/>
      <c r="I27" s="558"/>
      <c r="J27" s="556">
        <f t="shared" si="1"/>
        <v>0</v>
      </c>
      <c r="K27" s="373"/>
      <c r="L27" s="557"/>
      <c r="M27" s="557"/>
      <c r="N27" s="557"/>
      <c r="O27" s="374"/>
      <c r="P27" s="374"/>
      <c r="Q27" s="497" t="str">
        <f t="shared" si="2"/>
        <v/>
      </c>
      <c r="R27" s="603" t="str">
        <f t="shared" si="3"/>
        <v/>
      </c>
    </row>
    <row r="28" spans="1:18" x14ac:dyDescent="0.2">
      <c r="A28" s="514" t="s">
        <v>904</v>
      </c>
      <c r="B28" s="554"/>
      <c r="C28" s="375"/>
      <c r="D28" s="557"/>
      <c r="E28" s="376"/>
      <c r="F28" s="534"/>
      <c r="G28" s="557"/>
      <c r="H28" s="376"/>
      <c r="I28" s="558"/>
      <c r="J28" s="556">
        <f t="shared" si="1"/>
        <v>0</v>
      </c>
      <c r="K28" s="373"/>
      <c r="L28" s="557"/>
      <c r="M28" s="557"/>
      <c r="N28" s="557"/>
      <c r="O28" s="374"/>
      <c r="P28" s="374"/>
      <c r="Q28" s="497" t="str">
        <f t="shared" si="2"/>
        <v/>
      </c>
      <c r="R28" s="603" t="str">
        <f t="shared" si="3"/>
        <v/>
      </c>
    </row>
    <row r="29" spans="1:18" ht="24" x14ac:dyDescent="0.2">
      <c r="A29" s="515" t="s">
        <v>905</v>
      </c>
      <c r="B29" s="560"/>
      <c r="C29" s="379"/>
      <c r="D29" s="560"/>
      <c r="E29" s="380"/>
      <c r="F29" s="381"/>
      <c r="G29" s="560"/>
      <c r="H29" s="380"/>
      <c r="I29" s="561"/>
      <c r="J29" s="559">
        <f>+B29+D29-G29+I29</f>
        <v>0</v>
      </c>
      <c r="K29" s="574"/>
      <c r="L29" s="560"/>
      <c r="M29" s="560"/>
      <c r="N29" s="560"/>
      <c r="O29" s="382"/>
      <c r="P29" s="382"/>
      <c r="Q29" s="497" t="str">
        <f t="shared" si="2"/>
        <v/>
      </c>
      <c r="R29" s="603" t="str">
        <f t="shared" si="3"/>
        <v/>
      </c>
    </row>
    <row r="30" spans="1:18" s="512" customFormat="1" x14ac:dyDescent="0.2">
      <c r="A30" s="385" t="s">
        <v>906</v>
      </c>
      <c r="B30" s="553">
        <f t="shared" ref="B30:N30" si="4">+SUM(B31:B49)</f>
        <v>0</v>
      </c>
      <c r="C30" s="369">
        <f t="shared" si="4"/>
        <v>0</v>
      </c>
      <c r="D30" s="553">
        <f t="shared" si="4"/>
        <v>0</v>
      </c>
      <c r="E30" s="369">
        <f t="shared" si="4"/>
        <v>0</v>
      </c>
      <c r="F30" s="370" t="e">
        <f>(D31*F31+D32*F32+D33*F33+D34*F34+D35*F35+D36*F36+D37*F37+D38*F38+D39*F39+D40*F40+D41*F41+D42*F42+D43*F43+D44*F44+D45*F45+D46*F46+D47*F47+D48*F48+D49*F49)/D30</f>
        <v>#DIV/0!</v>
      </c>
      <c r="G30" s="553">
        <f t="shared" si="4"/>
        <v>0</v>
      </c>
      <c r="H30" s="369">
        <f t="shared" si="4"/>
        <v>0</v>
      </c>
      <c r="I30" s="553">
        <f t="shared" si="4"/>
        <v>0</v>
      </c>
      <c r="J30" s="553">
        <f t="shared" si="4"/>
        <v>0</v>
      </c>
      <c r="K30" s="369">
        <f t="shared" si="4"/>
        <v>0</v>
      </c>
      <c r="L30" s="553">
        <f t="shared" si="4"/>
        <v>0</v>
      </c>
      <c r="M30" s="553">
        <f t="shared" si="4"/>
        <v>0</v>
      </c>
      <c r="N30" s="553">
        <f t="shared" si="4"/>
        <v>0</v>
      </c>
      <c r="O30" s="371">
        <f>+MAX(O31:O49)</f>
        <v>0</v>
      </c>
      <c r="P30" s="371">
        <f t="array" ref="P30">MIN(IF(P31:P50&gt;0,P31:P50))</f>
        <v>0</v>
      </c>
      <c r="Q30" s="497"/>
      <c r="R30" s="603"/>
    </row>
    <row r="31" spans="1:18" ht="24" x14ac:dyDescent="0.2">
      <c r="A31" s="513" t="s">
        <v>907</v>
      </c>
      <c r="B31" s="554"/>
      <c r="C31" s="372"/>
      <c r="D31" s="554"/>
      <c r="E31" s="373"/>
      <c r="F31" s="534"/>
      <c r="G31" s="554"/>
      <c r="H31" s="373"/>
      <c r="I31" s="555"/>
      <c r="J31" s="556">
        <f t="shared" ref="J31:J49" si="5">B31+D31-G31+I31</f>
        <v>0</v>
      </c>
      <c r="K31" s="373"/>
      <c r="L31" s="554"/>
      <c r="M31" s="554"/>
      <c r="N31" s="554"/>
      <c r="O31" s="374"/>
      <c r="P31" s="374"/>
      <c r="Q31" s="497" t="str">
        <f>+IF(D31&gt;0,IF(AND(F31&gt;0,F31&lt;0.15,O31&gt;0,O31&lt;0.15,P31&gt;0,P31&lt;0.15),"","ЗЖДХ болон дээд, доод хүүг сараар шивнэ үү."),"")</f>
        <v/>
      </c>
      <c r="R31" s="603" t="str">
        <f t="shared" si="3"/>
        <v/>
      </c>
    </row>
    <row r="32" spans="1:18" x14ac:dyDescent="0.2">
      <c r="A32" s="513" t="s">
        <v>908</v>
      </c>
      <c r="B32" s="554"/>
      <c r="C32" s="372"/>
      <c r="D32" s="554"/>
      <c r="E32" s="373"/>
      <c r="F32" s="534"/>
      <c r="G32" s="554"/>
      <c r="H32" s="373"/>
      <c r="I32" s="555"/>
      <c r="J32" s="556">
        <f t="shared" si="5"/>
        <v>0</v>
      </c>
      <c r="K32" s="373"/>
      <c r="L32" s="554"/>
      <c r="M32" s="554"/>
      <c r="N32" s="554"/>
      <c r="O32" s="374"/>
      <c r="P32" s="374"/>
      <c r="Q32" s="497" t="str">
        <f t="shared" ref="Q32:Q50" si="6">+IF(D32&gt;0,IF(AND(F32&gt;0,F32&lt;0.15,O32&gt;0,O32&lt;0.15,P32&gt;0,P32&lt;0.15),"","ЗЖДХ болон дээд, доод хүүг сараар шивнэ үү."),"")</f>
        <v/>
      </c>
      <c r="R32" s="603" t="str">
        <f t="shared" si="3"/>
        <v/>
      </c>
    </row>
    <row r="33" spans="1:18" x14ac:dyDescent="0.2">
      <c r="A33" s="514" t="s">
        <v>909</v>
      </c>
      <c r="B33" s="554"/>
      <c r="C33" s="375"/>
      <c r="D33" s="557"/>
      <c r="E33" s="376"/>
      <c r="F33" s="534"/>
      <c r="G33" s="557"/>
      <c r="H33" s="376"/>
      <c r="I33" s="558"/>
      <c r="J33" s="556">
        <f t="shared" si="5"/>
        <v>0</v>
      </c>
      <c r="K33" s="373"/>
      <c r="L33" s="557"/>
      <c r="M33" s="557"/>
      <c r="N33" s="557"/>
      <c r="O33" s="374"/>
      <c r="P33" s="374"/>
      <c r="Q33" s="497" t="str">
        <f t="shared" si="6"/>
        <v/>
      </c>
      <c r="R33" s="603" t="str">
        <f t="shared" si="3"/>
        <v/>
      </c>
    </row>
    <row r="34" spans="1:18" x14ac:dyDescent="0.2">
      <c r="A34" s="514" t="s">
        <v>910</v>
      </c>
      <c r="B34" s="554"/>
      <c r="C34" s="375"/>
      <c r="D34" s="557"/>
      <c r="E34" s="376"/>
      <c r="F34" s="534"/>
      <c r="G34" s="557"/>
      <c r="H34" s="376"/>
      <c r="I34" s="558"/>
      <c r="J34" s="556">
        <f t="shared" si="5"/>
        <v>0</v>
      </c>
      <c r="K34" s="373"/>
      <c r="L34" s="557"/>
      <c r="M34" s="557"/>
      <c r="N34" s="557"/>
      <c r="O34" s="374"/>
      <c r="P34" s="374"/>
      <c r="Q34" s="497" t="str">
        <f t="shared" si="6"/>
        <v/>
      </c>
      <c r="R34" s="603" t="str">
        <f t="shared" si="3"/>
        <v/>
      </c>
    </row>
    <row r="35" spans="1:18" ht="24" x14ac:dyDescent="0.2">
      <c r="A35" s="514" t="s">
        <v>911</v>
      </c>
      <c r="B35" s="554"/>
      <c r="C35" s="375"/>
      <c r="D35" s="557"/>
      <c r="E35" s="376"/>
      <c r="F35" s="534"/>
      <c r="G35" s="557"/>
      <c r="H35" s="376"/>
      <c r="I35" s="558"/>
      <c r="J35" s="556">
        <f t="shared" si="5"/>
        <v>0</v>
      </c>
      <c r="K35" s="373"/>
      <c r="L35" s="557"/>
      <c r="M35" s="557"/>
      <c r="N35" s="557"/>
      <c r="O35" s="374"/>
      <c r="P35" s="374"/>
      <c r="Q35" s="497" t="str">
        <f t="shared" si="6"/>
        <v/>
      </c>
      <c r="R35" s="603" t="str">
        <f t="shared" si="3"/>
        <v/>
      </c>
    </row>
    <row r="36" spans="1:18" x14ac:dyDescent="0.2">
      <c r="A36" s="514" t="s">
        <v>912</v>
      </c>
      <c r="B36" s="554"/>
      <c r="C36" s="375"/>
      <c r="D36" s="557"/>
      <c r="E36" s="376"/>
      <c r="F36" s="534"/>
      <c r="G36" s="557"/>
      <c r="H36" s="376"/>
      <c r="I36" s="558"/>
      <c r="J36" s="556">
        <f t="shared" si="5"/>
        <v>0</v>
      </c>
      <c r="K36" s="373"/>
      <c r="L36" s="557"/>
      <c r="M36" s="557"/>
      <c r="N36" s="557"/>
      <c r="O36" s="374"/>
      <c r="P36" s="374"/>
      <c r="Q36" s="497" t="str">
        <f t="shared" si="6"/>
        <v/>
      </c>
      <c r="R36" s="603" t="str">
        <f t="shared" si="3"/>
        <v/>
      </c>
    </row>
    <row r="37" spans="1:18" x14ac:dyDescent="0.2">
      <c r="A37" s="514" t="s">
        <v>913</v>
      </c>
      <c r="B37" s="554"/>
      <c r="C37" s="375"/>
      <c r="D37" s="557"/>
      <c r="E37" s="376"/>
      <c r="F37" s="534"/>
      <c r="G37" s="557"/>
      <c r="H37" s="376"/>
      <c r="I37" s="558"/>
      <c r="J37" s="556">
        <f t="shared" si="5"/>
        <v>0</v>
      </c>
      <c r="K37" s="373"/>
      <c r="L37" s="557"/>
      <c r="M37" s="557"/>
      <c r="N37" s="557"/>
      <c r="O37" s="374"/>
      <c r="P37" s="374"/>
      <c r="Q37" s="497" t="str">
        <f t="shared" si="6"/>
        <v/>
      </c>
      <c r="R37" s="603" t="str">
        <f t="shared" si="3"/>
        <v/>
      </c>
    </row>
    <row r="38" spans="1:18" x14ac:dyDescent="0.2">
      <c r="A38" s="514" t="s">
        <v>914</v>
      </c>
      <c r="B38" s="554"/>
      <c r="C38" s="375"/>
      <c r="D38" s="557"/>
      <c r="E38" s="376"/>
      <c r="F38" s="534"/>
      <c r="G38" s="557"/>
      <c r="H38" s="376"/>
      <c r="I38" s="558"/>
      <c r="J38" s="556">
        <f t="shared" si="5"/>
        <v>0</v>
      </c>
      <c r="K38" s="373"/>
      <c r="L38" s="557"/>
      <c r="M38" s="557"/>
      <c r="N38" s="557"/>
      <c r="O38" s="374"/>
      <c r="P38" s="374"/>
      <c r="Q38" s="497" t="str">
        <f t="shared" si="6"/>
        <v/>
      </c>
      <c r="R38" s="603" t="str">
        <f t="shared" si="3"/>
        <v/>
      </c>
    </row>
    <row r="39" spans="1:18" x14ac:dyDescent="0.2">
      <c r="A39" s="514" t="s">
        <v>915</v>
      </c>
      <c r="B39" s="554"/>
      <c r="C39" s="375"/>
      <c r="D39" s="557"/>
      <c r="E39" s="376"/>
      <c r="F39" s="534"/>
      <c r="G39" s="557"/>
      <c r="H39" s="376"/>
      <c r="I39" s="558"/>
      <c r="J39" s="556">
        <f t="shared" si="5"/>
        <v>0</v>
      </c>
      <c r="K39" s="373"/>
      <c r="L39" s="557"/>
      <c r="M39" s="557"/>
      <c r="N39" s="557"/>
      <c r="O39" s="374"/>
      <c r="P39" s="374"/>
      <c r="Q39" s="497" t="str">
        <f t="shared" si="6"/>
        <v/>
      </c>
      <c r="R39" s="603" t="str">
        <f t="shared" si="3"/>
        <v/>
      </c>
    </row>
    <row r="40" spans="1:18" ht="24" x14ac:dyDescent="0.2">
      <c r="A40" s="514" t="s">
        <v>916</v>
      </c>
      <c r="B40" s="554"/>
      <c r="C40" s="375"/>
      <c r="D40" s="557"/>
      <c r="E40" s="376"/>
      <c r="F40" s="534"/>
      <c r="G40" s="557"/>
      <c r="H40" s="376"/>
      <c r="I40" s="558"/>
      <c r="J40" s="556">
        <f t="shared" si="5"/>
        <v>0</v>
      </c>
      <c r="K40" s="373"/>
      <c r="L40" s="557"/>
      <c r="M40" s="557"/>
      <c r="N40" s="557"/>
      <c r="O40" s="374"/>
      <c r="P40" s="374"/>
      <c r="Q40" s="497" t="str">
        <f t="shared" si="6"/>
        <v/>
      </c>
      <c r="R40" s="603" t="str">
        <f t="shared" si="3"/>
        <v/>
      </c>
    </row>
    <row r="41" spans="1:18" x14ac:dyDescent="0.2">
      <c r="A41" s="514" t="s">
        <v>917</v>
      </c>
      <c r="B41" s="554"/>
      <c r="C41" s="375"/>
      <c r="D41" s="557"/>
      <c r="E41" s="376"/>
      <c r="F41" s="534"/>
      <c r="G41" s="557"/>
      <c r="H41" s="376"/>
      <c r="I41" s="558"/>
      <c r="J41" s="556">
        <f t="shared" si="5"/>
        <v>0</v>
      </c>
      <c r="K41" s="373"/>
      <c r="L41" s="557"/>
      <c r="M41" s="557"/>
      <c r="N41" s="557"/>
      <c r="O41" s="374"/>
      <c r="P41" s="374"/>
      <c r="Q41" s="497" t="str">
        <f t="shared" si="6"/>
        <v/>
      </c>
      <c r="R41" s="603" t="str">
        <f t="shared" si="3"/>
        <v/>
      </c>
    </row>
    <row r="42" spans="1:18" x14ac:dyDescent="0.2">
      <c r="A42" s="514" t="s">
        <v>918</v>
      </c>
      <c r="B42" s="554"/>
      <c r="C42" s="375"/>
      <c r="D42" s="557"/>
      <c r="E42" s="376"/>
      <c r="F42" s="534"/>
      <c r="G42" s="557"/>
      <c r="H42" s="376"/>
      <c r="I42" s="558"/>
      <c r="J42" s="556">
        <f t="shared" si="5"/>
        <v>0</v>
      </c>
      <c r="K42" s="373"/>
      <c r="L42" s="557"/>
      <c r="M42" s="557"/>
      <c r="N42" s="557"/>
      <c r="O42" s="374"/>
      <c r="P42" s="374"/>
      <c r="Q42" s="497" t="str">
        <f t="shared" si="6"/>
        <v/>
      </c>
      <c r="R42" s="603" t="str">
        <f t="shared" si="3"/>
        <v/>
      </c>
    </row>
    <row r="43" spans="1:18" x14ac:dyDescent="0.2">
      <c r="A43" s="514" t="s">
        <v>919</v>
      </c>
      <c r="B43" s="554"/>
      <c r="C43" s="375"/>
      <c r="D43" s="557"/>
      <c r="E43" s="376"/>
      <c r="F43" s="534"/>
      <c r="G43" s="557"/>
      <c r="H43" s="376"/>
      <c r="I43" s="558"/>
      <c r="J43" s="556">
        <f t="shared" si="5"/>
        <v>0</v>
      </c>
      <c r="K43" s="373"/>
      <c r="L43" s="557"/>
      <c r="M43" s="557"/>
      <c r="N43" s="557"/>
      <c r="O43" s="374"/>
      <c r="P43" s="374"/>
      <c r="Q43" s="497" t="str">
        <f t="shared" si="6"/>
        <v/>
      </c>
      <c r="R43" s="603" t="str">
        <f t="shared" si="3"/>
        <v/>
      </c>
    </row>
    <row r="44" spans="1:18" ht="24" x14ac:dyDescent="0.2">
      <c r="A44" s="514" t="s">
        <v>920</v>
      </c>
      <c r="B44" s="554"/>
      <c r="C44" s="375"/>
      <c r="D44" s="557"/>
      <c r="E44" s="376"/>
      <c r="F44" s="534"/>
      <c r="G44" s="557"/>
      <c r="H44" s="376"/>
      <c r="I44" s="558"/>
      <c r="J44" s="556">
        <f t="shared" si="5"/>
        <v>0</v>
      </c>
      <c r="K44" s="373"/>
      <c r="L44" s="557"/>
      <c r="M44" s="557"/>
      <c r="N44" s="557"/>
      <c r="O44" s="374"/>
      <c r="P44" s="374"/>
      <c r="Q44" s="497" t="str">
        <f t="shared" si="6"/>
        <v/>
      </c>
      <c r="R44" s="603" t="str">
        <f t="shared" si="3"/>
        <v/>
      </c>
    </row>
    <row r="45" spans="1:18" ht="24" x14ac:dyDescent="0.2">
      <c r="A45" s="514" t="s">
        <v>921</v>
      </c>
      <c r="B45" s="554"/>
      <c r="C45" s="375"/>
      <c r="D45" s="557"/>
      <c r="E45" s="376"/>
      <c r="F45" s="534"/>
      <c r="G45" s="557"/>
      <c r="H45" s="376"/>
      <c r="I45" s="558"/>
      <c r="J45" s="556">
        <f t="shared" si="5"/>
        <v>0</v>
      </c>
      <c r="K45" s="373"/>
      <c r="L45" s="557"/>
      <c r="M45" s="557"/>
      <c r="N45" s="557"/>
      <c r="O45" s="374"/>
      <c r="P45" s="374"/>
      <c r="Q45" s="497" t="str">
        <f t="shared" si="6"/>
        <v/>
      </c>
      <c r="R45" s="603" t="str">
        <f t="shared" si="3"/>
        <v/>
      </c>
    </row>
    <row r="46" spans="1:18" ht="24" x14ac:dyDescent="0.2">
      <c r="A46" s="514" t="s">
        <v>922</v>
      </c>
      <c r="B46" s="554"/>
      <c r="C46" s="375"/>
      <c r="D46" s="557"/>
      <c r="E46" s="376"/>
      <c r="F46" s="534"/>
      <c r="G46" s="557"/>
      <c r="H46" s="376"/>
      <c r="I46" s="558"/>
      <c r="J46" s="556">
        <f t="shared" si="5"/>
        <v>0</v>
      </c>
      <c r="K46" s="373"/>
      <c r="L46" s="557"/>
      <c r="M46" s="557"/>
      <c r="N46" s="557"/>
      <c r="O46" s="374"/>
      <c r="P46" s="374"/>
      <c r="Q46" s="497" t="str">
        <f t="shared" si="6"/>
        <v/>
      </c>
      <c r="R46" s="603" t="str">
        <f t="shared" si="3"/>
        <v/>
      </c>
    </row>
    <row r="47" spans="1:18" x14ac:dyDescent="0.2">
      <c r="A47" s="514" t="s">
        <v>923</v>
      </c>
      <c r="B47" s="554"/>
      <c r="C47" s="375"/>
      <c r="D47" s="557"/>
      <c r="E47" s="376"/>
      <c r="F47" s="534"/>
      <c r="G47" s="557"/>
      <c r="H47" s="376"/>
      <c r="I47" s="558"/>
      <c r="J47" s="556">
        <f t="shared" si="5"/>
        <v>0</v>
      </c>
      <c r="K47" s="373"/>
      <c r="L47" s="557"/>
      <c r="M47" s="557"/>
      <c r="N47" s="557"/>
      <c r="O47" s="374"/>
      <c r="P47" s="374"/>
      <c r="Q47" s="497" t="str">
        <f t="shared" si="6"/>
        <v/>
      </c>
      <c r="R47" s="603" t="str">
        <f t="shared" si="3"/>
        <v/>
      </c>
    </row>
    <row r="48" spans="1:18" x14ac:dyDescent="0.2">
      <c r="A48" s="514" t="s">
        <v>924</v>
      </c>
      <c r="B48" s="554"/>
      <c r="C48" s="375"/>
      <c r="D48" s="557"/>
      <c r="E48" s="376"/>
      <c r="F48" s="534"/>
      <c r="G48" s="557"/>
      <c r="H48" s="376"/>
      <c r="I48" s="558"/>
      <c r="J48" s="556">
        <f t="shared" si="5"/>
        <v>0</v>
      </c>
      <c r="K48" s="373"/>
      <c r="L48" s="557"/>
      <c r="M48" s="557"/>
      <c r="N48" s="557"/>
      <c r="O48" s="374"/>
      <c r="P48" s="374"/>
      <c r="Q48" s="497" t="str">
        <f t="shared" si="6"/>
        <v/>
      </c>
      <c r="R48" s="603" t="str">
        <f t="shared" si="3"/>
        <v/>
      </c>
    </row>
    <row r="49" spans="1:18" x14ac:dyDescent="0.2">
      <c r="A49" s="514" t="s">
        <v>925</v>
      </c>
      <c r="B49" s="554"/>
      <c r="C49" s="375"/>
      <c r="D49" s="557"/>
      <c r="E49" s="376"/>
      <c r="F49" s="534"/>
      <c r="G49" s="557"/>
      <c r="H49" s="376"/>
      <c r="I49" s="558"/>
      <c r="J49" s="556">
        <f t="shared" si="5"/>
        <v>0</v>
      </c>
      <c r="K49" s="373"/>
      <c r="L49" s="557"/>
      <c r="M49" s="557"/>
      <c r="N49" s="557"/>
      <c r="O49" s="374"/>
      <c r="P49" s="374"/>
      <c r="Q49" s="497" t="str">
        <f t="shared" si="6"/>
        <v/>
      </c>
      <c r="R49" s="603" t="str">
        <f t="shared" si="3"/>
        <v/>
      </c>
    </row>
    <row r="50" spans="1:18" ht="24" x14ac:dyDescent="0.2">
      <c r="A50" s="515" t="s">
        <v>926</v>
      </c>
      <c r="B50" s="560"/>
      <c r="C50" s="378"/>
      <c r="D50" s="560"/>
      <c r="E50" s="380"/>
      <c r="F50" s="381"/>
      <c r="G50" s="560"/>
      <c r="H50" s="380"/>
      <c r="I50" s="561"/>
      <c r="J50" s="559">
        <f>+B50+D50-G50+I50</f>
        <v>0</v>
      </c>
      <c r="K50" s="574"/>
      <c r="L50" s="560"/>
      <c r="M50" s="560"/>
      <c r="N50" s="560"/>
      <c r="O50" s="382"/>
      <c r="P50" s="382"/>
      <c r="Q50" s="497" t="str">
        <f t="shared" si="6"/>
        <v/>
      </c>
      <c r="R50" s="603" t="str">
        <f t="shared" si="3"/>
        <v/>
      </c>
    </row>
    <row r="51" spans="1:18" s="512" customFormat="1" ht="15" customHeight="1" x14ac:dyDescent="0.2">
      <c r="A51" s="516" t="s">
        <v>1147</v>
      </c>
      <c r="B51" s="906" t="s">
        <v>1076</v>
      </c>
      <c r="C51" s="907"/>
      <c r="D51" s="553">
        <f>SUM(D52:D58)</f>
        <v>0</v>
      </c>
      <c r="E51" s="368">
        <f>SUM(E52:E58)</f>
        <v>0</v>
      </c>
      <c r="F51" s="535" t="e">
        <f>(D52*F52+D53*F53+D54*F54+D55*F55+D56*F56+D57*F57+D58*F58)/D51</f>
        <v>#DIV/0!</v>
      </c>
      <c r="G51" s="553">
        <f>SUM(G52:G58)</f>
        <v>0</v>
      </c>
      <c r="H51" s="368">
        <f>SUM(H52:H58)</f>
        <v>0</v>
      </c>
      <c r="I51" s="906" t="s">
        <v>1076</v>
      </c>
      <c r="J51" s="907"/>
      <c r="K51" s="907"/>
      <c r="L51" s="907"/>
      <c r="M51" s="907"/>
      <c r="N51" s="907"/>
      <c r="O51" s="907"/>
      <c r="P51" s="915"/>
      <c r="Q51" s="497"/>
      <c r="R51" s="603"/>
    </row>
    <row r="52" spans="1:18" x14ac:dyDescent="0.2">
      <c r="A52" s="514" t="s">
        <v>1102</v>
      </c>
      <c r="B52" s="908"/>
      <c r="C52" s="909"/>
      <c r="D52" s="557"/>
      <c r="E52" s="377"/>
      <c r="F52" s="386"/>
      <c r="G52" s="557"/>
      <c r="H52" s="377"/>
      <c r="I52" s="908"/>
      <c r="J52" s="909"/>
      <c r="K52" s="909"/>
      <c r="L52" s="909"/>
      <c r="M52" s="909"/>
      <c r="N52" s="909"/>
      <c r="O52" s="909"/>
      <c r="P52" s="916"/>
      <c r="Q52" s="497" t="str">
        <f t="shared" ref="Q52:Q58" si="7">+IF(D52&gt;0,IF(AND(F52&gt;0,F52&lt;0.15),"","ЗЖДХ-г сараар шивнэ үү."),"")</f>
        <v/>
      </c>
      <c r="R52" s="603"/>
    </row>
    <row r="53" spans="1:18" x14ac:dyDescent="0.2">
      <c r="A53" s="514" t="s">
        <v>1103</v>
      </c>
      <c r="B53" s="908"/>
      <c r="C53" s="909"/>
      <c r="D53" s="557"/>
      <c r="E53" s="377"/>
      <c r="F53" s="386"/>
      <c r="G53" s="557"/>
      <c r="H53" s="377"/>
      <c r="I53" s="908"/>
      <c r="J53" s="909"/>
      <c r="K53" s="909"/>
      <c r="L53" s="909"/>
      <c r="M53" s="909"/>
      <c r="N53" s="909"/>
      <c r="O53" s="909"/>
      <c r="P53" s="916"/>
      <c r="Q53" s="497" t="str">
        <f t="shared" si="7"/>
        <v/>
      </c>
      <c r="R53" s="603"/>
    </row>
    <row r="54" spans="1:18" x14ac:dyDescent="0.2">
      <c r="A54" s="514" t="s">
        <v>1104</v>
      </c>
      <c r="B54" s="908"/>
      <c r="C54" s="909"/>
      <c r="D54" s="557"/>
      <c r="E54" s="377"/>
      <c r="F54" s="386"/>
      <c r="G54" s="557"/>
      <c r="H54" s="377"/>
      <c r="I54" s="908"/>
      <c r="J54" s="909"/>
      <c r="K54" s="909"/>
      <c r="L54" s="909"/>
      <c r="M54" s="909"/>
      <c r="N54" s="909"/>
      <c r="O54" s="909"/>
      <c r="P54" s="916"/>
      <c r="Q54" s="497" t="str">
        <f t="shared" si="7"/>
        <v/>
      </c>
      <c r="R54" s="603"/>
    </row>
    <row r="55" spans="1:18" x14ac:dyDescent="0.2">
      <c r="A55" s="514" t="s">
        <v>1105</v>
      </c>
      <c r="B55" s="908"/>
      <c r="C55" s="909"/>
      <c r="D55" s="557"/>
      <c r="E55" s="377"/>
      <c r="F55" s="386"/>
      <c r="G55" s="557"/>
      <c r="H55" s="377"/>
      <c r="I55" s="908"/>
      <c r="J55" s="909"/>
      <c r="K55" s="909"/>
      <c r="L55" s="909"/>
      <c r="M55" s="909"/>
      <c r="N55" s="909"/>
      <c r="O55" s="909"/>
      <c r="P55" s="916"/>
      <c r="Q55" s="497" t="str">
        <f t="shared" si="7"/>
        <v/>
      </c>
      <c r="R55" s="603"/>
    </row>
    <row r="56" spans="1:18" x14ac:dyDescent="0.2">
      <c r="A56" s="514" t="s">
        <v>1106</v>
      </c>
      <c r="B56" s="908"/>
      <c r="C56" s="909"/>
      <c r="D56" s="557"/>
      <c r="E56" s="377"/>
      <c r="F56" s="386"/>
      <c r="G56" s="557"/>
      <c r="H56" s="377"/>
      <c r="I56" s="908"/>
      <c r="J56" s="909"/>
      <c r="K56" s="909"/>
      <c r="L56" s="909"/>
      <c r="M56" s="909"/>
      <c r="N56" s="909"/>
      <c r="O56" s="909"/>
      <c r="P56" s="916"/>
      <c r="Q56" s="497" t="str">
        <f t="shared" si="7"/>
        <v/>
      </c>
      <c r="R56" s="603"/>
    </row>
    <row r="57" spans="1:18" x14ac:dyDescent="0.2">
      <c r="A57" s="514" t="s">
        <v>1107</v>
      </c>
      <c r="B57" s="908"/>
      <c r="C57" s="909"/>
      <c r="D57" s="557"/>
      <c r="E57" s="377"/>
      <c r="F57" s="386"/>
      <c r="G57" s="557"/>
      <c r="H57" s="377"/>
      <c r="I57" s="908"/>
      <c r="J57" s="909"/>
      <c r="K57" s="909"/>
      <c r="L57" s="909"/>
      <c r="M57" s="909"/>
      <c r="N57" s="909"/>
      <c r="O57" s="909"/>
      <c r="P57" s="916"/>
      <c r="Q57" s="497" t="str">
        <f t="shared" si="7"/>
        <v/>
      </c>
      <c r="R57" s="603"/>
    </row>
    <row r="58" spans="1:18" x14ac:dyDescent="0.2">
      <c r="A58" s="514" t="s">
        <v>1108</v>
      </c>
      <c r="B58" s="910"/>
      <c r="C58" s="911"/>
      <c r="D58" s="557"/>
      <c r="E58" s="377"/>
      <c r="F58" s="386"/>
      <c r="G58" s="557"/>
      <c r="H58" s="377"/>
      <c r="I58" s="910"/>
      <c r="J58" s="911"/>
      <c r="K58" s="911"/>
      <c r="L58" s="911"/>
      <c r="M58" s="911"/>
      <c r="N58" s="911"/>
      <c r="O58" s="911"/>
      <c r="P58" s="917"/>
      <c r="Q58" s="497" t="str">
        <f t="shared" si="7"/>
        <v/>
      </c>
      <c r="R58" s="603"/>
    </row>
    <row r="59" spans="1:18" s="512" customFormat="1" x14ac:dyDescent="0.2">
      <c r="A59" s="912" t="s">
        <v>1148</v>
      </c>
      <c r="B59" s="913"/>
      <c r="C59" s="913"/>
      <c r="D59" s="913"/>
      <c r="E59" s="913"/>
      <c r="F59" s="913"/>
      <c r="G59" s="913"/>
      <c r="H59" s="913"/>
      <c r="I59" s="913"/>
      <c r="J59" s="913"/>
      <c r="K59" s="913"/>
      <c r="L59" s="913"/>
      <c r="M59" s="913"/>
      <c r="N59" s="913"/>
      <c r="O59" s="913"/>
      <c r="P59" s="914"/>
      <c r="Q59" s="497"/>
      <c r="R59" s="603"/>
    </row>
    <row r="60" spans="1:18" x14ac:dyDescent="0.2">
      <c r="A60" s="367" t="s">
        <v>1077</v>
      </c>
      <c r="B60" s="562">
        <f>SUM(B61:B65)</f>
        <v>0</v>
      </c>
      <c r="C60" s="383">
        <f t="shared" ref="C60:N60" si="8">SUM(C61:C65)</f>
        <v>0</v>
      </c>
      <c r="D60" s="562">
        <f t="shared" si="8"/>
        <v>0</v>
      </c>
      <c r="E60" s="383">
        <f t="shared" si="8"/>
        <v>0</v>
      </c>
      <c r="F60" s="370" t="e">
        <f>(D61*F61+D62*F62+D63*F63+D64*F64+D65*F65)/D60</f>
        <v>#DIV/0!</v>
      </c>
      <c r="G60" s="562">
        <f t="shared" si="8"/>
        <v>0</v>
      </c>
      <c r="H60" s="383">
        <f t="shared" si="8"/>
        <v>0</v>
      </c>
      <c r="I60" s="562">
        <f t="shared" si="8"/>
        <v>0</v>
      </c>
      <c r="J60" s="562">
        <f t="shared" si="8"/>
        <v>0</v>
      </c>
      <c r="K60" s="383">
        <f t="shared" si="8"/>
        <v>0</v>
      </c>
      <c r="L60" s="562">
        <f t="shared" si="8"/>
        <v>0</v>
      </c>
      <c r="M60" s="562">
        <f t="shared" si="8"/>
        <v>0</v>
      </c>
      <c r="N60" s="562">
        <f t="shared" si="8"/>
        <v>0</v>
      </c>
      <c r="O60" s="383">
        <f>MAX(O61:O65)</f>
        <v>0</v>
      </c>
      <c r="P60" s="371">
        <f t="array" ref="P60">MIN(IF(P61:P65&gt;0,P61:P65))</f>
        <v>0</v>
      </c>
      <c r="R60" s="603"/>
    </row>
    <row r="61" spans="1:18" x14ac:dyDescent="0.2">
      <c r="A61" s="514" t="s">
        <v>1109</v>
      </c>
      <c r="B61" s="563"/>
      <c r="C61" s="388"/>
      <c r="D61" s="557"/>
      <c r="E61" s="377"/>
      <c r="F61" s="386"/>
      <c r="G61" s="557"/>
      <c r="H61" s="377"/>
      <c r="I61" s="563"/>
      <c r="J61" s="556">
        <f>B61+D61-G61+I61</f>
        <v>0</v>
      </c>
      <c r="K61" s="373"/>
      <c r="L61" s="563"/>
      <c r="M61" s="563"/>
      <c r="N61" s="563"/>
      <c r="O61" s="387"/>
      <c r="P61" s="387"/>
      <c r="Q61" s="497" t="str">
        <f t="shared" ref="Q61:Q72" si="9">+IF(D61&gt;0,IF(AND(F61&gt;0,F61&lt;0.15,O61&gt;0,O61&lt;0.15,P61&gt;0,P61&lt;0.15),"","ЗЖДХ болон дээд, доод хүүг сараар шивнэ үү."),"")</f>
        <v/>
      </c>
      <c r="R61" s="603" t="str">
        <f>IF(SUM(L61:N61)=J61,"",IF(ROUND(J61-L61-M61-N61,2)=ROUND($Q$71,2),"","Зээлийн эцсийн үлдэгдлийн дүн зөрүүтэй"))</f>
        <v/>
      </c>
    </row>
    <row r="62" spans="1:18" x14ac:dyDescent="0.2">
      <c r="A62" s="514" t="s">
        <v>1155</v>
      </c>
      <c r="B62" s="563"/>
      <c r="C62" s="388"/>
      <c r="D62" s="557"/>
      <c r="E62" s="377"/>
      <c r="F62" s="386"/>
      <c r="G62" s="557"/>
      <c r="H62" s="377"/>
      <c r="I62" s="563"/>
      <c r="J62" s="556">
        <f>B62+D62-G62+I62</f>
        <v>0</v>
      </c>
      <c r="K62" s="373"/>
      <c r="L62" s="563"/>
      <c r="M62" s="563"/>
      <c r="N62" s="563"/>
      <c r="O62" s="387"/>
      <c r="P62" s="387"/>
      <c r="Q62" s="497" t="str">
        <f t="shared" si="9"/>
        <v/>
      </c>
      <c r="R62" s="603" t="str">
        <f>IF(SUM(L62:N62)=J62,"",IF(ROUND(J62-L62-M62-N62,2)=ROUND($Q$71,2),"","Зээлийн эцсийн үлдэгдлийн дүн зөрүүтэй"))</f>
        <v/>
      </c>
    </row>
    <row r="63" spans="1:18" x14ac:dyDescent="0.2">
      <c r="A63" s="514" t="s">
        <v>1156</v>
      </c>
      <c r="B63" s="563"/>
      <c r="C63" s="388"/>
      <c r="D63" s="557"/>
      <c r="E63" s="377"/>
      <c r="F63" s="386"/>
      <c r="G63" s="557"/>
      <c r="H63" s="377"/>
      <c r="I63" s="563"/>
      <c r="J63" s="556">
        <f>B63+D63-G63+I63</f>
        <v>0</v>
      </c>
      <c r="K63" s="373"/>
      <c r="L63" s="563"/>
      <c r="M63" s="563"/>
      <c r="N63" s="563"/>
      <c r="O63" s="387"/>
      <c r="P63" s="387"/>
      <c r="Q63" s="497" t="str">
        <f t="shared" si="9"/>
        <v/>
      </c>
      <c r="R63" s="603" t="str">
        <f>IF(SUM(L63:N63)=J63,"",IF(ROUND(J63-L63-M63-N63,2)=ROUND($Q$71,2),"","Зээлийн эцсийн үлдэгдлийн дүн зөрүүтэй"))</f>
        <v/>
      </c>
    </row>
    <row r="64" spans="1:18" ht="24" x14ac:dyDescent="0.2">
      <c r="A64" s="514" t="s">
        <v>1157</v>
      </c>
      <c r="B64" s="563"/>
      <c r="C64" s="388"/>
      <c r="D64" s="557"/>
      <c r="E64" s="377"/>
      <c r="F64" s="386"/>
      <c r="G64" s="557"/>
      <c r="H64" s="377"/>
      <c r="I64" s="563"/>
      <c r="J64" s="556">
        <f>B64+D64-G64+I64</f>
        <v>0</v>
      </c>
      <c r="K64" s="373"/>
      <c r="L64" s="563"/>
      <c r="M64" s="563"/>
      <c r="N64" s="563"/>
      <c r="O64" s="387"/>
      <c r="P64" s="387"/>
      <c r="Q64" s="497" t="str">
        <f t="shared" si="9"/>
        <v/>
      </c>
      <c r="R64" s="603" t="str">
        <f>IF(SUM(L64:N64)=J64,"",IF(ROUND(J64-L64-M64-N64,2)=ROUND($Q$71,2),"","Зээлийн эцсийн үлдэгдлийн дүн зөрүүтэй"))</f>
        <v/>
      </c>
    </row>
    <row r="65" spans="1:18" x14ac:dyDescent="0.2">
      <c r="A65" s="514" t="s">
        <v>1075</v>
      </c>
      <c r="B65" s="563"/>
      <c r="C65" s="388"/>
      <c r="D65" s="557"/>
      <c r="E65" s="377"/>
      <c r="F65" s="386"/>
      <c r="G65" s="557"/>
      <c r="H65" s="377"/>
      <c r="I65" s="563"/>
      <c r="J65" s="556">
        <f>B65+D65-G65+I65</f>
        <v>0</v>
      </c>
      <c r="K65" s="373"/>
      <c r="L65" s="563"/>
      <c r="M65" s="563"/>
      <c r="N65" s="563"/>
      <c r="O65" s="387"/>
      <c r="P65" s="387"/>
      <c r="Q65" s="497" t="str">
        <f t="shared" si="9"/>
        <v/>
      </c>
      <c r="R65" s="603" t="str">
        <f>IF(SUM(L65:N65)=J65,"",IF(ROUND(J65-L65-M65-N65,2)=ROUND($Q$71,2),"","Зээлийн эцсийн үлдэгдлийн дүн зөрүүтэй"))</f>
        <v/>
      </c>
    </row>
    <row r="66" spans="1:18" x14ac:dyDescent="0.2">
      <c r="A66" s="367" t="s">
        <v>1078</v>
      </c>
      <c r="B66" s="562">
        <f>SUM(B67:B70)</f>
        <v>0</v>
      </c>
      <c r="C66" s="383">
        <f>SUM(C67:C70)</f>
        <v>0</v>
      </c>
      <c r="D66" s="562">
        <f>SUM(D67:D70)</f>
        <v>0</v>
      </c>
      <c r="E66" s="383">
        <f>SUM(E67:E70)</f>
        <v>0</v>
      </c>
      <c r="F66" s="370" t="e">
        <f>(D67*F67+D68*F68+D69*F69+D70*F70)/D66</f>
        <v>#DIV/0!</v>
      </c>
      <c r="G66" s="562">
        <f t="shared" ref="G66:N66" si="10">SUM(G67:G70)</f>
        <v>0</v>
      </c>
      <c r="H66" s="383">
        <f t="shared" si="10"/>
        <v>0</v>
      </c>
      <c r="I66" s="562">
        <f t="shared" si="10"/>
        <v>0</v>
      </c>
      <c r="J66" s="562">
        <f t="shared" si="10"/>
        <v>0</v>
      </c>
      <c r="K66" s="383">
        <f t="shared" si="10"/>
        <v>0</v>
      </c>
      <c r="L66" s="562">
        <f t="shared" si="10"/>
        <v>0</v>
      </c>
      <c r="M66" s="562">
        <f t="shared" si="10"/>
        <v>0</v>
      </c>
      <c r="N66" s="562">
        <f t="shared" si="10"/>
        <v>0</v>
      </c>
      <c r="O66" s="383">
        <f>MAX(O67:O70)</f>
        <v>0</v>
      </c>
      <c r="P66" s="371">
        <f t="array" ref="P66">MIN(IF(P67:P70&gt;0,P67:P70))</f>
        <v>0</v>
      </c>
      <c r="R66" s="603"/>
    </row>
    <row r="67" spans="1:18" x14ac:dyDescent="0.2">
      <c r="A67" s="514" t="s">
        <v>1072</v>
      </c>
      <c r="B67" s="563"/>
      <c r="C67" s="388"/>
      <c r="D67" s="557"/>
      <c r="E67" s="377"/>
      <c r="F67" s="386"/>
      <c r="G67" s="557"/>
      <c r="H67" s="377"/>
      <c r="I67" s="563"/>
      <c r="J67" s="556">
        <f>B67+D67-G67+I67</f>
        <v>0</v>
      </c>
      <c r="K67" s="373"/>
      <c r="L67" s="563"/>
      <c r="M67" s="563"/>
      <c r="N67" s="563"/>
      <c r="O67" s="387"/>
      <c r="P67" s="387"/>
      <c r="Q67" s="497" t="str">
        <f t="shared" si="9"/>
        <v/>
      </c>
      <c r="R67" s="603" t="str">
        <f>IF(SUM(L67:N67)=J67,"",IF(ROUND(J67-L67-M67-N67,2)=ROUND($Q$71,2),"","Зээлийн эцсийн үлдэгдлийн дүн зөрүүтэй"))</f>
        <v/>
      </c>
    </row>
    <row r="68" spans="1:18" x14ac:dyDescent="0.2">
      <c r="A68" s="514" t="s">
        <v>1073</v>
      </c>
      <c r="B68" s="563"/>
      <c r="C68" s="388"/>
      <c r="D68" s="557"/>
      <c r="E68" s="377"/>
      <c r="F68" s="386"/>
      <c r="G68" s="557"/>
      <c r="H68" s="377"/>
      <c r="I68" s="563"/>
      <c r="J68" s="556">
        <f>B68+D68-G68+I68</f>
        <v>0</v>
      </c>
      <c r="K68" s="373"/>
      <c r="L68" s="563"/>
      <c r="M68" s="563"/>
      <c r="N68" s="563"/>
      <c r="O68" s="387"/>
      <c r="P68" s="387"/>
      <c r="Q68" s="497" t="str">
        <f t="shared" si="9"/>
        <v/>
      </c>
      <c r="R68" s="603" t="str">
        <f>IF(SUM(L68:N68)=J68,"",IF(ROUND(J68-L68-M68-N68,2)=ROUND($Q$71,2),"","Зээлийн эцсийн үлдэгдлийн дүн зөрүүтэй"))</f>
        <v/>
      </c>
    </row>
    <row r="69" spans="1:18" x14ac:dyDescent="0.2">
      <c r="A69" s="514" t="s">
        <v>1074</v>
      </c>
      <c r="B69" s="563"/>
      <c r="C69" s="388"/>
      <c r="D69" s="557"/>
      <c r="E69" s="377"/>
      <c r="F69" s="386"/>
      <c r="G69" s="557"/>
      <c r="H69" s="377"/>
      <c r="I69" s="563"/>
      <c r="J69" s="556">
        <f>B69+D69-G69+I69</f>
        <v>0</v>
      </c>
      <c r="K69" s="373"/>
      <c r="L69" s="563"/>
      <c r="M69" s="563"/>
      <c r="N69" s="563"/>
      <c r="O69" s="387"/>
      <c r="P69" s="387"/>
      <c r="Q69" s="497" t="str">
        <f t="shared" si="9"/>
        <v/>
      </c>
      <c r="R69" s="603" t="str">
        <f>IF(SUM(L69:N69)=J69,"",IF(ROUND(J69-L69-M69-N69,2)=ROUND($Q$71,2),"","Зээлийн эцсийн үлдэгдлийн дүн зөрүүтэй"))</f>
        <v/>
      </c>
    </row>
    <row r="70" spans="1:18" x14ac:dyDescent="0.2">
      <c r="A70" s="514" t="s">
        <v>1075</v>
      </c>
      <c r="B70" s="563"/>
      <c r="C70" s="388"/>
      <c r="D70" s="557"/>
      <c r="E70" s="377"/>
      <c r="F70" s="386"/>
      <c r="G70" s="557"/>
      <c r="H70" s="377"/>
      <c r="I70" s="563"/>
      <c r="J70" s="556">
        <f>B70+D70-G70+I70</f>
        <v>0</v>
      </c>
      <c r="K70" s="373"/>
      <c r="L70" s="563"/>
      <c r="M70" s="563"/>
      <c r="N70" s="563"/>
      <c r="O70" s="387"/>
      <c r="P70" s="387"/>
      <c r="Q70" s="497" t="str">
        <f t="shared" si="9"/>
        <v/>
      </c>
      <c r="R70" s="603" t="str">
        <f>IF(SUM(L70:N70)=J70,"",IF(ROUND(J70-L70-M70-N70,2)=ROUND($Q$71,2),"","Зээлийн эцсийн үлдэгдлийн дүн зөрүүтэй"))</f>
        <v/>
      </c>
    </row>
    <row r="71" spans="1:18" x14ac:dyDescent="0.2">
      <c r="A71" s="590" t="s">
        <v>1159</v>
      </c>
      <c r="B71" s="587">
        <f>+SUM(B30,B9)</f>
        <v>0</v>
      </c>
      <c r="C71" s="588">
        <f>+SUM(C30,C9)</f>
        <v>0</v>
      </c>
      <c r="D71" s="587">
        <f>+SUM(D30,D9)</f>
        <v>0</v>
      </c>
      <c r="E71" s="588">
        <f>+SUM(E30,E9)</f>
        <v>0</v>
      </c>
      <c r="F71" s="589" t="e">
        <f>(D9*F9+D30*F30)/D71</f>
        <v>#DIV/0!</v>
      </c>
      <c r="G71" s="553">
        <f>+SUM(G9,G30)</f>
        <v>0</v>
      </c>
      <c r="H71" s="368">
        <f>+SUM(H9,H30)</f>
        <v>0</v>
      </c>
      <c r="I71" s="553">
        <f>+SUM(I9,I30)</f>
        <v>0</v>
      </c>
      <c r="J71" s="553">
        <f>ROUND(BALANCESHEET!C32,2)</f>
        <v>0</v>
      </c>
      <c r="K71" s="368">
        <f>+SUM(K9,K30)</f>
        <v>0</v>
      </c>
      <c r="L71" s="553">
        <f>ROUND(SUM(BALANCESHEET!C34,BALANCESHEET!C41),2)</f>
        <v>0</v>
      </c>
      <c r="M71" s="553">
        <f>ROUND(SUM(BALANCESHEET!C35,BALANCESHEET!C42),2)</f>
        <v>0</v>
      </c>
      <c r="N71" s="553">
        <f>ROUND(SUM(BALANCESHEET!C36,BALANCESHEET!C43),2)</f>
        <v>0</v>
      </c>
      <c r="O71" s="371">
        <f>+MAX(O30,O9)</f>
        <v>0</v>
      </c>
      <c r="P71" s="371">
        <f>+MIN(P30,P9)</f>
        <v>0</v>
      </c>
      <c r="Q71" s="604">
        <f>J71-L71-M71-N71</f>
        <v>0</v>
      </c>
      <c r="R71" s="603"/>
    </row>
    <row r="72" spans="1:18" x14ac:dyDescent="0.2">
      <c r="A72" s="595" t="s">
        <v>1158</v>
      </c>
      <c r="B72" s="596"/>
      <c r="C72" s="596"/>
      <c r="D72" s="596"/>
      <c r="E72" s="597"/>
      <c r="F72" s="382"/>
      <c r="G72" s="596"/>
      <c r="H72" s="597"/>
      <c r="I72" s="597"/>
      <c r="J72" s="598">
        <f>B72+D72-G72+I72</f>
        <v>0</v>
      </c>
      <c r="K72" s="596"/>
      <c r="L72" s="596"/>
      <c r="M72" s="596"/>
      <c r="N72" s="597"/>
      <c r="O72" s="382"/>
      <c r="P72" s="382"/>
      <c r="Q72" s="497" t="str">
        <f t="shared" si="9"/>
        <v/>
      </c>
    </row>
    <row r="73" spans="1:18" s="528" customFormat="1" ht="34.5" customHeight="1" x14ac:dyDescent="0.2">
      <c r="A73" s="525"/>
      <c r="B73" s="495" t="str">
        <f>IF(B9=B60,"","Иргэнд олгосон зээлийн тоо зөрүүтэй")</f>
        <v/>
      </c>
      <c r="C73" s="495" t="str">
        <f>IF(C9=C60,"","Иргэнд олгосон зээлийн тоо зөрүүтэй")</f>
        <v/>
      </c>
      <c r="D73" s="495" t="str">
        <f>IF(D9=D60,"","Иргэнд олгосон зээлийн дүн зөрүүтэй")</f>
        <v/>
      </c>
      <c r="E73" s="495" t="str">
        <f>IF(E9=E60,"","Иргэнд олгосон зээлийн тоо зөрүүтэй")</f>
        <v/>
      </c>
      <c r="F73" s="537"/>
      <c r="G73" s="495" t="str">
        <f>IF(G9=G60,"","Иргэнд олгосон зээлийн дүн зөрүүтэй")</f>
        <v/>
      </c>
      <c r="H73" s="495" t="str">
        <f>IF(H9=H60,"","Иргэнд олгосон зээлийн тоо зөрүүтэй")</f>
        <v/>
      </c>
      <c r="I73" s="495" t="str">
        <f>IF(I9=I60,"","Иргэнд олгосон зээлийн дүн зөрүүтэй")</f>
        <v/>
      </c>
      <c r="J73" s="495" t="str">
        <f>IF(J9=J60,"","Иргэнд олгосон зээлийн дүн зөрүүтэй")</f>
        <v/>
      </c>
      <c r="K73" s="495" t="str">
        <f>IF(K9=K60,"","Иргэнд олгосон зээлийн тоо зөрүүтэй")</f>
        <v/>
      </c>
      <c r="L73" s="495" t="str">
        <f>IF(L9=L60,"","Иргэнд олгосон зээлийн дүн зөрүүтэй")</f>
        <v/>
      </c>
      <c r="M73" s="495" t="str">
        <f>IF(M9=M60,"","Иргэнд олгосон зээлийн дүн зөрүүтэй")</f>
        <v/>
      </c>
      <c r="N73" s="495" t="str">
        <f>IF(N9=N60,"","Иргэнд олгосон зээлийн дүн зөрүүтэй")</f>
        <v/>
      </c>
      <c r="O73" s="526"/>
      <c r="P73" s="526"/>
      <c r="Q73" s="527"/>
      <c r="R73" s="527"/>
    </row>
    <row r="74" spans="1:18" s="528" customFormat="1" ht="34.5" customHeight="1" x14ac:dyDescent="0.2">
      <c r="A74" s="525"/>
      <c r="B74" s="495" t="str">
        <f>IF(B30=B66,"","Хуулийн этгээдэд олгосон зээлийн тоо зөрүүтэй")</f>
        <v/>
      </c>
      <c r="C74" s="495" t="str">
        <f>IF(C30=C66,"","Хуулийн этгээдэд олгосон зээлийн тоо зөрүүтэй")</f>
        <v/>
      </c>
      <c r="D74" s="495" t="str">
        <f>IF(D30=D66,"","Хуулийн этгээдэд олгосон зээлийн дүн зөрүүтэй")</f>
        <v/>
      </c>
      <c r="E74" s="495" t="str">
        <f>IF(E30=E66,"","Хуулийн этгээдэд олгосон зээлийн тоо зөрүүтэй")</f>
        <v/>
      </c>
      <c r="F74" s="537"/>
      <c r="G74" s="495" t="str">
        <f>IF(G30=G66,"","Хуулийн этгээдэд олгосон зээлийн дүн зөрүүтэй")</f>
        <v/>
      </c>
      <c r="H74" s="495" t="str">
        <f>IF(H30=H66,"","Хуулийн этгээдэд олгосон зээлийн тоо зөрүүтэй")</f>
        <v/>
      </c>
      <c r="I74" s="495" t="str">
        <f>IF(I30=I66,"","Хуулийн этгээдэд олгосон зээлийн дүн зөрүүтэй")</f>
        <v/>
      </c>
      <c r="J74" s="495" t="str">
        <f>IF(J30=J66,"","Хуулийн этгээдэд олгосон зээлийн дүн зөрүүтэй")</f>
        <v/>
      </c>
      <c r="K74" s="495" t="str">
        <f>IF(K30=K66,"","Хуулийн этгээдэд олгосон зээлийн тоо зөрүүтэй")</f>
        <v/>
      </c>
      <c r="L74" s="495" t="str">
        <f>IF(L30=L66,"","Хуулийн этгээдэд олгосон зээлийн дүн зөрүүтэй")</f>
        <v/>
      </c>
      <c r="M74" s="495" t="str">
        <f>IF(M30=M66,"","Хуулийн этгээдэд олгосон зээлийн дүн зөрүүтэй")</f>
        <v/>
      </c>
      <c r="N74" s="495" t="str">
        <f>IF(N30=N66,"","Хуулийн этгээдэд олгосон зээлийн дүн зөрүүтэй")</f>
        <v/>
      </c>
      <c r="O74" s="526"/>
      <c r="P74" s="526"/>
      <c r="Q74" s="527"/>
      <c r="R74" s="527"/>
    </row>
    <row r="75" spans="1:18" s="528" customFormat="1" ht="34.5" customHeight="1" x14ac:dyDescent="0.2">
      <c r="A75" s="529"/>
      <c r="B75" s="530"/>
      <c r="C75" s="530"/>
      <c r="D75" s="495" t="str">
        <f>IF(D51=D71,"","Олгосон зээлийн дүн зөрүүтэй")</f>
        <v/>
      </c>
      <c r="E75" s="531"/>
      <c r="F75" s="538"/>
      <c r="G75" s="495" t="str">
        <f>IF(G51=G71,"","Төлөгдсөн зээлийн дүн зөрүүтэй")</f>
        <v/>
      </c>
      <c r="H75" s="532"/>
      <c r="I75" s="532"/>
      <c r="J75" s="498" t="str">
        <f>IF(SUM(J9,J30)=J71,"","Зээлийн эцсийн үлдэгдэл балансын дүнгээс зөрүүтэй")</f>
        <v/>
      </c>
      <c r="K75" s="498"/>
      <c r="L75" s="498" t="str">
        <f>IF(SUM(L9,L30)=L71,"","Зээлийн эцсийн үлдэгдэл балансын дүнгээс зөрүүтэй")</f>
        <v/>
      </c>
      <c r="M75" s="498" t="str">
        <f>IF(SUM(M9,M30)=M71,"","Зээлийн эцсийн үлдэгдэл балансын дүнгээс зөрүүтэй")</f>
        <v/>
      </c>
      <c r="N75" s="498" t="str">
        <f>IF(SUM(N9,N30)=N71,"","Зээлийн эцсийн үлдэгдэл балансын дүнгээс зөрүүтэй")</f>
        <v/>
      </c>
      <c r="O75" s="533"/>
      <c r="P75" s="496"/>
      <c r="Q75" s="527"/>
      <c r="R75" s="527"/>
    </row>
    <row r="76" spans="1:18" ht="39" customHeight="1" x14ac:dyDescent="0.2">
      <c r="A76" s="879" t="s">
        <v>1122</v>
      </c>
      <c r="B76" s="879"/>
      <c r="C76" s="879"/>
      <c r="D76" s="879"/>
      <c r="E76" s="879"/>
      <c r="F76" s="879"/>
      <c r="G76" s="879"/>
      <c r="H76" s="879"/>
      <c r="I76" s="879"/>
      <c r="J76" s="879"/>
      <c r="K76" s="879"/>
      <c r="L76" s="879"/>
      <c r="M76" s="879"/>
      <c r="N76" s="879"/>
      <c r="O76" s="879"/>
      <c r="P76" s="879"/>
    </row>
    <row r="77" spans="1:18" x14ac:dyDescent="0.2">
      <c r="A77" s="879" t="s">
        <v>1123</v>
      </c>
      <c r="B77" s="879"/>
      <c r="C77" s="879"/>
      <c r="D77" s="879"/>
      <c r="E77" s="879"/>
      <c r="F77" s="879"/>
      <c r="G77" s="879"/>
      <c r="H77" s="879"/>
      <c r="I77" s="879"/>
      <c r="J77" s="879"/>
      <c r="K77" s="879"/>
      <c r="L77" s="879"/>
      <c r="M77" s="879"/>
      <c r="N77" s="879"/>
      <c r="O77" s="879"/>
      <c r="P77" s="879"/>
    </row>
    <row r="78" spans="1:18" x14ac:dyDescent="0.2">
      <c r="A78" s="902" t="s">
        <v>928</v>
      </c>
      <c r="B78" s="902"/>
      <c r="C78" s="902"/>
      <c r="D78" s="517"/>
      <c r="E78" s="517"/>
      <c r="F78" s="536"/>
      <c r="G78" s="517"/>
      <c r="H78" s="517"/>
      <c r="I78" s="517"/>
      <c r="J78" s="517"/>
      <c r="K78" s="517"/>
      <c r="L78" s="517"/>
      <c r="M78" s="517"/>
      <c r="N78" s="517"/>
      <c r="O78" s="517"/>
      <c r="P78" s="517"/>
    </row>
    <row r="79" spans="1:18" x14ac:dyDescent="0.2">
      <c r="A79" s="499" t="s">
        <v>1099</v>
      </c>
    </row>
    <row r="80" spans="1:18" x14ac:dyDescent="0.2">
      <c r="B80" s="898" t="s">
        <v>36</v>
      </c>
      <c r="C80" s="898"/>
      <c r="D80" s="520"/>
      <c r="E80" s="521"/>
      <c r="F80" s="522"/>
      <c r="H80" s="384"/>
      <c r="I80" s="384"/>
    </row>
    <row r="81" spans="2:13" x14ac:dyDescent="0.2">
      <c r="B81" s="523"/>
      <c r="C81" s="523"/>
      <c r="D81" s="520"/>
      <c r="E81" s="521"/>
      <c r="F81" s="522"/>
    </row>
    <row r="82" spans="2:13" x14ac:dyDescent="0.2">
      <c r="B82" s="905" t="s">
        <v>437</v>
      </c>
      <c r="C82" s="905"/>
      <c r="D82" s="905"/>
      <c r="E82" s="521"/>
      <c r="F82" s="522"/>
    </row>
    <row r="83" spans="2:13" x14ac:dyDescent="0.2">
      <c r="B83" s="523"/>
      <c r="C83" s="523"/>
      <c r="D83" s="520"/>
      <c r="E83" s="521"/>
      <c r="F83" s="522"/>
    </row>
    <row r="84" spans="2:13" x14ac:dyDescent="0.2">
      <c r="B84" s="523"/>
      <c r="C84" s="523"/>
      <c r="D84" s="896" t="str">
        <f>+BALANCE!D361</f>
        <v>ГҮЙЦЭТГЭХ ЗАХИРАЛ.................................................................//</v>
      </c>
      <c r="E84" s="896"/>
      <c r="F84" s="896"/>
      <c r="G84" s="896"/>
      <c r="H84" s="896"/>
      <c r="I84" s="896"/>
      <c r="J84" s="896"/>
      <c r="K84" s="524"/>
      <c r="L84" s="524"/>
      <c r="M84" s="524"/>
    </row>
    <row r="85" spans="2:13" x14ac:dyDescent="0.2">
      <c r="B85" s="523"/>
      <c r="C85" s="523"/>
      <c r="D85" s="520"/>
      <c r="E85" s="521"/>
      <c r="F85" s="522"/>
    </row>
    <row r="86" spans="2:13" x14ac:dyDescent="0.2">
      <c r="B86" s="523"/>
      <c r="C86" s="523"/>
      <c r="D86" s="896" t="str">
        <f>+BALANCE!D363</f>
        <v>ЕРӨНХИЙ НЯГТЛАН БОДОГЧ....................................................//</v>
      </c>
      <c r="E86" s="896"/>
      <c r="F86" s="896"/>
      <c r="G86" s="896"/>
      <c r="H86" s="896"/>
      <c r="I86" s="896"/>
      <c r="J86" s="896"/>
      <c r="K86" s="524"/>
      <c r="L86" s="524"/>
      <c r="M86" s="524"/>
    </row>
    <row r="87" spans="2:13" x14ac:dyDescent="0.2">
      <c r="B87" s="523"/>
      <c r="C87" s="523"/>
      <c r="D87" s="520"/>
      <c r="E87" s="521"/>
      <c r="F87" s="522"/>
    </row>
    <row r="88" spans="2:13" x14ac:dyDescent="0.2">
      <c r="B88" s="523"/>
      <c r="C88" s="523"/>
      <c r="D88" s="896">
        <f>+BALANCE!D365</f>
        <v>0</v>
      </c>
      <c r="E88" s="896"/>
      <c r="F88" s="896"/>
      <c r="G88" s="896"/>
      <c r="H88" s="896"/>
      <c r="I88" s="896"/>
      <c r="J88" s="896"/>
      <c r="K88" s="524"/>
      <c r="L88" s="524"/>
      <c r="M88" s="524"/>
    </row>
  </sheetData>
  <sheetProtection password="CA9F" sheet="1"/>
  <mergeCells count="24">
    <mergeCell ref="D7:E7"/>
    <mergeCell ref="A59:P59"/>
    <mergeCell ref="I51:P58"/>
    <mergeCell ref="A2:P2"/>
    <mergeCell ref="A3:P3"/>
    <mergeCell ref="A4:P4"/>
    <mergeCell ref="H6:J6"/>
    <mergeCell ref="O6:P6"/>
    <mergeCell ref="D86:J86"/>
    <mergeCell ref="D88:J88"/>
    <mergeCell ref="O7:P7"/>
    <mergeCell ref="B80:C80"/>
    <mergeCell ref="A7:A8"/>
    <mergeCell ref="F7:F8"/>
    <mergeCell ref="G7:H7"/>
    <mergeCell ref="A76:P76"/>
    <mergeCell ref="A77:P77"/>
    <mergeCell ref="A78:C78"/>
    <mergeCell ref="J7:N7"/>
    <mergeCell ref="I7:I8"/>
    <mergeCell ref="B82:D82"/>
    <mergeCell ref="D84:J84"/>
    <mergeCell ref="B51:C58"/>
    <mergeCell ref="B7:C7"/>
  </mergeCells>
  <dataValidations count="2">
    <dataValidation allowBlank="1" sqref="O67:P70 B51 B31:C50 E31:I51 D31:D58 E52:H58 D61:H65 O61:P65 J67:K70 B10:P29 J31:P50 J61:K65 D67:H70" xr:uid="{00000000-0002-0000-1300-000000000000}"/>
    <dataValidation type="decimal" operator="lessThanOrEqual" allowBlank="1" showInputMessage="1" showErrorMessage="1" sqref="L72:N72" xr:uid="{00000000-0002-0000-1300-000001000000}">
      <formula1>L71</formula1>
    </dataValidation>
  </dataValidations>
  <pageMargins left="0.7" right="0.7" top="0.75" bottom="0.75" header="0.3" footer="0.3"/>
  <pageSetup paperSize="9" scale="49"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pageSetUpPr fitToPage="1"/>
  </sheetPr>
  <dimension ref="A2:L46"/>
  <sheetViews>
    <sheetView workbookViewId="0"/>
  </sheetViews>
  <sheetFormatPr defaultRowHeight="12.75" x14ac:dyDescent="0.2"/>
  <cols>
    <col min="1" max="1" width="19.85546875" style="3" customWidth="1"/>
    <col min="2" max="2" width="13.7109375" style="3" customWidth="1"/>
    <col min="3" max="3" width="32.28515625" style="3" bestFit="1" customWidth="1"/>
    <col min="4" max="4" width="6.140625" style="3" customWidth="1"/>
    <col min="5" max="12" width="17.7109375" style="3" customWidth="1"/>
    <col min="13" max="16384" width="9.140625" style="3"/>
  </cols>
  <sheetData>
    <row r="2" spans="1:12" x14ac:dyDescent="0.2">
      <c r="A2" s="654" t="s">
        <v>929</v>
      </c>
      <c r="B2" s="654"/>
      <c r="C2" s="654"/>
      <c r="D2" s="654"/>
      <c r="E2" s="654"/>
      <c r="F2" s="654"/>
      <c r="G2" s="654"/>
      <c r="H2" s="654"/>
      <c r="I2" s="654"/>
      <c r="J2" s="654"/>
      <c r="K2" s="654"/>
      <c r="L2" s="654"/>
    </row>
    <row r="3" spans="1:12" x14ac:dyDescent="0.2">
      <c r="A3" s="670" t="str">
        <f>+BALANCE!A3</f>
        <v>БАНК БУС САНХҮҮГИЙН БАЙГУУЛЛАГЫН НЭР</v>
      </c>
      <c r="B3" s="670"/>
      <c r="C3" s="670"/>
      <c r="D3" s="670"/>
      <c r="E3" s="670"/>
      <c r="F3" s="670"/>
      <c r="G3" s="670"/>
      <c r="H3" s="670"/>
      <c r="I3" s="670"/>
      <c r="J3" s="670"/>
      <c r="K3" s="670"/>
      <c r="L3" s="670"/>
    </row>
    <row r="4" spans="1:12" x14ac:dyDescent="0.2">
      <c r="A4" s="652" t="str">
        <f>+BALANCE!A4</f>
        <v>БАНК БУС САНХҮҮГИЙН БАЙГУУЛЛАГА</v>
      </c>
      <c r="B4" s="652"/>
      <c r="C4" s="652"/>
      <c r="D4" s="652"/>
      <c r="E4" s="652"/>
      <c r="F4" s="652"/>
      <c r="G4" s="652"/>
      <c r="H4" s="652"/>
      <c r="I4" s="652"/>
      <c r="J4" s="652"/>
      <c r="K4" s="652"/>
      <c r="L4" s="652"/>
    </row>
    <row r="5" spans="1:12" x14ac:dyDescent="0.2">
      <c r="A5" s="731">
        <f>+BALANCE!A6</f>
        <v>44834</v>
      </c>
      <c r="B5" s="731"/>
      <c r="K5" s="746" t="s">
        <v>439</v>
      </c>
      <c r="L5" s="746"/>
    </row>
    <row r="6" spans="1:12" ht="15" customHeight="1" x14ac:dyDescent="0.2">
      <c r="A6" s="858" t="s">
        <v>930</v>
      </c>
      <c r="B6" s="858"/>
      <c r="C6" s="858"/>
      <c r="D6" s="858" t="s">
        <v>931</v>
      </c>
      <c r="E6" s="926" t="s">
        <v>932</v>
      </c>
      <c r="F6" s="926"/>
      <c r="G6" s="926"/>
      <c r="H6" s="926"/>
      <c r="I6" s="926"/>
      <c r="J6" s="926" t="s">
        <v>933</v>
      </c>
      <c r="K6" s="926"/>
      <c r="L6" s="858" t="s">
        <v>799</v>
      </c>
    </row>
    <row r="7" spans="1:12" ht="38.25" x14ac:dyDescent="0.2">
      <c r="A7" s="858"/>
      <c r="B7" s="858"/>
      <c r="C7" s="858"/>
      <c r="D7" s="858"/>
      <c r="E7" s="488" t="s">
        <v>934</v>
      </c>
      <c r="F7" s="488" t="s">
        <v>935</v>
      </c>
      <c r="G7" s="488" t="s">
        <v>936</v>
      </c>
      <c r="H7" s="488" t="s">
        <v>937</v>
      </c>
      <c r="I7" s="488" t="s">
        <v>938</v>
      </c>
      <c r="J7" s="488" t="s">
        <v>934</v>
      </c>
      <c r="K7" s="488" t="s">
        <v>939</v>
      </c>
      <c r="L7" s="858"/>
    </row>
    <row r="8" spans="1:12" x14ac:dyDescent="0.2">
      <c r="A8" s="924" t="s">
        <v>940</v>
      </c>
      <c r="B8" s="924"/>
      <c r="C8" s="924"/>
      <c r="D8" s="394" t="s">
        <v>941</v>
      </c>
      <c r="E8" s="489"/>
      <c r="F8" s="111"/>
      <c r="G8" s="111"/>
      <c r="H8" s="111"/>
      <c r="I8" s="111"/>
      <c r="J8" s="111"/>
      <c r="K8" s="111"/>
      <c r="L8" s="111" t="s">
        <v>942</v>
      </c>
    </row>
    <row r="9" spans="1:12" ht="15" customHeight="1" x14ac:dyDescent="0.2">
      <c r="A9" s="923" t="s">
        <v>943</v>
      </c>
      <c r="B9" s="923"/>
      <c r="C9" s="393" t="s">
        <v>944</v>
      </c>
      <c r="D9" s="394">
        <v>1</v>
      </c>
      <c r="E9" s="111">
        <v>0</v>
      </c>
      <c r="F9" s="111">
        <v>0</v>
      </c>
      <c r="G9" s="111">
        <v>0</v>
      </c>
      <c r="H9" s="111">
        <v>0</v>
      </c>
      <c r="I9" s="111">
        <v>0</v>
      </c>
      <c r="J9" s="111">
        <v>0</v>
      </c>
      <c r="K9" s="111">
        <v>0</v>
      </c>
      <c r="L9" s="112">
        <f>SUM(E9:K9)</f>
        <v>0</v>
      </c>
    </row>
    <row r="10" spans="1:12" x14ac:dyDescent="0.2">
      <c r="A10" s="923"/>
      <c r="B10" s="923"/>
      <c r="C10" s="393" t="s">
        <v>945</v>
      </c>
      <c r="D10" s="394">
        <v>2</v>
      </c>
      <c r="E10" s="111">
        <v>0</v>
      </c>
      <c r="F10" s="111">
        <v>0</v>
      </c>
      <c r="G10" s="111">
        <v>0</v>
      </c>
      <c r="H10" s="111">
        <v>0</v>
      </c>
      <c r="I10" s="111">
        <v>0</v>
      </c>
      <c r="J10" s="111">
        <v>0</v>
      </c>
      <c r="K10" s="111">
        <v>0</v>
      </c>
      <c r="L10" s="112">
        <f>SUM(E10:K10)</f>
        <v>0</v>
      </c>
    </row>
    <row r="11" spans="1:12" ht="15" customHeight="1" x14ac:dyDescent="0.2">
      <c r="A11" s="923" t="s">
        <v>946</v>
      </c>
      <c r="B11" s="925" t="s">
        <v>947</v>
      </c>
      <c r="C11" s="925"/>
      <c r="D11" s="394">
        <v>3</v>
      </c>
      <c r="E11" s="111">
        <v>0</v>
      </c>
      <c r="F11" s="111">
        <v>0</v>
      </c>
      <c r="G11" s="111">
        <v>0</v>
      </c>
      <c r="H11" s="111">
        <v>0</v>
      </c>
      <c r="I11" s="111">
        <v>0</v>
      </c>
      <c r="J11" s="111">
        <v>0</v>
      </c>
      <c r="K11" s="111">
        <v>0</v>
      </c>
      <c r="L11" s="112">
        <f t="shared" ref="L11:L35" si="0">SUM(E11:K11)</f>
        <v>0</v>
      </c>
    </row>
    <row r="12" spans="1:12" ht="15" customHeight="1" x14ac:dyDescent="0.2">
      <c r="A12" s="923"/>
      <c r="B12" s="923" t="s">
        <v>948</v>
      </c>
      <c r="C12" s="393" t="s">
        <v>949</v>
      </c>
      <c r="D12" s="394">
        <v>4</v>
      </c>
      <c r="E12" s="111">
        <v>0</v>
      </c>
      <c r="F12" s="111">
        <v>0</v>
      </c>
      <c r="G12" s="111">
        <v>0</v>
      </c>
      <c r="H12" s="111">
        <v>0</v>
      </c>
      <c r="I12" s="111">
        <v>0</v>
      </c>
      <c r="J12" s="111">
        <v>0</v>
      </c>
      <c r="K12" s="111">
        <v>0</v>
      </c>
      <c r="L12" s="112">
        <f t="shared" si="0"/>
        <v>0</v>
      </c>
    </row>
    <row r="13" spans="1:12" x14ac:dyDescent="0.2">
      <c r="A13" s="923"/>
      <c r="B13" s="923"/>
      <c r="C13" s="393" t="s">
        <v>878</v>
      </c>
      <c r="D13" s="394">
        <v>5</v>
      </c>
      <c r="E13" s="111">
        <v>0</v>
      </c>
      <c r="F13" s="111">
        <v>0</v>
      </c>
      <c r="G13" s="111">
        <v>0</v>
      </c>
      <c r="H13" s="111">
        <v>0</v>
      </c>
      <c r="I13" s="111">
        <v>0</v>
      </c>
      <c r="J13" s="111">
        <v>0</v>
      </c>
      <c r="K13" s="111">
        <v>0</v>
      </c>
      <c r="L13" s="112">
        <f t="shared" si="0"/>
        <v>0</v>
      </c>
    </row>
    <row r="14" spans="1:12" x14ac:dyDescent="0.2">
      <c r="A14" s="923"/>
      <c r="B14" s="923"/>
      <c r="C14" s="393" t="s">
        <v>950</v>
      </c>
      <c r="D14" s="394">
        <v>6</v>
      </c>
      <c r="E14" s="111">
        <v>0</v>
      </c>
      <c r="F14" s="111">
        <v>0</v>
      </c>
      <c r="G14" s="111">
        <v>0</v>
      </c>
      <c r="H14" s="111">
        <v>0</v>
      </c>
      <c r="I14" s="111">
        <v>0</v>
      </c>
      <c r="J14" s="111">
        <v>0</v>
      </c>
      <c r="K14" s="111">
        <v>0</v>
      </c>
      <c r="L14" s="112">
        <f t="shared" si="0"/>
        <v>0</v>
      </c>
    </row>
    <row r="15" spans="1:12" ht="15" customHeight="1" x14ac:dyDescent="0.2">
      <c r="A15" s="923"/>
      <c r="B15" s="923" t="s">
        <v>951</v>
      </c>
      <c r="C15" s="393" t="s">
        <v>952</v>
      </c>
      <c r="D15" s="394">
        <v>7</v>
      </c>
      <c r="E15" s="111">
        <v>0</v>
      </c>
      <c r="F15" s="111">
        <v>0</v>
      </c>
      <c r="G15" s="111">
        <v>0</v>
      </c>
      <c r="H15" s="111">
        <v>0</v>
      </c>
      <c r="I15" s="111">
        <v>0</v>
      </c>
      <c r="J15" s="111">
        <v>0</v>
      </c>
      <c r="K15" s="111">
        <v>0</v>
      </c>
      <c r="L15" s="112">
        <f t="shared" si="0"/>
        <v>0</v>
      </c>
    </row>
    <row r="16" spans="1:12" x14ac:dyDescent="0.2">
      <c r="A16" s="923"/>
      <c r="B16" s="923"/>
      <c r="C16" s="393" t="s">
        <v>953</v>
      </c>
      <c r="D16" s="394">
        <v>8</v>
      </c>
      <c r="E16" s="111">
        <v>0</v>
      </c>
      <c r="F16" s="111">
        <v>0</v>
      </c>
      <c r="G16" s="111">
        <v>0</v>
      </c>
      <c r="H16" s="111">
        <v>0</v>
      </c>
      <c r="I16" s="111">
        <v>0</v>
      </c>
      <c r="J16" s="111">
        <v>0</v>
      </c>
      <c r="K16" s="111">
        <v>0</v>
      </c>
      <c r="L16" s="112">
        <f t="shared" si="0"/>
        <v>0</v>
      </c>
    </row>
    <row r="17" spans="1:12" x14ac:dyDescent="0.2">
      <c r="A17" s="923"/>
      <c r="B17" s="925" t="s">
        <v>954</v>
      </c>
      <c r="C17" s="925"/>
      <c r="D17" s="394">
        <v>9</v>
      </c>
      <c r="E17" s="112">
        <f t="shared" ref="E17:K17" si="1">SUM(E11+E12-E13+E15-E16)</f>
        <v>0</v>
      </c>
      <c r="F17" s="112">
        <f t="shared" si="1"/>
        <v>0</v>
      </c>
      <c r="G17" s="112">
        <f t="shared" si="1"/>
        <v>0</v>
      </c>
      <c r="H17" s="112">
        <f t="shared" si="1"/>
        <v>0</v>
      </c>
      <c r="I17" s="112">
        <f t="shared" si="1"/>
        <v>0</v>
      </c>
      <c r="J17" s="112">
        <f t="shared" si="1"/>
        <v>0</v>
      </c>
      <c r="K17" s="112">
        <f t="shared" si="1"/>
        <v>0</v>
      </c>
      <c r="L17" s="112">
        <f t="shared" si="0"/>
        <v>0</v>
      </c>
    </row>
    <row r="18" spans="1:12" x14ac:dyDescent="0.2">
      <c r="A18" s="924" t="s">
        <v>955</v>
      </c>
      <c r="B18" s="924"/>
      <c r="C18" s="393" t="s">
        <v>956</v>
      </c>
      <c r="D18" s="394">
        <v>10</v>
      </c>
      <c r="E18" s="111">
        <v>0</v>
      </c>
      <c r="F18" s="111">
        <v>0</v>
      </c>
      <c r="G18" s="111">
        <v>0</v>
      </c>
      <c r="H18" s="111">
        <v>0</v>
      </c>
      <c r="I18" s="111">
        <v>0</v>
      </c>
      <c r="J18" s="111">
        <v>0</v>
      </c>
      <c r="K18" s="111">
        <v>0</v>
      </c>
      <c r="L18" s="112">
        <f t="shared" si="0"/>
        <v>0</v>
      </c>
    </row>
    <row r="19" spans="1:12" x14ac:dyDescent="0.2">
      <c r="A19" s="924"/>
      <c r="B19" s="924"/>
      <c r="C19" s="393" t="s">
        <v>957</v>
      </c>
      <c r="D19" s="394">
        <v>11</v>
      </c>
      <c r="E19" s="111">
        <v>0</v>
      </c>
      <c r="F19" s="111">
        <v>0</v>
      </c>
      <c r="G19" s="111">
        <v>0</v>
      </c>
      <c r="H19" s="111">
        <v>0</v>
      </c>
      <c r="I19" s="111">
        <v>0</v>
      </c>
      <c r="J19" s="111">
        <v>0</v>
      </c>
      <c r="K19" s="111">
        <v>0</v>
      </c>
      <c r="L19" s="112">
        <f t="shared" si="0"/>
        <v>0</v>
      </c>
    </row>
    <row r="20" spans="1:12" ht="15" customHeight="1" x14ac:dyDescent="0.2">
      <c r="A20" s="923" t="s">
        <v>958</v>
      </c>
      <c r="B20" s="924" t="s">
        <v>959</v>
      </c>
      <c r="C20" s="924"/>
      <c r="D20" s="394">
        <v>12</v>
      </c>
      <c r="E20" s="111">
        <v>0</v>
      </c>
      <c r="F20" s="111">
        <v>0</v>
      </c>
      <c r="G20" s="111">
        <v>0</v>
      </c>
      <c r="H20" s="111">
        <v>0</v>
      </c>
      <c r="I20" s="111">
        <v>0</v>
      </c>
      <c r="J20" s="111">
        <v>0</v>
      </c>
      <c r="K20" s="111">
        <v>0</v>
      </c>
      <c r="L20" s="112">
        <f t="shared" si="0"/>
        <v>0</v>
      </c>
    </row>
    <row r="21" spans="1:12" x14ac:dyDescent="0.2">
      <c r="A21" s="923"/>
      <c r="B21" s="924" t="s">
        <v>960</v>
      </c>
      <c r="C21" s="924"/>
      <c r="D21" s="394">
        <v>13</v>
      </c>
      <c r="E21" s="111">
        <v>0</v>
      </c>
      <c r="F21" s="111">
        <v>0</v>
      </c>
      <c r="G21" s="111">
        <v>0</v>
      </c>
      <c r="H21" s="111">
        <v>0</v>
      </c>
      <c r="I21" s="111">
        <v>0</v>
      </c>
      <c r="J21" s="111">
        <v>0</v>
      </c>
      <c r="K21" s="111">
        <v>0</v>
      </c>
      <c r="L21" s="112">
        <f t="shared" si="0"/>
        <v>0</v>
      </c>
    </row>
    <row r="22" spans="1:12" ht="15" customHeight="1" x14ac:dyDescent="0.2">
      <c r="A22" s="923"/>
      <c r="B22" s="923" t="s">
        <v>961</v>
      </c>
      <c r="C22" s="393" t="s">
        <v>962</v>
      </c>
      <c r="D22" s="394">
        <v>14</v>
      </c>
      <c r="E22" s="111">
        <v>0</v>
      </c>
      <c r="F22" s="111">
        <v>0</v>
      </c>
      <c r="G22" s="111">
        <v>0</v>
      </c>
      <c r="H22" s="111">
        <v>0</v>
      </c>
      <c r="I22" s="111">
        <v>0</v>
      </c>
      <c r="J22" s="111">
        <v>0</v>
      </c>
      <c r="K22" s="111">
        <v>0</v>
      </c>
      <c r="L22" s="112">
        <f t="shared" si="0"/>
        <v>0</v>
      </c>
    </row>
    <row r="23" spans="1:12" x14ac:dyDescent="0.2">
      <c r="A23" s="923"/>
      <c r="B23" s="923"/>
      <c r="C23" s="393" t="s">
        <v>963</v>
      </c>
      <c r="D23" s="394">
        <v>15</v>
      </c>
      <c r="E23" s="111">
        <v>0</v>
      </c>
      <c r="F23" s="111">
        <v>0</v>
      </c>
      <c r="G23" s="111">
        <v>0</v>
      </c>
      <c r="H23" s="111">
        <v>0</v>
      </c>
      <c r="I23" s="111">
        <v>0</v>
      </c>
      <c r="J23" s="111">
        <v>0</v>
      </c>
      <c r="K23" s="111">
        <v>0</v>
      </c>
      <c r="L23" s="112">
        <f t="shared" si="0"/>
        <v>0</v>
      </c>
    </row>
    <row r="24" spans="1:12" ht="15" customHeight="1" x14ac:dyDescent="0.2">
      <c r="A24" s="923" t="s">
        <v>964</v>
      </c>
      <c r="B24" s="923"/>
      <c r="C24" s="394" t="s">
        <v>959</v>
      </c>
      <c r="D24" s="394">
        <v>16</v>
      </c>
      <c r="E24" s="113">
        <v>0</v>
      </c>
      <c r="F24" s="113">
        <v>0</v>
      </c>
      <c r="G24" s="113">
        <v>0</v>
      </c>
      <c r="H24" s="113">
        <v>0</v>
      </c>
      <c r="I24" s="113">
        <v>0</v>
      </c>
      <c r="J24" s="113">
        <v>0</v>
      </c>
      <c r="K24" s="113">
        <v>0</v>
      </c>
      <c r="L24" s="490">
        <f t="shared" si="0"/>
        <v>0</v>
      </c>
    </row>
    <row r="25" spans="1:12" x14ac:dyDescent="0.2">
      <c r="A25" s="923"/>
      <c r="B25" s="923"/>
      <c r="C25" s="394" t="s">
        <v>960</v>
      </c>
      <c r="D25" s="394">
        <v>17</v>
      </c>
      <c r="E25" s="113">
        <v>0</v>
      </c>
      <c r="F25" s="113">
        <v>0</v>
      </c>
      <c r="G25" s="113">
        <v>0</v>
      </c>
      <c r="H25" s="113">
        <v>0</v>
      </c>
      <c r="I25" s="113">
        <v>0</v>
      </c>
      <c r="J25" s="113">
        <v>0</v>
      </c>
      <c r="K25" s="113">
        <v>0</v>
      </c>
      <c r="L25" s="490">
        <f t="shared" si="0"/>
        <v>0</v>
      </c>
    </row>
    <row r="26" spans="1:12" x14ac:dyDescent="0.2">
      <c r="A26" s="923"/>
      <c r="B26" s="923"/>
      <c r="C26" s="394" t="s">
        <v>961</v>
      </c>
      <c r="D26" s="394">
        <v>18</v>
      </c>
      <c r="E26" s="113">
        <v>0</v>
      </c>
      <c r="F26" s="113">
        <v>0</v>
      </c>
      <c r="G26" s="113">
        <v>0</v>
      </c>
      <c r="H26" s="113">
        <v>0</v>
      </c>
      <c r="I26" s="113">
        <v>0</v>
      </c>
      <c r="J26" s="113">
        <v>0</v>
      </c>
      <c r="K26" s="113">
        <v>0</v>
      </c>
      <c r="L26" s="490">
        <f t="shared" si="0"/>
        <v>0</v>
      </c>
    </row>
    <row r="27" spans="1:12" ht="15" customHeight="1" x14ac:dyDescent="0.2">
      <c r="A27" s="923" t="s">
        <v>965</v>
      </c>
      <c r="B27" s="923"/>
      <c r="C27" s="393" t="s">
        <v>966</v>
      </c>
      <c r="D27" s="394">
        <v>19</v>
      </c>
      <c r="E27" s="111">
        <v>0</v>
      </c>
      <c r="F27" s="111">
        <v>0</v>
      </c>
      <c r="G27" s="111">
        <v>0</v>
      </c>
      <c r="H27" s="111">
        <v>0</v>
      </c>
      <c r="I27" s="111">
        <v>0</v>
      </c>
      <c r="J27" s="111">
        <v>0</v>
      </c>
      <c r="K27" s="111">
        <v>0</v>
      </c>
      <c r="L27" s="112">
        <f t="shared" si="0"/>
        <v>0</v>
      </c>
    </row>
    <row r="28" spans="1:12" x14ac:dyDescent="0.2">
      <c r="A28" s="923"/>
      <c r="B28" s="923"/>
      <c r="C28" s="393" t="s">
        <v>967</v>
      </c>
      <c r="D28" s="394">
        <v>20</v>
      </c>
      <c r="E28" s="111">
        <v>0</v>
      </c>
      <c r="F28" s="111">
        <v>0</v>
      </c>
      <c r="G28" s="111">
        <v>0</v>
      </c>
      <c r="H28" s="111">
        <v>0</v>
      </c>
      <c r="I28" s="111">
        <v>0</v>
      </c>
      <c r="J28" s="111">
        <v>0</v>
      </c>
      <c r="K28" s="111">
        <v>0</v>
      </c>
      <c r="L28" s="112">
        <f t="shared" si="0"/>
        <v>0</v>
      </c>
    </row>
    <row r="29" spans="1:12" ht="15" customHeight="1" x14ac:dyDescent="0.2">
      <c r="A29" s="923" t="s">
        <v>1178</v>
      </c>
      <c r="B29" s="924" t="s">
        <v>968</v>
      </c>
      <c r="C29" s="924"/>
      <c r="D29" s="394">
        <v>21</v>
      </c>
      <c r="E29" s="111">
        <v>0</v>
      </c>
      <c r="F29" s="111">
        <v>0</v>
      </c>
      <c r="G29" s="111">
        <v>0</v>
      </c>
      <c r="H29" s="111">
        <v>0</v>
      </c>
      <c r="I29" s="111">
        <v>0</v>
      </c>
      <c r="J29" s="111">
        <v>0</v>
      </c>
      <c r="K29" s="111">
        <v>0</v>
      </c>
      <c r="L29" s="112">
        <f t="shared" si="0"/>
        <v>0</v>
      </c>
    </row>
    <row r="30" spans="1:12" x14ac:dyDescent="0.2">
      <c r="A30" s="923"/>
      <c r="B30" s="924" t="s">
        <v>969</v>
      </c>
      <c r="C30" s="924"/>
      <c r="D30" s="394">
        <v>22</v>
      </c>
      <c r="E30" s="111">
        <v>0</v>
      </c>
      <c r="F30" s="111">
        <v>0</v>
      </c>
      <c r="G30" s="111">
        <v>0</v>
      </c>
      <c r="H30" s="111">
        <v>0</v>
      </c>
      <c r="I30" s="111">
        <v>0</v>
      </c>
      <c r="J30" s="111">
        <v>0</v>
      </c>
      <c r="K30" s="111">
        <v>0</v>
      </c>
      <c r="L30" s="112">
        <f t="shared" si="0"/>
        <v>0</v>
      </c>
    </row>
    <row r="31" spans="1:12" x14ac:dyDescent="0.2">
      <c r="A31" s="923"/>
      <c r="B31" s="924" t="s">
        <v>970</v>
      </c>
      <c r="C31" s="393" t="s">
        <v>1164</v>
      </c>
      <c r="D31" s="394">
        <v>23</v>
      </c>
      <c r="E31" s="111">
        <v>0</v>
      </c>
      <c r="F31" s="111">
        <v>0</v>
      </c>
      <c r="G31" s="111">
        <v>0</v>
      </c>
      <c r="H31" s="111">
        <v>0</v>
      </c>
      <c r="I31" s="111">
        <v>0</v>
      </c>
      <c r="J31" s="111">
        <v>0</v>
      </c>
      <c r="K31" s="111">
        <v>0</v>
      </c>
      <c r="L31" s="112">
        <f t="shared" si="0"/>
        <v>0</v>
      </c>
    </row>
    <row r="32" spans="1:12" x14ac:dyDescent="0.2">
      <c r="A32" s="923"/>
      <c r="B32" s="924"/>
      <c r="C32" s="393" t="s">
        <v>481</v>
      </c>
      <c r="D32" s="394">
        <v>24</v>
      </c>
      <c r="E32" s="111">
        <v>0</v>
      </c>
      <c r="F32" s="111">
        <v>0</v>
      </c>
      <c r="G32" s="111">
        <v>0</v>
      </c>
      <c r="H32" s="111">
        <v>0</v>
      </c>
      <c r="I32" s="111">
        <v>0</v>
      </c>
      <c r="J32" s="111">
        <v>0</v>
      </c>
      <c r="K32" s="111">
        <v>0</v>
      </c>
      <c r="L32" s="112">
        <f t="shared" si="0"/>
        <v>0</v>
      </c>
    </row>
    <row r="33" spans="1:12" x14ac:dyDescent="0.2">
      <c r="A33" s="923"/>
      <c r="B33" s="924"/>
      <c r="C33" s="393" t="s">
        <v>474</v>
      </c>
      <c r="D33" s="394">
        <v>25</v>
      </c>
      <c r="E33" s="111">
        <v>0</v>
      </c>
      <c r="F33" s="111">
        <v>0</v>
      </c>
      <c r="G33" s="111">
        <v>0</v>
      </c>
      <c r="H33" s="111">
        <v>0</v>
      </c>
      <c r="I33" s="111">
        <v>0</v>
      </c>
      <c r="J33" s="111">
        <v>0</v>
      </c>
      <c r="K33" s="111">
        <v>0</v>
      </c>
      <c r="L33" s="112">
        <f t="shared" si="0"/>
        <v>0</v>
      </c>
    </row>
    <row r="34" spans="1:12" x14ac:dyDescent="0.2">
      <c r="A34" s="923"/>
      <c r="B34" s="924"/>
      <c r="C34" s="393" t="s">
        <v>971</v>
      </c>
      <c r="D34" s="394">
        <v>26</v>
      </c>
      <c r="E34" s="111">
        <v>0</v>
      </c>
      <c r="F34" s="111">
        <v>0</v>
      </c>
      <c r="G34" s="111">
        <v>0</v>
      </c>
      <c r="H34" s="111">
        <v>0</v>
      </c>
      <c r="I34" s="111">
        <v>0</v>
      </c>
      <c r="J34" s="111">
        <v>0</v>
      </c>
      <c r="K34" s="111">
        <v>0</v>
      </c>
      <c r="L34" s="112">
        <f t="shared" si="0"/>
        <v>0</v>
      </c>
    </row>
    <row r="35" spans="1:12" ht="15" customHeight="1" x14ac:dyDescent="0.2">
      <c r="A35" s="923" t="s">
        <v>972</v>
      </c>
      <c r="B35" s="923"/>
      <c r="C35" s="393" t="s">
        <v>973</v>
      </c>
      <c r="D35" s="394">
        <v>27</v>
      </c>
      <c r="E35" s="111">
        <v>0</v>
      </c>
      <c r="F35" s="111">
        <v>0</v>
      </c>
      <c r="G35" s="111">
        <v>0</v>
      </c>
      <c r="H35" s="111">
        <v>0</v>
      </c>
      <c r="I35" s="111">
        <v>0</v>
      </c>
      <c r="J35" s="111">
        <v>0</v>
      </c>
      <c r="K35" s="111">
        <v>0</v>
      </c>
      <c r="L35" s="112">
        <f t="shared" si="0"/>
        <v>0</v>
      </c>
    </row>
    <row r="36" spans="1:12" x14ac:dyDescent="0.2">
      <c r="A36" s="923"/>
      <c r="B36" s="923"/>
      <c r="C36" s="393" t="s">
        <v>974</v>
      </c>
      <c r="D36" s="394">
        <v>28</v>
      </c>
      <c r="E36" s="111">
        <v>0</v>
      </c>
      <c r="F36" s="111">
        <v>0</v>
      </c>
      <c r="G36" s="111">
        <v>0</v>
      </c>
      <c r="H36" s="111">
        <v>0</v>
      </c>
      <c r="I36" s="111">
        <v>0</v>
      </c>
      <c r="J36" s="111">
        <v>0</v>
      </c>
      <c r="K36" s="111">
        <v>0</v>
      </c>
      <c r="L36" s="112">
        <f>SUM(E36:K36)</f>
        <v>0</v>
      </c>
    </row>
    <row r="38" spans="1:12" x14ac:dyDescent="0.2">
      <c r="B38" s="65" t="s">
        <v>36</v>
      </c>
      <c r="C38" s="66"/>
      <c r="D38" s="126"/>
      <c r="E38" s="126"/>
      <c r="F38" s="13"/>
      <c r="G38" s="14"/>
    </row>
    <row r="39" spans="1:12" x14ac:dyDescent="0.2">
      <c r="B39" s="15"/>
      <c r="C39" s="16"/>
      <c r="D39" s="126"/>
      <c r="E39" s="126"/>
      <c r="F39" s="13"/>
      <c r="G39" s="14"/>
    </row>
    <row r="40" spans="1:12" x14ac:dyDescent="0.2">
      <c r="B40" s="15"/>
      <c r="C40" s="114" t="s">
        <v>437</v>
      </c>
      <c r="D40" s="114"/>
      <c r="E40" s="114"/>
      <c r="F40" s="13"/>
      <c r="G40" s="14"/>
    </row>
    <row r="41" spans="1:12" x14ac:dyDescent="0.2">
      <c r="B41" s="15"/>
      <c r="C41" s="16"/>
      <c r="D41" s="126"/>
      <c r="E41" s="126"/>
      <c r="F41" s="13"/>
      <c r="G41" s="14"/>
    </row>
    <row r="42" spans="1:12" ht="15" customHeight="1" x14ac:dyDescent="0.2">
      <c r="B42" s="15"/>
      <c r="C42" s="747" t="str">
        <f>+BALANCE!D361</f>
        <v>ГҮЙЦЭТГЭХ ЗАХИРАЛ.................................................................//</v>
      </c>
      <c r="D42" s="747"/>
      <c r="E42" s="747"/>
      <c r="F42" s="747"/>
      <c r="G42" s="747"/>
      <c r="H42" s="747"/>
      <c r="I42" s="747"/>
      <c r="J42" s="747"/>
    </row>
    <row r="43" spans="1:12" x14ac:dyDescent="0.2">
      <c r="B43" s="15"/>
      <c r="C43" s="16"/>
      <c r="D43" s="126"/>
      <c r="E43" s="129"/>
      <c r="F43" s="129"/>
      <c r="G43" s="129"/>
    </row>
    <row r="44" spans="1:12" ht="15" customHeight="1" x14ac:dyDescent="0.2">
      <c r="B44" s="15"/>
      <c r="C44" s="747" t="str">
        <f>+BALANCE!D363</f>
        <v>ЕРӨНХИЙ НЯГТЛАН БОДОГЧ....................................................//</v>
      </c>
      <c r="D44" s="747"/>
      <c r="E44" s="747"/>
      <c r="F44" s="747"/>
      <c r="G44" s="747"/>
      <c r="H44" s="747"/>
      <c r="I44" s="747"/>
      <c r="J44" s="747"/>
    </row>
    <row r="45" spans="1:12" x14ac:dyDescent="0.2">
      <c r="B45" s="15"/>
      <c r="C45" s="16"/>
      <c r="D45" s="126"/>
      <c r="E45" s="129"/>
      <c r="F45" s="129"/>
      <c r="G45" s="129"/>
    </row>
    <row r="46" spans="1:12" ht="15" customHeight="1" x14ac:dyDescent="0.2">
      <c r="B46" s="15"/>
      <c r="C46" s="747">
        <f>+BALANCE!D365</f>
        <v>0</v>
      </c>
      <c r="D46" s="747"/>
      <c r="E46" s="747"/>
      <c r="F46" s="747"/>
      <c r="G46" s="747"/>
      <c r="H46" s="747"/>
      <c r="I46" s="747"/>
      <c r="J46" s="747"/>
    </row>
  </sheetData>
  <sheetProtection password="CA9F" sheet="1"/>
  <mergeCells count="32">
    <mergeCell ref="A2:L2"/>
    <mergeCell ref="A3:L3"/>
    <mergeCell ref="A5:B5"/>
    <mergeCell ref="K5:L5"/>
    <mergeCell ref="A6:C7"/>
    <mergeCell ref="D6:D7"/>
    <mergeCell ref="E6:I6"/>
    <mergeCell ref="J6:K6"/>
    <mergeCell ref="L6:L7"/>
    <mergeCell ref="A8:C8"/>
    <mergeCell ref="A9:B10"/>
    <mergeCell ref="A11:A17"/>
    <mergeCell ref="B11:C11"/>
    <mergeCell ref="B12:B14"/>
    <mergeCell ref="B15:B16"/>
    <mergeCell ref="B17:C17"/>
    <mergeCell ref="A24:B26"/>
    <mergeCell ref="C42:J42"/>
    <mergeCell ref="C44:J44"/>
    <mergeCell ref="C46:J46"/>
    <mergeCell ref="A4:L4"/>
    <mergeCell ref="A27:B28"/>
    <mergeCell ref="A29:A34"/>
    <mergeCell ref="B29:C29"/>
    <mergeCell ref="B30:C30"/>
    <mergeCell ref="B31:B34"/>
    <mergeCell ref="A35:B36"/>
    <mergeCell ref="A18:B19"/>
    <mergeCell ref="A20:A23"/>
    <mergeCell ref="B20:C20"/>
    <mergeCell ref="B21:C21"/>
    <mergeCell ref="B22:B23"/>
  </mergeCells>
  <dataValidations count="1">
    <dataValidation type="decimal" operator="notEqual" allowBlank="1" showErrorMessage="1" error="This is an invalid value!" sqref="E8:K16 E18:K36" xr:uid="{00000000-0002-0000-1400-000000000000}">
      <formula1>1E+25</formula1>
      <formula2>0</formula2>
    </dataValidation>
  </dataValidations>
  <pageMargins left="0.78740157480314965" right="0.78740157480314965" top="1.1811023622047243" bottom="0.59055118110236215" header="0.78740157480314965" footer="0.78740157480314965"/>
  <pageSetup paperSize="9" scale="61"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pageSetUpPr fitToPage="1"/>
  </sheetPr>
  <dimension ref="A2:I38"/>
  <sheetViews>
    <sheetView workbookViewId="0"/>
  </sheetViews>
  <sheetFormatPr defaultRowHeight="12.75" x14ac:dyDescent="0.2"/>
  <cols>
    <col min="1" max="1" width="3.5703125" style="3" bestFit="1" customWidth="1"/>
    <col min="2" max="2" width="20" style="3" bestFit="1" customWidth="1"/>
    <col min="3" max="3" width="16.85546875" style="123" bestFit="1" customWidth="1"/>
    <col min="4" max="4" width="18.85546875" style="3" bestFit="1" customWidth="1"/>
    <col min="5" max="5" width="11.7109375" style="3" bestFit="1" customWidth="1"/>
    <col min="6" max="6" width="20.28515625" style="123" bestFit="1" customWidth="1"/>
    <col min="7" max="7" width="18.28515625" style="123" customWidth="1"/>
    <col min="8" max="8" width="17.7109375" style="175" customWidth="1"/>
    <col min="9" max="9" width="16.7109375" style="124" bestFit="1" customWidth="1"/>
    <col min="10" max="16384" width="9.140625" style="3"/>
  </cols>
  <sheetData>
    <row r="2" spans="1:9" x14ac:dyDescent="0.2">
      <c r="A2" s="652" t="s">
        <v>975</v>
      </c>
      <c r="B2" s="652"/>
      <c r="C2" s="652"/>
      <c r="D2" s="652"/>
      <c r="E2" s="652"/>
      <c r="F2" s="652"/>
      <c r="G2" s="652"/>
      <c r="H2" s="652"/>
      <c r="I2" s="652"/>
    </row>
    <row r="3" spans="1:9" x14ac:dyDescent="0.2">
      <c r="A3" s="670" t="str">
        <f>+BALANCE!A3</f>
        <v>БАНК БУС САНХҮҮГИЙН БАЙГУУЛЛАГЫН НЭР</v>
      </c>
      <c r="B3" s="670"/>
      <c r="C3" s="670"/>
      <c r="D3" s="670"/>
      <c r="E3" s="670"/>
      <c r="F3" s="670"/>
      <c r="G3" s="670"/>
      <c r="H3" s="670"/>
      <c r="I3" s="670"/>
    </row>
    <row r="4" spans="1:9" x14ac:dyDescent="0.2">
      <c r="A4" s="652" t="str">
        <f>+BALANCE!A4</f>
        <v>БАНК БУС САНХҮҮГИЙН БАЙГУУЛЛАГА</v>
      </c>
      <c r="B4" s="652"/>
      <c r="C4" s="652"/>
      <c r="D4" s="652"/>
      <c r="E4" s="652"/>
      <c r="F4" s="652"/>
      <c r="G4" s="652"/>
      <c r="H4" s="652"/>
      <c r="I4" s="652"/>
    </row>
    <row r="5" spans="1:9" ht="15.75" customHeight="1" x14ac:dyDescent="0.2">
      <c r="A5" s="731">
        <f>+BALANCE!A6</f>
        <v>44834</v>
      </c>
      <c r="B5" s="731"/>
      <c r="H5" s="849" t="s">
        <v>439</v>
      </c>
      <c r="I5" s="849"/>
    </row>
    <row r="6" spans="1:9" ht="38.25" x14ac:dyDescent="0.2">
      <c r="A6" s="115" t="s">
        <v>2</v>
      </c>
      <c r="B6" s="115" t="s">
        <v>976</v>
      </c>
      <c r="C6" s="300" t="s">
        <v>977</v>
      </c>
      <c r="D6" s="115" t="s">
        <v>978</v>
      </c>
      <c r="E6" s="115" t="s">
        <v>979</v>
      </c>
      <c r="F6" s="300" t="s">
        <v>980</v>
      </c>
      <c r="G6" s="176" t="s">
        <v>981</v>
      </c>
      <c r="H6" s="177" t="s">
        <v>982</v>
      </c>
      <c r="I6" s="177" t="s">
        <v>823</v>
      </c>
    </row>
    <row r="7" spans="1:9" x14ac:dyDescent="0.2">
      <c r="A7" s="116">
        <v>1</v>
      </c>
      <c r="B7" s="109"/>
      <c r="C7" s="191"/>
      <c r="D7" s="117"/>
      <c r="E7" s="117"/>
      <c r="F7" s="191"/>
      <c r="G7" s="191"/>
      <c r="H7" s="301">
        <f>IF(AND(F7&lt;&gt;"",G7&lt;&gt;""),VALUE(F7/G7),0)</f>
        <v>0</v>
      </c>
      <c r="I7" s="299" t="e">
        <f>+F7/BALANCESHEET!G$82</f>
        <v>#DIV/0!</v>
      </c>
    </row>
    <row r="8" spans="1:9" x14ac:dyDescent="0.2">
      <c r="A8" s="116">
        <v>2</v>
      </c>
      <c r="B8" s="109"/>
      <c r="C8" s="191"/>
      <c r="D8" s="117"/>
      <c r="E8" s="117"/>
      <c r="F8" s="191"/>
      <c r="G8" s="191"/>
      <c r="H8" s="301">
        <f t="shared" ref="H8:H26" si="0">IF(AND(F8&lt;&gt;"",G8&lt;&gt;""),VALUE(F8/G8),0)</f>
        <v>0</v>
      </c>
      <c r="I8" s="299" t="e">
        <f>+F8/BALANCESHEET!G$82</f>
        <v>#DIV/0!</v>
      </c>
    </row>
    <row r="9" spans="1:9" x14ac:dyDescent="0.2">
      <c r="A9" s="116">
        <v>3</v>
      </c>
      <c r="B9" s="109"/>
      <c r="C9" s="191"/>
      <c r="D9" s="117"/>
      <c r="E9" s="117"/>
      <c r="F9" s="191"/>
      <c r="G9" s="191"/>
      <c r="H9" s="301">
        <f t="shared" si="0"/>
        <v>0</v>
      </c>
      <c r="I9" s="299" t="e">
        <f>+F9/BALANCESHEET!G$82</f>
        <v>#DIV/0!</v>
      </c>
    </row>
    <row r="10" spans="1:9" x14ac:dyDescent="0.2">
      <c r="A10" s="116">
        <v>4</v>
      </c>
      <c r="B10" s="109"/>
      <c r="C10" s="191"/>
      <c r="D10" s="117"/>
      <c r="E10" s="117"/>
      <c r="F10" s="191"/>
      <c r="G10" s="191"/>
      <c r="H10" s="301">
        <f t="shared" si="0"/>
        <v>0</v>
      </c>
      <c r="I10" s="299" t="e">
        <f>+F10/BALANCESHEET!G$82</f>
        <v>#DIV/0!</v>
      </c>
    </row>
    <row r="11" spans="1:9" x14ac:dyDescent="0.2">
      <c r="A11" s="116">
        <v>5</v>
      </c>
      <c r="B11" s="109"/>
      <c r="C11" s="191"/>
      <c r="D11" s="117"/>
      <c r="E11" s="117"/>
      <c r="F11" s="191"/>
      <c r="G11" s="191"/>
      <c r="H11" s="301">
        <f t="shared" si="0"/>
        <v>0</v>
      </c>
      <c r="I11" s="299" t="e">
        <f>+F11/BALANCESHEET!G$82</f>
        <v>#DIV/0!</v>
      </c>
    </row>
    <row r="12" spans="1:9" x14ac:dyDescent="0.2">
      <c r="A12" s="116">
        <v>6</v>
      </c>
      <c r="B12" s="109"/>
      <c r="C12" s="191"/>
      <c r="D12" s="117"/>
      <c r="E12" s="117"/>
      <c r="F12" s="191"/>
      <c r="G12" s="191"/>
      <c r="H12" s="301">
        <f t="shared" si="0"/>
        <v>0</v>
      </c>
      <c r="I12" s="299" t="e">
        <f>+F12/BALANCESHEET!G$82</f>
        <v>#DIV/0!</v>
      </c>
    </row>
    <row r="13" spans="1:9" x14ac:dyDescent="0.2">
      <c r="A13" s="116">
        <v>7</v>
      </c>
      <c r="B13" s="109"/>
      <c r="C13" s="191"/>
      <c r="D13" s="117"/>
      <c r="E13" s="117"/>
      <c r="F13" s="191"/>
      <c r="G13" s="191"/>
      <c r="H13" s="301">
        <f t="shared" si="0"/>
        <v>0</v>
      </c>
      <c r="I13" s="299" t="e">
        <f>+F13/BALANCESHEET!G$82</f>
        <v>#DIV/0!</v>
      </c>
    </row>
    <row r="14" spans="1:9" x14ac:dyDescent="0.2">
      <c r="A14" s="116">
        <v>8</v>
      </c>
      <c r="B14" s="109"/>
      <c r="C14" s="191"/>
      <c r="D14" s="117"/>
      <c r="E14" s="117"/>
      <c r="F14" s="191"/>
      <c r="G14" s="191"/>
      <c r="H14" s="301">
        <f t="shared" si="0"/>
        <v>0</v>
      </c>
      <c r="I14" s="299" t="e">
        <f>+F14/BALANCESHEET!G$82</f>
        <v>#DIV/0!</v>
      </c>
    </row>
    <row r="15" spans="1:9" x14ac:dyDescent="0.2">
      <c r="A15" s="116">
        <v>9</v>
      </c>
      <c r="B15" s="109"/>
      <c r="C15" s="191"/>
      <c r="D15" s="117"/>
      <c r="E15" s="117"/>
      <c r="F15" s="191"/>
      <c r="G15" s="191"/>
      <c r="H15" s="301">
        <f t="shared" si="0"/>
        <v>0</v>
      </c>
      <c r="I15" s="299" t="e">
        <f>+F15/BALANCESHEET!G$82</f>
        <v>#DIV/0!</v>
      </c>
    </row>
    <row r="16" spans="1:9" x14ac:dyDescent="0.2">
      <c r="A16" s="116">
        <v>10</v>
      </c>
      <c r="B16" s="109"/>
      <c r="C16" s="191"/>
      <c r="D16" s="117"/>
      <c r="E16" s="117"/>
      <c r="F16" s="191"/>
      <c r="G16" s="191"/>
      <c r="H16" s="301">
        <f t="shared" si="0"/>
        <v>0</v>
      </c>
      <c r="I16" s="299" t="e">
        <f>+F16/BALANCESHEET!G$82</f>
        <v>#DIV/0!</v>
      </c>
    </row>
    <row r="17" spans="1:9" x14ac:dyDescent="0.2">
      <c r="A17" s="116">
        <v>11</v>
      </c>
      <c r="B17" s="109"/>
      <c r="C17" s="191"/>
      <c r="D17" s="117"/>
      <c r="E17" s="117"/>
      <c r="F17" s="191"/>
      <c r="G17" s="191"/>
      <c r="H17" s="301">
        <f t="shared" si="0"/>
        <v>0</v>
      </c>
      <c r="I17" s="299" t="e">
        <f>+F17/BALANCESHEET!G$82</f>
        <v>#DIV/0!</v>
      </c>
    </row>
    <row r="18" spans="1:9" x14ac:dyDescent="0.2">
      <c r="A18" s="116">
        <v>12</v>
      </c>
      <c r="B18" s="109"/>
      <c r="C18" s="191"/>
      <c r="D18" s="117"/>
      <c r="E18" s="117"/>
      <c r="F18" s="191"/>
      <c r="G18" s="191"/>
      <c r="H18" s="301">
        <f t="shared" si="0"/>
        <v>0</v>
      </c>
      <c r="I18" s="299" t="e">
        <f>+F18/BALANCESHEET!G$82</f>
        <v>#DIV/0!</v>
      </c>
    </row>
    <row r="19" spans="1:9" x14ac:dyDescent="0.2">
      <c r="A19" s="116">
        <v>13</v>
      </c>
      <c r="B19" s="109"/>
      <c r="C19" s="191"/>
      <c r="D19" s="117"/>
      <c r="E19" s="117"/>
      <c r="F19" s="191"/>
      <c r="G19" s="191"/>
      <c r="H19" s="301">
        <f t="shared" si="0"/>
        <v>0</v>
      </c>
      <c r="I19" s="299" t="e">
        <f>+F19/BALANCESHEET!G$82</f>
        <v>#DIV/0!</v>
      </c>
    </row>
    <row r="20" spans="1:9" x14ac:dyDescent="0.2">
      <c r="A20" s="116">
        <v>14</v>
      </c>
      <c r="B20" s="109"/>
      <c r="C20" s="191"/>
      <c r="D20" s="117"/>
      <c r="E20" s="117"/>
      <c r="F20" s="191"/>
      <c r="G20" s="191"/>
      <c r="H20" s="301">
        <f t="shared" si="0"/>
        <v>0</v>
      </c>
      <c r="I20" s="299" t="e">
        <f>+F20/BALANCESHEET!G$82</f>
        <v>#DIV/0!</v>
      </c>
    </row>
    <row r="21" spans="1:9" x14ac:dyDescent="0.2">
      <c r="A21" s="116">
        <v>15</v>
      </c>
      <c r="B21" s="109"/>
      <c r="C21" s="191"/>
      <c r="D21" s="117"/>
      <c r="E21" s="117"/>
      <c r="F21" s="191"/>
      <c r="G21" s="191"/>
      <c r="H21" s="301">
        <f t="shared" si="0"/>
        <v>0</v>
      </c>
      <c r="I21" s="299" t="e">
        <f>+F21/BALANCESHEET!G$82</f>
        <v>#DIV/0!</v>
      </c>
    </row>
    <row r="22" spans="1:9" x14ac:dyDescent="0.2">
      <c r="A22" s="116">
        <v>16</v>
      </c>
      <c r="B22" s="109"/>
      <c r="C22" s="191"/>
      <c r="D22" s="117"/>
      <c r="E22" s="117"/>
      <c r="F22" s="191"/>
      <c r="G22" s="191"/>
      <c r="H22" s="301">
        <f t="shared" si="0"/>
        <v>0</v>
      </c>
      <c r="I22" s="299" t="e">
        <f>+F22/BALANCESHEET!G$82</f>
        <v>#DIV/0!</v>
      </c>
    </row>
    <row r="23" spans="1:9" x14ac:dyDescent="0.2">
      <c r="A23" s="116">
        <v>17</v>
      </c>
      <c r="B23" s="109"/>
      <c r="C23" s="191"/>
      <c r="D23" s="117"/>
      <c r="E23" s="117"/>
      <c r="F23" s="191"/>
      <c r="G23" s="191"/>
      <c r="H23" s="301">
        <f t="shared" si="0"/>
        <v>0</v>
      </c>
      <c r="I23" s="299" t="e">
        <f>+F23/BALANCESHEET!G$82</f>
        <v>#DIV/0!</v>
      </c>
    </row>
    <row r="24" spans="1:9" x14ac:dyDescent="0.2">
      <c r="A24" s="116">
        <v>18</v>
      </c>
      <c r="B24" s="109"/>
      <c r="C24" s="191"/>
      <c r="D24" s="117"/>
      <c r="E24" s="117"/>
      <c r="F24" s="191"/>
      <c r="G24" s="191"/>
      <c r="H24" s="301">
        <f t="shared" si="0"/>
        <v>0</v>
      </c>
      <c r="I24" s="299" t="e">
        <f>+F24/BALANCESHEET!G$82</f>
        <v>#DIV/0!</v>
      </c>
    </row>
    <row r="25" spans="1:9" x14ac:dyDescent="0.2">
      <c r="A25" s="116">
        <v>19</v>
      </c>
      <c r="B25" s="109"/>
      <c r="C25" s="191"/>
      <c r="D25" s="117"/>
      <c r="E25" s="117"/>
      <c r="F25" s="191"/>
      <c r="G25" s="191"/>
      <c r="H25" s="301">
        <f t="shared" si="0"/>
        <v>0</v>
      </c>
      <c r="I25" s="299" t="e">
        <f>+F25/BALANCESHEET!G$82</f>
        <v>#DIV/0!</v>
      </c>
    </row>
    <row r="26" spans="1:9" x14ac:dyDescent="0.2">
      <c r="A26" s="116">
        <v>20</v>
      </c>
      <c r="B26" s="109"/>
      <c r="C26" s="191"/>
      <c r="D26" s="117"/>
      <c r="E26" s="117"/>
      <c r="F26" s="191"/>
      <c r="G26" s="191"/>
      <c r="H26" s="301">
        <f t="shared" si="0"/>
        <v>0</v>
      </c>
      <c r="I26" s="299" t="e">
        <f>+F26/BALANCESHEET!G$82</f>
        <v>#DIV/0!</v>
      </c>
    </row>
    <row r="27" spans="1:9" x14ac:dyDescent="0.2">
      <c r="A27" s="862" t="s">
        <v>824</v>
      </c>
      <c r="B27" s="862"/>
      <c r="C27" s="192">
        <f>+SUM(C7:C26)</f>
        <v>0</v>
      </c>
      <c r="D27" s="118"/>
      <c r="E27" s="118"/>
      <c r="F27" s="302">
        <f>+SUM(F7:F26)</f>
        <v>0</v>
      </c>
      <c r="G27" s="302">
        <f>+SUM(G7:G26)</f>
        <v>0</v>
      </c>
      <c r="H27" s="303">
        <f>SUM(H7:H26)</f>
        <v>0</v>
      </c>
      <c r="I27" s="304" t="e">
        <f>SUM(I7:I26)</f>
        <v>#DIV/0!</v>
      </c>
    </row>
    <row r="28" spans="1:9" ht="15.75" customHeight="1" x14ac:dyDescent="0.2">
      <c r="A28" s="733" t="s">
        <v>983</v>
      </c>
      <c r="B28" s="733"/>
      <c r="C28" s="733"/>
      <c r="D28" s="733"/>
      <c r="E28" s="733"/>
      <c r="F28" s="305">
        <f>MAX(F7:F26)</f>
        <v>0</v>
      </c>
      <c r="G28" s="305">
        <f>+MAX(G7:G26)</f>
        <v>0</v>
      </c>
      <c r="H28" s="303">
        <f>MAX(H7:H26)</f>
        <v>0</v>
      </c>
      <c r="I28" s="304" t="e">
        <f>+MAX(I7:I26)</f>
        <v>#DIV/0!</v>
      </c>
    </row>
    <row r="29" spans="1:9" x14ac:dyDescent="0.2">
      <c r="A29" s="119"/>
      <c r="B29" s="119"/>
      <c r="C29" s="119"/>
      <c r="D29" s="119"/>
      <c r="E29" s="119"/>
      <c r="F29" s="306"/>
      <c r="G29" s="307"/>
      <c r="H29" s="308"/>
      <c r="I29" s="309"/>
    </row>
    <row r="30" spans="1:9" x14ac:dyDescent="0.2">
      <c r="B30" s="65" t="s">
        <v>36</v>
      </c>
      <c r="C30" s="3"/>
      <c r="D30" s="126"/>
      <c r="E30" s="125"/>
      <c r="F30" s="13"/>
      <c r="G30" s="14"/>
    </row>
    <row r="31" spans="1:9" x14ac:dyDescent="0.2">
      <c r="C31" s="65"/>
      <c r="D31" s="126"/>
      <c r="E31" s="125"/>
      <c r="F31" s="13"/>
      <c r="G31" s="14"/>
    </row>
    <row r="32" spans="1:9" x14ac:dyDescent="0.2">
      <c r="C32" s="718" t="s">
        <v>437</v>
      </c>
      <c r="D32" s="718"/>
      <c r="E32" s="127"/>
      <c r="F32" s="17"/>
      <c r="G32" s="3"/>
    </row>
    <row r="33" spans="3:8" x14ac:dyDescent="0.2">
      <c r="C33" s="16"/>
      <c r="D33" s="126"/>
      <c r="E33" s="125"/>
      <c r="F33" s="13"/>
      <c r="G33" s="14"/>
    </row>
    <row r="34" spans="3:8" x14ac:dyDescent="0.2">
      <c r="C34" s="167"/>
      <c r="D34" s="167"/>
      <c r="E34" s="747" t="str">
        <f>+BALANCE!D361</f>
        <v>ГҮЙЦЭТГЭХ ЗАХИРАЛ.................................................................//</v>
      </c>
      <c r="F34" s="747"/>
      <c r="G34" s="747"/>
      <c r="H34" s="747"/>
    </row>
    <row r="35" spans="3:8" x14ac:dyDescent="0.2">
      <c r="C35" s="128"/>
      <c r="D35" s="128"/>
      <c r="E35" s="128"/>
      <c r="F35" s="128"/>
      <c r="G35" s="128"/>
    </row>
    <row r="36" spans="3:8" x14ac:dyDescent="0.2">
      <c r="C36" s="167"/>
      <c r="D36" s="167"/>
      <c r="E36" s="747" t="str">
        <f>+BALANCE!D363</f>
        <v>ЕРӨНХИЙ НЯГТЛАН БОДОГЧ....................................................//</v>
      </c>
      <c r="F36" s="747"/>
      <c r="G36" s="747"/>
      <c r="H36" s="747"/>
    </row>
    <row r="37" spans="3:8" x14ac:dyDescent="0.2">
      <c r="C37" s="128"/>
      <c r="D37" s="128"/>
      <c r="E37" s="128"/>
      <c r="F37" s="128"/>
      <c r="G37" s="128"/>
    </row>
    <row r="38" spans="3:8" x14ac:dyDescent="0.2">
      <c r="C38" s="167"/>
      <c r="D38" s="167"/>
      <c r="E38" s="747">
        <f>+BALANCE!D365</f>
        <v>0</v>
      </c>
      <c r="F38" s="747"/>
      <c r="G38" s="747"/>
      <c r="H38" s="747"/>
    </row>
  </sheetData>
  <sheetProtection password="CA9F" sheet="1"/>
  <mergeCells count="11">
    <mergeCell ref="A2:I2"/>
    <mergeCell ref="A3:I3"/>
    <mergeCell ref="A4:I4"/>
    <mergeCell ref="A5:B5"/>
    <mergeCell ref="H5:I5"/>
    <mergeCell ref="E38:H38"/>
    <mergeCell ref="A27:B27"/>
    <mergeCell ref="A28:E28"/>
    <mergeCell ref="C32:D32"/>
    <mergeCell ref="E34:H34"/>
    <mergeCell ref="E36:H36"/>
  </mergeCells>
  <dataValidations count="1">
    <dataValidation type="date" allowBlank="1" showInputMessage="1" showErrorMessage="1" sqref="D7:E26" xr:uid="{00000000-0002-0000-1500-000000000000}">
      <formula1>1</formula1>
      <formula2>767011</formula2>
    </dataValidation>
  </dataValidations>
  <pageMargins left="0.78740157480314965" right="0.78740157480314965" top="1.1811023622047243" bottom="0.59055118110236215" header="0.78740157480314965" footer="0.78740157480314965"/>
  <pageSetup paperSize="9" scale="91"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pageSetUpPr fitToPage="1"/>
  </sheetPr>
  <dimension ref="A2:L39"/>
  <sheetViews>
    <sheetView workbookViewId="0"/>
  </sheetViews>
  <sheetFormatPr defaultRowHeight="12.75" x14ac:dyDescent="0.2"/>
  <cols>
    <col min="1" max="1" width="3.5703125" style="16" customWidth="1"/>
    <col min="2" max="2" width="24.140625" style="3" bestFit="1" customWidth="1"/>
    <col min="3" max="3" width="15.42578125" style="3" customWidth="1"/>
    <col min="4" max="4" width="14" style="123" bestFit="1" customWidth="1"/>
    <col min="5" max="5" width="7.42578125" style="124" customWidth="1"/>
    <col min="6" max="6" width="7.85546875" style="49" bestFit="1" customWidth="1"/>
    <col min="7" max="8" width="13.5703125" style="3" bestFit="1" customWidth="1"/>
    <col min="9" max="9" width="14" style="123" customWidth="1"/>
    <col min="10" max="10" width="12.140625" style="124" bestFit="1" customWidth="1"/>
    <col min="11" max="16384" width="9.140625" style="3"/>
  </cols>
  <sheetData>
    <row r="2" spans="1:12" x14ac:dyDescent="0.2">
      <c r="A2" s="652" t="s">
        <v>984</v>
      </c>
      <c r="B2" s="652"/>
      <c r="C2" s="652"/>
      <c r="D2" s="652"/>
      <c r="E2" s="652"/>
      <c r="F2" s="652"/>
      <c r="G2" s="652"/>
      <c r="H2" s="652"/>
      <c r="I2" s="652"/>
      <c r="J2" s="652"/>
    </row>
    <row r="3" spans="1:12" x14ac:dyDescent="0.2">
      <c r="A3" s="670" t="str">
        <f>BALANCE!A3</f>
        <v>БАНК БУС САНХҮҮГИЙН БАЙГУУЛЛАГЫН НЭР</v>
      </c>
      <c r="B3" s="670"/>
      <c r="C3" s="670"/>
      <c r="D3" s="670"/>
      <c r="E3" s="670"/>
      <c r="F3" s="670"/>
      <c r="G3" s="670"/>
      <c r="H3" s="670"/>
      <c r="I3" s="670"/>
      <c r="J3" s="670"/>
    </row>
    <row r="4" spans="1:12" x14ac:dyDescent="0.2">
      <c r="A4" s="652" t="str">
        <f>BALANCE!A4</f>
        <v>БАНК БУС САНХҮҮГИЙН БАЙГУУЛЛАГА</v>
      </c>
      <c r="B4" s="652"/>
      <c r="C4" s="652"/>
      <c r="D4" s="652"/>
      <c r="E4" s="652"/>
      <c r="F4" s="652"/>
      <c r="G4" s="652"/>
      <c r="H4" s="652"/>
      <c r="I4" s="652"/>
      <c r="J4" s="652"/>
    </row>
    <row r="5" spans="1:12" x14ac:dyDescent="0.2">
      <c r="A5" s="731">
        <f>BALANCE!A6</f>
        <v>44834</v>
      </c>
      <c r="B5" s="731"/>
      <c r="C5" s="331"/>
      <c r="I5" s="746" t="s">
        <v>439</v>
      </c>
      <c r="J5" s="746"/>
    </row>
    <row r="6" spans="1:12" ht="25.5" customHeight="1" x14ac:dyDescent="0.2">
      <c r="A6" s="868" t="s">
        <v>2</v>
      </c>
      <c r="B6" s="881" t="s">
        <v>1062</v>
      </c>
      <c r="C6" s="882"/>
      <c r="D6" s="871" t="s">
        <v>985</v>
      </c>
      <c r="E6" s="865" t="s">
        <v>1068</v>
      </c>
      <c r="F6" s="873" t="s">
        <v>1069</v>
      </c>
      <c r="G6" s="868" t="s">
        <v>986</v>
      </c>
      <c r="H6" s="868" t="s">
        <v>816</v>
      </c>
      <c r="I6" s="927" t="s">
        <v>759</v>
      </c>
      <c r="J6" s="865" t="s">
        <v>987</v>
      </c>
    </row>
    <row r="7" spans="1:12" x14ac:dyDescent="0.2">
      <c r="A7" s="869"/>
      <c r="B7" s="115" t="s">
        <v>1056</v>
      </c>
      <c r="C7" s="115" t="s">
        <v>1057</v>
      </c>
      <c r="D7" s="872"/>
      <c r="E7" s="866"/>
      <c r="F7" s="874"/>
      <c r="G7" s="869"/>
      <c r="H7" s="869"/>
      <c r="I7" s="928"/>
      <c r="J7" s="866"/>
    </row>
    <row r="8" spans="1:12" x14ac:dyDescent="0.2">
      <c r="A8" s="298">
        <v>1</v>
      </c>
      <c r="B8" s="109"/>
      <c r="C8" s="109"/>
      <c r="D8" s="191"/>
      <c r="E8" s="294"/>
      <c r="F8" s="120"/>
      <c r="G8" s="117"/>
      <c r="H8" s="117"/>
      <c r="I8" s="363"/>
      <c r="J8" s="361" t="e">
        <f>+I8/BALANCESHEET!G$39</f>
        <v>#DIV/0!</v>
      </c>
      <c r="L8" s="362"/>
    </row>
    <row r="9" spans="1:12" x14ac:dyDescent="0.2">
      <c r="A9" s="298">
        <v>2</v>
      </c>
      <c r="B9" s="109"/>
      <c r="C9" s="109"/>
      <c r="D9" s="191"/>
      <c r="E9" s="294"/>
      <c r="F9" s="120"/>
      <c r="G9" s="117"/>
      <c r="H9" s="117"/>
      <c r="I9" s="363"/>
      <c r="J9" s="361" t="e">
        <f>+I9/BALANCESHEET!G$39</f>
        <v>#DIV/0!</v>
      </c>
    </row>
    <row r="10" spans="1:12" x14ac:dyDescent="0.2">
      <c r="A10" s="298">
        <v>3</v>
      </c>
      <c r="B10" s="109"/>
      <c r="C10" s="109"/>
      <c r="D10" s="191"/>
      <c r="E10" s="294"/>
      <c r="F10" s="120"/>
      <c r="G10" s="117"/>
      <c r="H10" s="117"/>
      <c r="I10" s="363"/>
      <c r="J10" s="361" t="e">
        <f>+I10/BALANCESHEET!G$39</f>
        <v>#DIV/0!</v>
      </c>
    </row>
    <row r="11" spans="1:12" x14ac:dyDescent="0.2">
      <c r="A11" s="298">
        <v>4</v>
      </c>
      <c r="B11" s="109"/>
      <c r="C11" s="109"/>
      <c r="D11" s="191"/>
      <c r="E11" s="294"/>
      <c r="F11" s="120"/>
      <c r="G11" s="117"/>
      <c r="H11" s="117"/>
      <c r="I11" s="363"/>
      <c r="J11" s="361" t="e">
        <f>+I11/BALANCESHEET!G$39</f>
        <v>#DIV/0!</v>
      </c>
    </row>
    <row r="12" spans="1:12" x14ac:dyDescent="0.2">
      <c r="A12" s="298">
        <v>5</v>
      </c>
      <c r="B12" s="109"/>
      <c r="C12" s="109"/>
      <c r="D12" s="191"/>
      <c r="E12" s="294"/>
      <c r="F12" s="120"/>
      <c r="G12" s="117"/>
      <c r="H12" s="117"/>
      <c r="I12" s="363"/>
      <c r="J12" s="361" t="e">
        <f>+I12/BALANCESHEET!G$39</f>
        <v>#DIV/0!</v>
      </c>
    </row>
    <row r="13" spans="1:12" x14ac:dyDescent="0.2">
      <c r="A13" s="298">
        <v>6</v>
      </c>
      <c r="B13" s="109"/>
      <c r="C13" s="109"/>
      <c r="D13" s="191"/>
      <c r="E13" s="294"/>
      <c r="F13" s="120"/>
      <c r="G13" s="117"/>
      <c r="H13" s="117"/>
      <c r="I13" s="363"/>
      <c r="J13" s="361" t="e">
        <f>+I13/BALANCESHEET!G$39</f>
        <v>#DIV/0!</v>
      </c>
    </row>
    <row r="14" spans="1:12" x14ac:dyDescent="0.2">
      <c r="A14" s="298">
        <v>7</v>
      </c>
      <c r="B14" s="109"/>
      <c r="C14" s="109"/>
      <c r="D14" s="191"/>
      <c r="E14" s="294"/>
      <c r="F14" s="120"/>
      <c r="G14" s="117"/>
      <c r="H14" s="117"/>
      <c r="I14" s="363"/>
      <c r="J14" s="361" t="e">
        <f>+I14/BALANCESHEET!G$39</f>
        <v>#DIV/0!</v>
      </c>
    </row>
    <row r="15" spans="1:12" x14ac:dyDescent="0.2">
      <c r="A15" s="298">
        <v>8</v>
      </c>
      <c r="B15" s="109"/>
      <c r="C15" s="109"/>
      <c r="D15" s="191"/>
      <c r="E15" s="294"/>
      <c r="F15" s="120"/>
      <c r="G15" s="117"/>
      <c r="H15" s="117"/>
      <c r="I15" s="363"/>
      <c r="J15" s="361" t="e">
        <f>+I15/BALANCESHEET!G$39</f>
        <v>#DIV/0!</v>
      </c>
    </row>
    <row r="16" spans="1:12" x14ac:dyDescent="0.2">
      <c r="A16" s="298">
        <v>9</v>
      </c>
      <c r="B16" s="109"/>
      <c r="C16" s="109"/>
      <c r="D16" s="191"/>
      <c r="E16" s="294"/>
      <c r="F16" s="120"/>
      <c r="G16" s="117"/>
      <c r="H16" s="117"/>
      <c r="I16" s="363"/>
      <c r="J16" s="361" t="e">
        <f>+I16/BALANCESHEET!G$39</f>
        <v>#DIV/0!</v>
      </c>
    </row>
    <row r="17" spans="1:11" x14ac:dyDescent="0.2">
      <c r="A17" s="298">
        <v>10</v>
      </c>
      <c r="B17" s="109"/>
      <c r="C17" s="109"/>
      <c r="D17" s="191"/>
      <c r="E17" s="294"/>
      <c r="F17" s="120"/>
      <c r="G17" s="117"/>
      <c r="H17" s="117"/>
      <c r="I17" s="363"/>
      <c r="J17" s="361" t="e">
        <f>+I17/BALANCESHEET!G$39</f>
        <v>#DIV/0!</v>
      </c>
    </row>
    <row r="18" spans="1:11" x14ac:dyDescent="0.2">
      <c r="A18" s="298">
        <v>11</v>
      </c>
      <c r="B18" s="109"/>
      <c r="C18" s="109"/>
      <c r="D18" s="191"/>
      <c r="E18" s="294"/>
      <c r="F18" s="120"/>
      <c r="G18" s="117"/>
      <c r="H18" s="117"/>
      <c r="I18" s="363"/>
      <c r="J18" s="361" t="e">
        <f>+I18/BALANCESHEET!G$39</f>
        <v>#DIV/0!</v>
      </c>
    </row>
    <row r="19" spans="1:11" x14ac:dyDescent="0.2">
      <c r="A19" s="298">
        <v>12</v>
      </c>
      <c r="B19" s="109"/>
      <c r="C19" s="109"/>
      <c r="D19" s="191"/>
      <c r="E19" s="294"/>
      <c r="F19" s="120"/>
      <c r="G19" s="117"/>
      <c r="H19" s="117"/>
      <c r="I19" s="363"/>
      <c r="J19" s="361" t="e">
        <f>+I19/BALANCESHEET!G$39</f>
        <v>#DIV/0!</v>
      </c>
    </row>
    <row r="20" spans="1:11" x14ac:dyDescent="0.2">
      <c r="A20" s="298">
        <v>13</v>
      </c>
      <c r="B20" s="109"/>
      <c r="C20" s="109"/>
      <c r="D20" s="191"/>
      <c r="E20" s="294"/>
      <c r="F20" s="120"/>
      <c r="G20" s="117"/>
      <c r="H20" s="117"/>
      <c r="I20" s="363"/>
      <c r="J20" s="361" t="e">
        <f>+I20/BALANCESHEET!G$39</f>
        <v>#DIV/0!</v>
      </c>
    </row>
    <row r="21" spans="1:11" x14ac:dyDescent="0.2">
      <c r="A21" s="298">
        <v>14</v>
      </c>
      <c r="B21" s="109"/>
      <c r="C21" s="109"/>
      <c r="D21" s="191"/>
      <c r="E21" s="294"/>
      <c r="F21" s="120"/>
      <c r="G21" s="117"/>
      <c r="H21" s="117"/>
      <c r="I21" s="363"/>
      <c r="J21" s="361" t="e">
        <f>+I21/BALANCESHEET!G$39</f>
        <v>#DIV/0!</v>
      </c>
    </row>
    <row r="22" spans="1:11" x14ac:dyDescent="0.2">
      <c r="A22" s="298">
        <v>15</v>
      </c>
      <c r="B22" s="109"/>
      <c r="C22" s="109"/>
      <c r="D22" s="191"/>
      <c r="E22" s="294"/>
      <c r="F22" s="120"/>
      <c r="G22" s="117"/>
      <c r="H22" s="117"/>
      <c r="I22" s="363"/>
      <c r="J22" s="361" t="e">
        <f>+I22/BALANCESHEET!G$39</f>
        <v>#DIV/0!</v>
      </c>
    </row>
    <row r="23" spans="1:11" x14ac:dyDescent="0.2">
      <c r="A23" s="298">
        <v>16</v>
      </c>
      <c r="B23" s="109"/>
      <c r="C23" s="109"/>
      <c r="D23" s="191"/>
      <c r="E23" s="294"/>
      <c r="F23" s="120"/>
      <c r="G23" s="117"/>
      <c r="H23" s="117"/>
      <c r="I23" s="363"/>
      <c r="J23" s="361" t="e">
        <f>+I23/BALANCESHEET!G$39</f>
        <v>#DIV/0!</v>
      </c>
    </row>
    <row r="24" spans="1:11" x14ac:dyDescent="0.2">
      <c r="A24" s="298">
        <v>17</v>
      </c>
      <c r="B24" s="109"/>
      <c r="C24" s="109"/>
      <c r="D24" s="191"/>
      <c r="E24" s="294"/>
      <c r="F24" s="120"/>
      <c r="G24" s="117"/>
      <c r="H24" s="117"/>
      <c r="I24" s="363"/>
      <c r="J24" s="361" t="e">
        <f>+I24/BALANCESHEET!G$39</f>
        <v>#DIV/0!</v>
      </c>
    </row>
    <row r="25" spans="1:11" x14ac:dyDescent="0.2">
      <c r="A25" s="298">
        <v>18</v>
      </c>
      <c r="B25" s="109"/>
      <c r="C25" s="109"/>
      <c r="D25" s="191"/>
      <c r="E25" s="294"/>
      <c r="F25" s="120"/>
      <c r="G25" s="117"/>
      <c r="H25" s="117"/>
      <c r="I25" s="363"/>
      <c r="J25" s="361" t="e">
        <f>+I25/BALANCESHEET!G$39</f>
        <v>#DIV/0!</v>
      </c>
    </row>
    <row r="26" spans="1:11" x14ac:dyDescent="0.2">
      <c r="A26" s="298">
        <v>19</v>
      </c>
      <c r="B26" s="109"/>
      <c r="C26" s="109"/>
      <c r="D26" s="191"/>
      <c r="E26" s="294"/>
      <c r="F26" s="120"/>
      <c r="G26" s="117"/>
      <c r="H26" s="117"/>
      <c r="I26" s="363"/>
      <c r="J26" s="361" t="e">
        <f>+I26/BALANCESHEET!G$39</f>
        <v>#DIV/0!</v>
      </c>
    </row>
    <row r="27" spans="1:11" x14ac:dyDescent="0.2">
      <c r="A27" s="298">
        <v>20</v>
      </c>
      <c r="B27" s="109"/>
      <c r="C27" s="109"/>
      <c r="D27" s="191"/>
      <c r="E27" s="294"/>
      <c r="F27" s="120"/>
      <c r="G27" s="117"/>
      <c r="H27" s="117"/>
      <c r="I27" s="363"/>
      <c r="J27" s="361" t="e">
        <f>+I27/BALANCESHEET!G$39</f>
        <v>#DIV/0!</v>
      </c>
      <c r="K27" s="10" t="str">
        <f>IF(SUM(I8:I27)=I28,"","Балансын дүн зөрүүтэй, Комментоор бичсэн зааврын дагуу шивнэ үү.")</f>
        <v/>
      </c>
    </row>
    <row r="28" spans="1:11" x14ac:dyDescent="0.2">
      <c r="A28" s="862" t="s">
        <v>824</v>
      </c>
      <c r="B28" s="862"/>
      <c r="C28" s="404"/>
      <c r="D28" s="192">
        <f>+SUM(D8:D27)</f>
        <v>0</v>
      </c>
      <c r="E28" s="311"/>
      <c r="F28" s="404"/>
      <c r="G28" s="118"/>
      <c r="H28" s="118"/>
      <c r="I28" s="192">
        <f>SUM(I8:I27)</f>
        <v>0</v>
      </c>
      <c r="J28" s="311"/>
      <c r="K28" s="551"/>
    </row>
    <row r="29" spans="1:11" x14ac:dyDescent="0.2">
      <c r="H29" s="894" t="s">
        <v>988</v>
      </c>
      <c r="I29" s="894"/>
      <c r="J29" s="296" t="e">
        <f>+MAX(J8:J27)</f>
        <v>#DIV/0!</v>
      </c>
    </row>
    <row r="30" spans="1:11" x14ac:dyDescent="0.2">
      <c r="I30" s="539"/>
    </row>
    <row r="31" spans="1:11" x14ac:dyDescent="0.2">
      <c r="B31" s="65" t="s">
        <v>36</v>
      </c>
      <c r="C31" s="65"/>
      <c r="D31" s="126"/>
      <c r="E31" s="125"/>
      <c r="F31" s="16"/>
      <c r="G31" s="14"/>
    </row>
    <row r="32" spans="1:11" x14ac:dyDescent="0.2">
      <c r="B32" s="65"/>
      <c r="C32" s="65"/>
      <c r="D32" s="126"/>
      <c r="E32" s="125"/>
      <c r="F32" s="16"/>
      <c r="G32" s="14"/>
    </row>
    <row r="33" spans="2:9" ht="15" customHeight="1" x14ac:dyDescent="0.2">
      <c r="B33" s="718" t="s">
        <v>437</v>
      </c>
      <c r="C33" s="718"/>
      <c r="D33" s="718"/>
      <c r="E33" s="718"/>
      <c r="F33" s="718"/>
    </row>
    <row r="34" spans="2:9" x14ac:dyDescent="0.2">
      <c r="B34" s="16"/>
      <c r="C34" s="16"/>
      <c r="D34" s="126"/>
      <c r="E34" s="125"/>
      <c r="F34" s="16"/>
      <c r="G34" s="14"/>
    </row>
    <row r="35" spans="2:9" ht="15" customHeight="1" x14ac:dyDescent="0.2">
      <c r="B35" s="167"/>
      <c r="C35" s="167"/>
      <c r="D35" s="747" t="str">
        <f>BALANCE!D361</f>
        <v>ГҮЙЦЭТГЭХ ЗАХИРАЛ.................................................................//</v>
      </c>
      <c r="E35" s="747"/>
      <c r="F35" s="747"/>
      <c r="G35" s="747"/>
      <c r="H35" s="747"/>
      <c r="I35" s="747"/>
    </row>
    <row r="36" spans="2:9" x14ac:dyDescent="0.2">
      <c r="B36" s="128"/>
      <c r="C36" s="128"/>
      <c r="D36" s="128"/>
      <c r="E36" s="297"/>
      <c r="F36" s="128"/>
      <c r="G36" s="128"/>
    </row>
    <row r="37" spans="2:9" ht="15" customHeight="1" x14ac:dyDescent="0.2">
      <c r="B37" s="167"/>
      <c r="C37" s="167"/>
      <c r="D37" s="747" t="str">
        <f>BALANCE!D363</f>
        <v>ЕРӨНХИЙ НЯГТЛАН БОДОГЧ....................................................//</v>
      </c>
      <c r="E37" s="747"/>
      <c r="F37" s="747"/>
      <c r="G37" s="747"/>
      <c r="H37" s="747"/>
      <c r="I37" s="747"/>
    </row>
    <row r="38" spans="2:9" x14ac:dyDescent="0.2">
      <c r="B38" s="128"/>
      <c r="C38" s="128"/>
      <c r="D38" s="128"/>
      <c r="E38" s="297"/>
      <c r="F38" s="128"/>
      <c r="G38" s="128"/>
    </row>
    <row r="39" spans="2:9" ht="15" customHeight="1" x14ac:dyDescent="0.2">
      <c r="B39" s="167"/>
      <c r="C39" s="167"/>
      <c r="D39" s="747">
        <f>BALANCE!D365</f>
        <v>0</v>
      </c>
      <c r="E39" s="747"/>
      <c r="F39" s="747"/>
      <c r="G39" s="747"/>
      <c r="H39" s="747"/>
      <c r="I39" s="747"/>
    </row>
  </sheetData>
  <sheetProtection password="CA9F" sheet="1"/>
  <mergeCells count="20">
    <mergeCell ref="B33:F33"/>
    <mergeCell ref="D35:I35"/>
    <mergeCell ref="D37:I37"/>
    <mergeCell ref="D39:I39"/>
    <mergeCell ref="A6:A7"/>
    <mergeCell ref="D6:D7"/>
    <mergeCell ref="A28:B28"/>
    <mergeCell ref="H29:I29"/>
    <mergeCell ref="H6:H7"/>
    <mergeCell ref="G6:G7"/>
    <mergeCell ref="J6:J7"/>
    <mergeCell ref="I6:I7"/>
    <mergeCell ref="A2:J2"/>
    <mergeCell ref="A3:J3"/>
    <mergeCell ref="A4:J4"/>
    <mergeCell ref="A5:B5"/>
    <mergeCell ref="I5:J5"/>
    <mergeCell ref="F6:F7"/>
    <mergeCell ref="E6:E7"/>
    <mergeCell ref="B6:C6"/>
  </mergeCells>
  <dataValidations count="1">
    <dataValidation type="date" allowBlank="1" showInputMessage="1" showErrorMessage="1" sqref="G8:H27" xr:uid="{00000000-0002-0000-1600-000000000000}">
      <formula1>1</formula1>
      <formula2>767011</formula2>
    </dataValidation>
  </dataValidations>
  <pageMargins left="0.78740157480314965" right="0.78740157480314965" top="1.1811023622047243" bottom="0.59055118110236215" header="0.78740157480314965" footer="0.78740157480314965"/>
  <pageSetup paperSize="9" scale="97"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7">
    <pageSetUpPr fitToPage="1"/>
  </sheetPr>
  <dimension ref="A2:L40"/>
  <sheetViews>
    <sheetView workbookViewId="0"/>
  </sheetViews>
  <sheetFormatPr defaultRowHeight="12.75" x14ac:dyDescent="0.2"/>
  <cols>
    <col min="1" max="1" width="4.7109375" style="16" customWidth="1"/>
    <col min="2" max="2" width="23.7109375" style="3" customWidth="1"/>
    <col min="3" max="3" width="14.5703125" style="3" customWidth="1"/>
    <col min="4" max="4" width="18.140625" style="123" customWidth="1"/>
    <col min="5" max="6" width="9.140625" style="3"/>
    <col min="7" max="7" width="12.5703125" style="3" bestFit="1" customWidth="1"/>
    <col min="8" max="8" width="13.5703125" style="3" bestFit="1" customWidth="1"/>
    <col min="9" max="9" width="13.7109375" style="3" customWidth="1"/>
    <col min="10" max="10" width="17.85546875" style="123" customWidth="1"/>
    <col min="11" max="11" width="9.140625" style="124"/>
    <col min="12" max="16384" width="9.140625" style="3"/>
  </cols>
  <sheetData>
    <row r="2" spans="1:12" x14ac:dyDescent="0.2">
      <c r="A2" s="652" t="s">
        <v>989</v>
      </c>
      <c r="B2" s="652"/>
      <c r="C2" s="652"/>
      <c r="D2" s="652"/>
      <c r="E2" s="652"/>
      <c r="F2" s="652"/>
      <c r="G2" s="652"/>
      <c r="H2" s="652"/>
      <c r="I2" s="652"/>
      <c r="J2" s="652"/>
      <c r="K2" s="652"/>
      <c r="L2" s="2"/>
    </row>
    <row r="3" spans="1:12" x14ac:dyDescent="0.2">
      <c r="A3" s="670" t="str">
        <f>+BALANCE!A3</f>
        <v>БАНК БУС САНХҮҮГИЙН БАЙГУУЛЛАГЫН НЭР</v>
      </c>
      <c r="B3" s="670"/>
      <c r="C3" s="670"/>
      <c r="D3" s="670"/>
      <c r="E3" s="670"/>
      <c r="F3" s="670"/>
      <c r="G3" s="670"/>
      <c r="H3" s="670"/>
      <c r="I3" s="670"/>
      <c r="J3" s="670"/>
      <c r="K3" s="670"/>
      <c r="L3" s="9"/>
    </row>
    <row r="4" spans="1:12" x14ac:dyDescent="0.2">
      <c r="A4" s="652" t="str">
        <f>+BALANCE!A4</f>
        <v>БАНК БУС САНХҮҮГИЙН БАЙГУУЛЛАГА</v>
      </c>
      <c r="B4" s="652"/>
      <c r="C4" s="652"/>
      <c r="D4" s="652"/>
      <c r="E4" s="652"/>
      <c r="F4" s="652"/>
      <c r="G4" s="652"/>
      <c r="H4" s="652"/>
      <c r="I4" s="652"/>
      <c r="J4" s="652"/>
      <c r="K4" s="652"/>
      <c r="L4" s="2"/>
    </row>
    <row r="5" spans="1:12" ht="15" customHeight="1" x14ac:dyDescent="0.2">
      <c r="A5" s="731">
        <f>+BALANCE!A6</f>
        <v>44834</v>
      </c>
      <c r="B5" s="731"/>
      <c r="C5" s="331"/>
      <c r="J5" s="746" t="s">
        <v>439</v>
      </c>
      <c r="K5" s="746"/>
      <c r="L5" s="2"/>
    </row>
    <row r="6" spans="1:12" ht="38.25" customHeight="1" x14ac:dyDescent="0.2">
      <c r="A6" s="873" t="s">
        <v>2</v>
      </c>
      <c r="B6" s="890" t="s">
        <v>1064</v>
      </c>
      <c r="C6" s="891"/>
      <c r="D6" s="871" t="s">
        <v>990</v>
      </c>
      <c r="E6" s="873" t="s">
        <v>991</v>
      </c>
      <c r="F6" s="873" t="s">
        <v>1065</v>
      </c>
      <c r="G6" s="873" t="s">
        <v>992</v>
      </c>
      <c r="H6" s="873" t="s">
        <v>816</v>
      </c>
      <c r="I6" s="873" t="s">
        <v>869</v>
      </c>
      <c r="J6" s="871" t="s">
        <v>1100</v>
      </c>
      <c r="K6" s="865" t="s">
        <v>823</v>
      </c>
      <c r="L6" s="50"/>
    </row>
    <row r="7" spans="1:12" x14ac:dyDescent="0.2">
      <c r="A7" s="874"/>
      <c r="B7" s="334" t="s">
        <v>1056</v>
      </c>
      <c r="C7" s="334" t="s">
        <v>1057</v>
      </c>
      <c r="D7" s="872"/>
      <c r="E7" s="874"/>
      <c r="F7" s="874"/>
      <c r="G7" s="874"/>
      <c r="H7" s="874"/>
      <c r="I7" s="874"/>
      <c r="J7" s="872"/>
      <c r="K7" s="866"/>
      <c r="L7" s="50"/>
    </row>
    <row r="8" spans="1:12" x14ac:dyDescent="0.2">
      <c r="A8" s="298">
        <v>1</v>
      </c>
      <c r="B8" s="109"/>
      <c r="C8" s="109"/>
      <c r="D8" s="191"/>
      <c r="E8" s="109"/>
      <c r="F8" s="403"/>
      <c r="G8" s="110"/>
      <c r="H8" s="110"/>
      <c r="I8" s="110"/>
      <c r="J8" s="191"/>
      <c r="K8" s="299" t="e">
        <f>+J8/BALANCESHEET!G$82*100%</f>
        <v>#DIV/0!</v>
      </c>
    </row>
    <row r="9" spans="1:12" x14ac:dyDescent="0.2">
      <c r="A9" s="298">
        <v>2</v>
      </c>
      <c r="B9" s="109"/>
      <c r="C9" s="109"/>
      <c r="D9" s="191"/>
      <c r="E9" s="109"/>
      <c r="F9" s="403"/>
      <c r="G9" s="110"/>
      <c r="H9" s="110"/>
      <c r="I9" s="110"/>
      <c r="J9" s="191"/>
      <c r="K9" s="299" t="e">
        <f>+J9/BALANCESHEET!G$82*100%</f>
        <v>#DIV/0!</v>
      </c>
    </row>
    <row r="10" spans="1:12" x14ac:dyDescent="0.2">
      <c r="A10" s="298">
        <v>3</v>
      </c>
      <c r="B10" s="109"/>
      <c r="C10" s="109"/>
      <c r="D10" s="191"/>
      <c r="E10" s="109"/>
      <c r="F10" s="403"/>
      <c r="G10" s="110"/>
      <c r="H10" s="110"/>
      <c r="I10" s="110"/>
      <c r="J10" s="191"/>
      <c r="K10" s="299" t="e">
        <f>+J10/BALANCESHEET!G$82*100%</f>
        <v>#DIV/0!</v>
      </c>
    </row>
    <row r="11" spans="1:12" x14ac:dyDescent="0.2">
      <c r="A11" s="298">
        <v>4</v>
      </c>
      <c r="B11" s="109"/>
      <c r="C11" s="109"/>
      <c r="D11" s="191"/>
      <c r="E11" s="109"/>
      <c r="F11" s="403"/>
      <c r="G11" s="110"/>
      <c r="H11" s="110"/>
      <c r="I11" s="110"/>
      <c r="J11" s="191"/>
      <c r="K11" s="299" t="e">
        <f>+J11/BALANCESHEET!G$82*100%</f>
        <v>#DIV/0!</v>
      </c>
    </row>
    <row r="12" spans="1:12" x14ac:dyDescent="0.2">
      <c r="A12" s="298">
        <v>5</v>
      </c>
      <c r="B12" s="109"/>
      <c r="C12" s="109"/>
      <c r="D12" s="191"/>
      <c r="E12" s="109"/>
      <c r="F12" s="403"/>
      <c r="G12" s="110"/>
      <c r="H12" s="110"/>
      <c r="I12" s="110"/>
      <c r="J12" s="191"/>
      <c r="K12" s="299" t="e">
        <f>+J12/BALANCESHEET!G$82*100%</f>
        <v>#DIV/0!</v>
      </c>
    </row>
    <row r="13" spans="1:12" x14ac:dyDescent="0.2">
      <c r="A13" s="298">
        <v>6</v>
      </c>
      <c r="B13" s="109"/>
      <c r="C13" s="109"/>
      <c r="D13" s="191"/>
      <c r="E13" s="109"/>
      <c r="F13" s="403"/>
      <c r="G13" s="110"/>
      <c r="H13" s="110"/>
      <c r="I13" s="110"/>
      <c r="J13" s="191"/>
      <c r="K13" s="299" t="e">
        <f>+J13/BALANCESHEET!G$82*100%</f>
        <v>#DIV/0!</v>
      </c>
    </row>
    <row r="14" spans="1:12" x14ac:dyDescent="0.2">
      <c r="A14" s="298">
        <v>7</v>
      </c>
      <c r="B14" s="109"/>
      <c r="C14" s="109"/>
      <c r="D14" s="191"/>
      <c r="E14" s="109"/>
      <c r="F14" s="403"/>
      <c r="G14" s="110"/>
      <c r="H14" s="110"/>
      <c r="I14" s="110"/>
      <c r="J14" s="191"/>
      <c r="K14" s="299" t="e">
        <f>+J14/BALANCESHEET!G$82*100%</f>
        <v>#DIV/0!</v>
      </c>
    </row>
    <row r="15" spans="1:12" x14ac:dyDescent="0.2">
      <c r="A15" s="298">
        <v>8</v>
      </c>
      <c r="B15" s="109"/>
      <c r="C15" s="109"/>
      <c r="D15" s="191"/>
      <c r="E15" s="109"/>
      <c r="F15" s="403"/>
      <c r="G15" s="110"/>
      <c r="H15" s="110"/>
      <c r="I15" s="110"/>
      <c r="J15" s="191"/>
      <c r="K15" s="299" t="e">
        <f>+J15/BALANCESHEET!G$82*100%</f>
        <v>#DIV/0!</v>
      </c>
    </row>
    <row r="16" spans="1:12" x14ac:dyDescent="0.2">
      <c r="A16" s="298">
        <v>9</v>
      </c>
      <c r="B16" s="109"/>
      <c r="C16" s="109"/>
      <c r="D16" s="191"/>
      <c r="E16" s="109"/>
      <c r="F16" s="403"/>
      <c r="G16" s="110"/>
      <c r="H16" s="110"/>
      <c r="I16" s="110"/>
      <c r="J16" s="191"/>
      <c r="K16" s="299" t="e">
        <f>+J16/BALANCESHEET!G$82*100%</f>
        <v>#DIV/0!</v>
      </c>
    </row>
    <row r="17" spans="1:12" x14ac:dyDescent="0.2">
      <c r="A17" s="298">
        <v>10</v>
      </c>
      <c r="B17" s="109"/>
      <c r="C17" s="109"/>
      <c r="D17" s="191"/>
      <c r="E17" s="109"/>
      <c r="F17" s="403"/>
      <c r="G17" s="110"/>
      <c r="H17" s="110"/>
      <c r="I17" s="110"/>
      <c r="J17" s="191"/>
      <c r="K17" s="299" t="e">
        <f>+J17/BALANCESHEET!G$82*100%</f>
        <v>#DIV/0!</v>
      </c>
    </row>
    <row r="18" spans="1:12" x14ac:dyDescent="0.2">
      <c r="A18" s="298">
        <v>11</v>
      </c>
      <c r="B18" s="109"/>
      <c r="C18" s="109"/>
      <c r="D18" s="191"/>
      <c r="E18" s="109"/>
      <c r="F18" s="403"/>
      <c r="G18" s="110"/>
      <c r="H18" s="110"/>
      <c r="I18" s="110"/>
      <c r="J18" s="191"/>
      <c r="K18" s="299" t="e">
        <f>+J18/BALANCESHEET!G$82*100%</f>
        <v>#DIV/0!</v>
      </c>
    </row>
    <row r="19" spans="1:12" x14ac:dyDescent="0.2">
      <c r="A19" s="298">
        <v>12</v>
      </c>
      <c r="B19" s="109"/>
      <c r="C19" s="109"/>
      <c r="D19" s="191"/>
      <c r="E19" s="109"/>
      <c r="F19" s="403"/>
      <c r="G19" s="110"/>
      <c r="H19" s="110"/>
      <c r="I19" s="110"/>
      <c r="J19" s="191"/>
      <c r="K19" s="299" t="e">
        <f>+J19/BALANCESHEET!G$82*100%</f>
        <v>#DIV/0!</v>
      </c>
    </row>
    <row r="20" spans="1:12" x14ac:dyDescent="0.2">
      <c r="A20" s="298">
        <v>13</v>
      </c>
      <c r="B20" s="109"/>
      <c r="C20" s="109"/>
      <c r="D20" s="191"/>
      <c r="E20" s="109"/>
      <c r="F20" s="403"/>
      <c r="G20" s="110"/>
      <c r="H20" s="110"/>
      <c r="I20" s="110"/>
      <c r="J20" s="191"/>
      <c r="K20" s="299" t="e">
        <f>+J20/BALANCESHEET!G$82*100%</f>
        <v>#DIV/0!</v>
      </c>
    </row>
    <row r="21" spans="1:12" x14ac:dyDescent="0.2">
      <c r="A21" s="298">
        <v>14</v>
      </c>
      <c r="B21" s="109"/>
      <c r="C21" s="109"/>
      <c r="D21" s="191"/>
      <c r="E21" s="109"/>
      <c r="F21" s="403"/>
      <c r="G21" s="110"/>
      <c r="H21" s="110"/>
      <c r="I21" s="110"/>
      <c r="J21" s="191"/>
      <c r="K21" s="299" t="e">
        <f>+J21/BALANCESHEET!G$82*100%</f>
        <v>#DIV/0!</v>
      </c>
    </row>
    <row r="22" spans="1:12" x14ac:dyDescent="0.2">
      <c r="A22" s="298">
        <v>15</v>
      </c>
      <c r="B22" s="109"/>
      <c r="C22" s="109"/>
      <c r="D22" s="191"/>
      <c r="E22" s="109"/>
      <c r="F22" s="403"/>
      <c r="G22" s="110"/>
      <c r="H22" s="110"/>
      <c r="I22" s="110"/>
      <c r="J22" s="191"/>
      <c r="K22" s="299" t="e">
        <f>+J22/BALANCESHEET!G$82*100%</f>
        <v>#DIV/0!</v>
      </c>
    </row>
    <row r="23" spans="1:12" x14ac:dyDescent="0.2">
      <c r="A23" s="298">
        <v>16</v>
      </c>
      <c r="B23" s="109"/>
      <c r="C23" s="109"/>
      <c r="D23" s="191"/>
      <c r="E23" s="109"/>
      <c r="F23" s="403"/>
      <c r="G23" s="110"/>
      <c r="H23" s="110"/>
      <c r="I23" s="110"/>
      <c r="J23" s="191"/>
      <c r="K23" s="299" t="e">
        <f>+J23/BALANCESHEET!G$82*100%</f>
        <v>#DIV/0!</v>
      </c>
    </row>
    <row r="24" spans="1:12" x14ac:dyDescent="0.2">
      <c r="A24" s="298">
        <v>17</v>
      </c>
      <c r="B24" s="109"/>
      <c r="C24" s="109"/>
      <c r="D24" s="191"/>
      <c r="E24" s="109"/>
      <c r="F24" s="403"/>
      <c r="G24" s="110"/>
      <c r="H24" s="110"/>
      <c r="I24" s="110"/>
      <c r="J24" s="191"/>
      <c r="K24" s="299" t="e">
        <f>+J24/BALANCESHEET!G$82*100%</f>
        <v>#DIV/0!</v>
      </c>
    </row>
    <row r="25" spans="1:12" x14ac:dyDescent="0.2">
      <c r="A25" s="298">
        <v>18</v>
      </c>
      <c r="B25" s="109"/>
      <c r="C25" s="109"/>
      <c r="D25" s="191"/>
      <c r="E25" s="109"/>
      <c r="F25" s="403"/>
      <c r="G25" s="110"/>
      <c r="H25" s="110"/>
      <c r="I25" s="110"/>
      <c r="J25" s="191"/>
      <c r="K25" s="299" t="e">
        <f>+J25/BALANCESHEET!G$82*100%</f>
        <v>#DIV/0!</v>
      </c>
    </row>
    <row r="26" spans="1:12" x14ac:dyDescent="0.2">
      <c r="A26" s="298">
        <v>19</v>
      </c>
      <c r="B26" s="109"/>
      <c r="C26" s="109"/>
      <c r="D26" s="191"/>
      <c r="E26" s="109"/>
      <c r="F26" s="109"/>
      <c r="G26" s="110"/>
      <c r="H26" s="110"/>
      <c r="I26" s="110"/>
      <c r="J26" s="191"/>
      <c r="K26" s="299" t="e">
        <f>+J26/BALANCESHEET!G$82*100%</f>
        <v>#DIV/0!</v>
      </c>
    </row>
    <row r="27" spans="1:12" x14ac:dyDescent="0.2">
      <c r="A27" s="298">
        <v>20</v>
      </c>
      <c r="B27" s="109"/>
      <c r="C27" s="109"/>
      <c r="D27" s="191"/>
      <c r="E27" s="109"/>
      <c r="F27" s="109"/>
      <c r="G27" s="110"/>
      <c r="H27" s="110"/>
      <c r="I27" s="110"/>
      <c r="J27" s="191"/>
      <c r="K27" s="299" t="e">
        <f>+J27/BALANCESHEET!G$82*100%</f>
        <v>#DIV/0!</v>
      </c>
      <c r="L27" s="551" t="str">
        <f>IF(SUM(J8:J27)=J28,"","Балансын дүн зөрүүтэй, Комментоор бичсэн зааврын дагуу шивнэ үү.")</f>
        <v/>
      </c>
    </row>
    <row r="28" spans="1:12" x14ac:dyDescent="0.2">
      <c r="A28" s="836" t="s">
        <v>824</v>
      </c>
      <c r="B28" s="836"/>
      <c r="C28" s="332"/>
      <c r="D28" s="192">
        <f>+SUM(D8:D27)</f>
        <v>0</v>
      </c>
      <c r="E28" s="118"/>
      <c r="F28" s="118"/>
      <c r="G28" s="118"/>
      <c r="H28" s="118"/>
      <c r="I28" s="118"/>
      <c r="J28" s="192">
        <f>SUM(J8:J27)</f>
        <v>0</v>
      </c>
      <c r="K28" s="311"/>
    </row>
    <row r="29" spans="1:12" x14ac:dyDescent="0.2">
      <c r="I29" s="894" t="s">
        <v>988</v>
      </c>
      <c r="J29" s="894"/>
      <c r="K29" s="310" t="e">
        <f>+MAX(K8:K27)</f>
        <v>#DIV/0!</v>
      </c>
    </row>
    <row r="30" spans="1:12" x14ac:dyDescent="0.2">
      <c r="J30" s="539"/>
    </row>
    <row r="32" spans="1:12" x14ac:dyDescent="0.2">
      <c r="A32" s="859" t="s">
        <v>36</v>
      </c>
      <c r="B32" s="859"/>
      <c r="C32" s="333"/>
      <c r="D32" s="126"/>
      <c r="E32" s="125"/>
      <c r="F32" s="125"/>
      <c r="G32" s="13"/>
      <c r="H32" s="14"/>
    </row>
    <row r="33" spans="2:10" x14ac:dyDescent="0.2">
      <c r="B33" s="65"/>
      <c r="C33" s="65"/>
      <c r="D33" s="126"/>
      <c r="E33" s="125"/>
      <c r="F33" s="125"/>
      <c r="G33" s="13"/>
      <c r="H33" s="14"/>
    </row>
    <row r="34" spans="2:10" x14ac:dyDescent="0.2">
      <c r="B34" s="123"/>
      <c r="C34" s="123"/>
      <c r="D34" s="17" t="s">
        <v>437</v>
      </c>
      <c r="E34" s="127"/>
      <c r="F34" s="127"/>
      <c r="G34" s="17"/>
    </row>
    <row r="35" spans="2:10" x14ac:dyDescent="0.2">
      <c r="B35" s="16"/>
      <c r="C35" s="16"/>
      <c r="D35" s="126"/>
      <c r="E35" s="125"/>
      <c r="F35" s="125"/>
      <c r="G35" s="13"/>
      <c r="H35" s="14"/>
    </row>
    <row r="36" spans="2:10" x14ac:dyDescent="0.2">
      <c r="B36" s="167"/>
      <c r="C36" s="167"/>
      <c r="D36" s="167"/>
      <c r="E36" s="747" t="str">
        <f>+BALANCE!D361</f>
        <v>ГҮЙЦЭТГЭХ ЗАХИРАЛ.................................................................//</v>
      </c>
      <c r="F36" s="747"/>
      <c r="G36" s="747"/>
      <c r="H36" s="747"/>
      <c r="I36" s="747"/>
      <c r="J36" s="747"/>
    </row>
    <row r="37" spans="2:10" x14ac:dyDescent="0.2">
      <c r="B37" s="128"/>
      <c r="C37" s="128"/>
      <c r="D37" s="128"/>
      <c r="E37" s="128"/>
      <c r="F37" s="128"/>
      <c r="G37" s="128"/>
      <c r="H37" s="128"/>
    </row>
    <row r="38" spans="2:10" x14ac:dyDescent="0.2">
      <c r="B38" s="167"/>
      <c r="C38" s="167"/>
      <c r="D38" s="167"/>
      <c r="E38" s="747" t="str">
        <f>+BALANCE!D363</f>
        <v>ЕРӨНХИЙ НЯГТЛАН БОДОГЧ....................................................//</v>
      </c>
      <c r="F38" s="747"/>
      <c r="G38" s="747"/>
      <c r="H38" s="747"/>
      <c r="I38" s="747"/>
      <c r="J38" s="747"/>
    </row>
    <row r="39" spans="2:10" x14ac:dyDescent="0.2">
      <c r="B39" s="128"/>
      <c r="C39" s="128"/>
      <c r="D39" s="128"/>
      <c r="E39" s="128"/>
      <c r="F39" s="128"/>
      <c r="G39" s="128"/>
      <c r="H39" s="128"/>
    </row>
    <row r="40" spans="2:10" x14ac:dyDescent="0.2">
      <c r="B40" s="167"/>
      <c r="C40" s="167"/>
      <c r="D40" s="167"/>
      <c r="E40" s="747">
        <f>+BALANCE!D365</f>
        <v>0</v>
      </c>
      <c r="F40" s="747"/>
      <c r="G40" s="747"/>
      <c r="H40" s="747"/>
      <c r="I40" s="747"/>
      <c r="J40" s="747"/>
    </row>
  </sheetData>
  <sheetProtection password="CA9F" sheet="1"/>
  <mergeCells count="21">
    <mergeCell ref="E40:J40"/>
    <mergeCell ref="B6:C6"/>
    <mergeCell ref="I6:I7"/>
    <mergeCell ref="H6:H7"/>
    <mergeCell ref="G6:G7"/>
    <mergeCell ref="A32:B32"/>
    <mergeCell ref="A28:B28"/>
    <mergeCell ref="E38:J38"/>
    <mergeCell ref="J6:J7"/>
    <mergeCell ref="A6:A7"/>
    <mergeCell ref="K6:K7"/>
    <mergeCell ref="E36:J36"/>
    <mergeCell ref="I29:J29"/>
    <mergeCell ref="A2:K2"/>
    <mergeCell ref="A3:K3"/>
    <mergeCell ref="A4:K4"/>
    <mergeCell ref="A5:B5"/>
    <mergeCell ref="J5:K5"/>
    <mergeCell ref="F6:F7"/>
    <mergeCell ref="D6:D7"/>
    <mergeCell ref="E6:E7"/>
  </mergeCells>
  <dataValidations count="1">
    <dataValidation type="date" allowBlank="1" showInputMessage="1" showErrorMessage="1" sqref="G8:I27" xr:uid="{00000000-0002-0000-1700-000000000000}">
      <formula1>1</formula1>
      <formula2>767011</formula2>
    </dataValidation>
  </dataValidations>
  <pageMargins left="0.78740157480314965" right="0.78740157480314965" top="1.1811023622047243" bottom="0.59055118110236215" header="0.78740157480314965" footer="0.78740157480314965"/>
  <pageSetup paperSize="9" scale="9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pageSetUpPr fitToPage="1"/>
  </sheetPr>
  <dimension ref="A2:O38"/>
  <sheetViews>
    <sheetView workbookViewId="0"/>
  </sheetViews>
  <sheetFormatPr defaultRowHeight="12.75" x14ac:dyDescent="0.2"/>
  <cols>
    <col min="1" max="1" width="4.5703125" style="16" customWidth="1"/>
    <col min="2" max="2" width="9.140625" style="3"/>
    <col min="3" max="3" width="18.7109375" style="3" customWidth="1"/>
    <col min="4" max="4" width="18.28515625" style="3" customWidth="1"/>
    <col min="5" max="5" width="22" style="3" customWidth="1"/>
    <col min="6" max="6" width="13.42578125" style="3" customWidth="1"/>
    <col min="7" max="7" width="17.7109375" style="3" customWidth="1"/>
    <col min="8" max="8" width="16" style="3" bestFit="1" customWidth="1"/>
    <col min="9" max="9" width="14.42578125" style="3" customWidth="1"/>
    <col min="10" max="10" width="13.5703125" style="3" customWidth="1"/>
    <col min="11" max="11" width="12.5703125" style="3" customWidth="1"/>
    <col min="12" max="12" width="9.140625" style="3"/>
    <col min="13" max="14" width="16.28515625" style="123" customWidth="1"/>
    <col min="15" max="15" width="9.140625" style="124"/>
    <col min="16" max="16384" width="9.140625" style="3"/>
  </cols>
  <sheetData>
    <row r="2" spans="1:15" x14ac:dyDescent="0.2">
      <c r="A2" s="652" t="s">
        <v>993</v>
      </c>
      <c r="B2" s="652"/>
      <c r="C2" s="652"/>
      <c r="D2" s="652"/>
      <c r="E2" s="652"/>
      <c r="F2" s="652"/>
      <c r="G2" s="652"/>
      <c r="H2" s="652"/>
      <c r="I2" s="652"/>
      <c r="J2" s="652"/>
      <c r="K2" s="652"/>
      <c r="L2" s="652"/>
      <c r="M2" s="652"/>
      <c r="N2" s="652"/>
      <c r="O2" s="652"/>
    </row>
    <row r="3" spans="1:15" x14ac:dyDescent="0.2">
      <c r="A3" s="670" t="str">
        <f>+BALANCE!A3</f>
        <v>БАНК БУС САНХҮҮГИЙН БАЙГУУЛЛАГЫН НЭР</v>
      </c>
      <c r="B3" s="670"/>
      <c r="C3" s="670"/>
      <c r="D3" s="670"/>
      <c r="E3" s="670"/>
      <c r="F3" s="670"/>
      <c r="G3" s="670"/>
      <c r="H3" s="670"/>
      <c r="I3" s="670"/>
      <c r="J3" s="670"/>
      <c r="K3" s="670"/>
      <c r="L3" s="670"/>
      <c r="M3" s="670"/>
      <c r="N3" s="670"/>
      <c r="O3" s="670"/>
    </row>
    <row r="4" spans="1:15" x14ac:dyDescent="0.2">
      <c r="A4" s="652" t="str">
        <f>+BALANCE!A4</f>
        <v>БАНК БУС САНХҮҮГИЙН БАЙГУУЛЛАГА</v>
      </c>
      <c r="B4" s="652"/>
      <c r="C4" s="652"/>
      <c r="D4" s="652"/>
      <c r="E4" s="652"/>
      <c r="F4" s="652"/>
      <c r="G4" s="652"/>
      <c r="H4" s="652"/>
      <c r="I4" s="652"/>
      <c r="J4" s="652"/>
      <c r="K4" s="652"/>
      <c r="L4" s="652"/>
      <c r="M4" s="652"/>
      <c r="N4" s="652"/>
      <c r="O4" s="652"/>
    </row>
    <row r="5" spans="1:15" x14ac:dyDescent="0.2">
      <c r="A5" s="1"/>
      <c r="B5" s="1"/>
      <c r="C5" s="1"/>
      <c r="D5" s="1"/>
      <c r="E5" s="1"/>
      <c r="F5" s="1"/>
      <c r="G5" s="1"/>
      <c r="H5" s="1"/>
      <c r="I5" s="1"/>
      <c r="J5" s="1"/>
      <c r="K5" s="1"/>
      <c r="L5" s="1"/>
      <c r="M5" s="1"/>
      <c r="N5" s="1"/>
      <c r="O5" s="1"/>
    </row>
    <row r="6" spans="1:15" x14ac:dyDescent="0.2">
      <c r="A6" s="934">
        <f>+BALANCE!A6</f>
        <v>44834</v>
      </c>
      <c r="B6" s="934"/>
      <c r="N6" s="746" t="s">
        <v>439</v>
      </c>
      <c r="O6" s="746"/>
    </row>
    <row r="7" spans="1:15" ht="21" customHeight="1" x14ac:dyDescent="0.2">
      <c r="A7" s="931" t="s">
        <v>2</v>
      </c>
      <c r="B7" s="930" t="s">
        <v>47</v>
      </c>
      <c r="C7" s="931" t="s">
        <v>994</v>
      </c>
      <c r="D7" s="931" t="s">
        <v>995</v>
      </c>
      <c r="E7" s="931" t="s">
        <v>996</v>
      </c>
      <c r="F7" s="930" t="s">
        <v>997</v>
      </c>
      <c r="G7" s="931" t="s">
        <v>998</v>
      </c>
      <c r="H7" s="931" t="s">
        <v>995</v>
      </c>
      <c r="I7" s="930" t="s">
        <v>999</v>
      </c>
      <c r="J7" s="931" t="s">
        <v>1000</v>
      </c>
      <c r="K7" s="931"/>
      <c r="L7" s="931"/>
      <c r="M7" s="932" t="s">
        <v>1001</v>
      </c>
      <c r="N7" s="932"/>
      <c r="O7" s="935" t="s">
        <v>823</v>
      </c>
    </row>
    <row r="8" spans="1:15" ht="21" customHeight="1" x14ac:dyDescent="0.2">
      <c r="A8" s="931"/>
      <c r="B8" s="930"/>
      <c r="C8" s="931"/>
      <c r="D8" s="931"/>
      <c r="E8" s="931"/>
      <c r="F8" s="930"/>
      <c r="G8" s="931"/>
      <c r="H8" s="931"/>
      <c r="I8" s="930"/>
      <c r="J8" s="115" t="s">
        <v>1002</v>
      </c>
      <c r="K8" s="115" t="s">
        <v>1003</v>
      </c>
      <c r="L8" s="115" t="s">
        <v>1004</v>
      </c>
      <c r="M8" s="300" t="s">
        <v>732</v>
      </c>
      <c r="N8" s="300" t="s">
        <v>839</v>
      </c>
      <c r="O8" s="935"/>
    </row>
    <row r="9" spans="1:15" x14ac:dyDescent="0.2">
      <c r="A9" s="298">
        <v>1</v>
      </c>
      <c r="B9" s="109"/>
      <c r="C9" s="109"/>
      <c r="D9" s="109"/>
      <c r="E9" s="109"/>
      <c r="F9" s="109"/>
      <c r="G9" s="109"/>
      <c r="H9" s="109"/>
      <c r="I9" s="109"/>
      <c r="J9" s="117"/>
      <c r="K9" s="117"/>
      <c r="L9" s="117"/>
      <c r="M9" s="191"/>
      <c r="N9" s="191"/>
      <c r="O9" s="299" t="e">
        <f>+M9/BALANCESHEET!G$82*100%</f>
        <v>#DIV/0!</v>
      </c>
    </row>
    <row r="10" spans="1:15" x14ac:dyDescent="0.2">
      <c r="A10" s="298">
        <v>2</v>
      </c>
      <c r="B10" s="109"/>
      <c r="C10" s="109"/>
      <c r="D10" s="109"/>
      <c r="E10" s="109"/>
      <c r="F10" s="109"/>
      <c r="G10" s="109"/>
      <c r="H10" s="109"/>
      <c r="I10" s="109"/>
      <c r="J10" s="117"/>
      <c r="K10" s="117"/>
      <c r="L10" s="117"/>
      <c r="M10" s="191"/>
      <c r="N10" s="191"/>
      <c r="O10" s="299" t="e">
        <f>+M10/BALANCESHEET!G$82*100%</f>
        <v>#DIV/0!</v>
      </c>
    </row>
    <row r="11" spans="1:15" x14ac:dyDescent="0.2">
      <c r="A11" s="298">
        <v>3</v>
      </c>
      <c r="B11" s="109"/>
      <c r="C11" s="109"/>
      <c r="D11" s="109"/>
      <c r="E11" s="109"/>
      <c r="F11" s="109"/>
      <c r="G11" s="109"/>
      <c r="H11" s="109"/>
      <c r="I11" s="109"/>
      <c r="J11" s="117"/>
      <c r="K11" s="117"/>
      <c r="L11" s="117"/>
      <c r="M11" s="191"/>
      <c r="N11" s="191"/>
      <c r="O11" s="299" t="e">
        <f>+M11/BALANCESHEET!G$82*100%</f>
        <v>#DIV/0!</v>
      </c>
    </row>
    <row r="12" spans="1:15" x14ac:dyDescent="0.2">
      <c r="A12" s="298">
        <v>4</v>
      </c>
      <c r="B12" s="109"/>
      <c r="C12" s="109"/>
      <c r="D12" s="109"/>
      <c r="E12" s="109"/>
      <c r="F12" s="109"/>
      <c r="G12" s="109"/>
      <c r="H12" s="109"/>
      <c r="I12" s="109"/>
      <c r="J12" s="117"/>
      <c r="K12" s="117"/>
      <c r="L12" s="117"/>
      <c r="M12" s="191"/>
      <c r="N12" s="191"/>
      <c r="O12" s="299" t="e">
        <f>+M12/BALANCESHEET!G$82*100%</f>
        <v>#DIV/0!</v>
      </c>
    </row>
    <row r="13" spans="1:15" x14ac:dyDescent="0.2">
      <c r="A13" s="298">
        <v>5</v>
      </c>
      <c r="B13" s="109"/>
      <c r="C13" s="109"/>
      <c r="D13" s="109"/>
      <c r="E13" s="109"/>
      <c r="F13" s="109"/>
      <c r="G13" s="109"/>
      <c r="H13" s="109"/>
      <c r="I13" s="109"/>
      <c r="J13" s="117"/>
      <c r="K13" s="117"/>
      <c r="L13" s="117"/>
      <c r="M13" s="191"/>
      <c r="N13" s="191"/>
      <c r="O13" s="299" t="e">
        <f>+M13/BALANCESHEET!G$82*100%</f>
        <v>#DIV/0!</v>
      </c>
    </row>
    <row r="14" spans="1:15" x14ac:dyDescent="0.2">
      <c r="A14" s="933" t="s">
        <v>3</v>
      </c>
      <c r="B14" s="933"/>
      <c r="C14" s="121"/>
      <c r="D14" s="121"/>
      <c r="E14" s="121"/>
      <c r="F14" s="121"/>
      <c r="G14" s="121"/>
      <c r="H14" s="121"/>
      <c r="I14" s="121"/>
      <c r="J14" s="121"/>
      <c r="K14" s="121"/>
      <c r="L14" s="121"/>
      <c r="M14" s="312">
        <f>+SUM(M9:M13)</f>
        <v>0</v>
      </c>
      <c r="N14" s="312">
        <f>+SUM(N9:N13)</f>
        <v>0</v>
      </c>
      <c r="O14" s="299"/>
    </row>
    <row r="15" spans="1:15" x14ac:dyDescent="0.2">
      <c r="A15" s="298">
        <v>1</v>
      </c>
      <c r="B15" s="109"/>
      <c r="C15" s="109"/>
      <c r="D15" s="109"/>
      <c r="E15" s="109"/>
      <c r="F15" s="109"/>
      <c r="G15" s="109"/>
      <c r="H15" s="109"/>
      <c r="I15" s="109"/>
      <c r="J15" s="117"/>
      <c r="K15" s="117"/>
      <c r="L15" s="117"/>
      <c r="M15" s="191"/>
      <c r="N15" s="191"/>
      <c r="O15" s="299" t="e">
        <f>+M15/BALANCESHEET!G$82*100%</f>
        <v>#DIV/0!</v>
      </c>
    </row>
    <row r="16" spans="1:15" x14ac:dyDescent="0.2">
      <c r="A16" s="298">
        <v>2</v>
      </c>
      <c r="B16" s="109"/>
      <c r="C16" s="109"/>
      <c r="D16" s="109"/>
      <c r="E16" s="109"/>
      <c r="F16" s="109"/>
      <c r="G16" s="109"/>
      <c r="H16" s="109"/>
      <c r="I16" s="109"/>
      <c r="J16" s="117"/>
      <c r="K16" s="117"/>
      <c r="L16" s="117"/>
      <c r="M16" s="191"/>
      <c r="N16" s="191"/>
      <c r="O16" s="299" t="e">
        <f>+M16/BALANCESHEET!G$82*100%</f>
        <v>#DIV/0!</v>
      </c>
    </row>
    <row r="17" spans="1:15" x14ac:dyDescent="0.2">
      <c r="A17" s="298">
        <v>3</v>
      </c>
      <c r="B17" s="109"/>
      <c r="C17" s="109"/>
      <c r="D17" s="109"/>
      <c r="E17" s="109"/>
      <c r="F17" s="109"/>
      <c r="G17" s="109"/>
      <c r="H17" s="109"/>
      <c r="I17" s="109"/>
      <c r="J17" s="117"/>
      <c r="K17" s="117"/>
      <c r="L17" s="117"/>
      <c r="M17" s="191"/>
      <c r="N17" s="191"/>
      <c r="O17" s="299" t="e">
        <f>+M17/BALANCESHEET!G$82*100%</f>
        <v>#DIV/0!</v>
      </c>
    </row>
    <row r="18" spans="1:15" x14ac:dyDescent="0.2">
      <c r="A18" s="298">
        <v>4</v>
      </c>
      <c r="B18" s="109"/>
      <c r="C18" s="109"/>
      <c r="D18" s="109"/>
      <c r="E18" s="109"/>
      <c r="F18" s="109"/>
      <c r="G18" s="109"/>
      <c r="H18" s="109"/>
      <c r="I18" s="109"/>
      <c r="J18" s="117"/>
      <c r="K18" s="117"/>
      <c r="L18" s="117"/>
      <c r="M18" s="191"/>
      <c r="N18" s="191"/>
      <c r="O18" s="299" t="e">
        <f>+M18/BALANCESHEET!G$82*100%</f>
        <v>#DIV/0!</v>
      </c>
    </row>
    <row r="19" spans="1:15" x14ac:dyDescent="0.2">
      <c r="A19" s="298">
        <v>5</v>
      </c>
      <c r="B19" s="109"/>
      <c r="C19" s="109"/>
      <c r="D19" s="109"/>
      <c r="E19" s="109"/>
      <c r="F19" s="109"/>
      <c r="G19" s="109"/>
      <c r="H19" s="109"/>
      <c r="I19" s="109"/>
      <c r="J19" s="117"/>
      <c r="K19" s="117"/>
      <c r="L19" s="117"/>
      <c r="M19" s="191"/>
      <c r="N19" s="191"/>
      <c r="O19" s="299" t="e">
        <f>+M19/BALANCESHEET!G$82*100%</f>
        <v>#DIV/0!</v>
      </c>
    </row>
    <row r="20" spans="1:15" x14ac:dyDescent="0.2">
      <c r="A20" s="933" t="s">
        <v>3</v>
      </c>
      <c r="B20" s="933"/>
      <c r="C20" s="121"/>
      <c r="D20" s="121"/>
      <c r="E20" s="121"/>
      <c r="F20" s="121"/>
      <c r="G20" s="121"/>
      <c r="H20" s="121"/>
      <c r="I20" s="121"/>
      <c r="J20" s="121"/>
      <c r="K20" s="121"/>
      <c r="L20" s="121"/>
      <c r="M20" s="312">
        <f>+SUM(M15:M19)</f>
        <v>0</v>
      </c>
      <c r="N20" s="312">
        <f>+SUM(N15:N19)</f>
        <v>0</v>
      </c>
      <c r="O20" s="299"/>
    </row>
    <row r="21" spans="1:15" x14ac:dyDescent="0.2">
      <c r="A21" s="298">
        <v>1</v>
      </c>
      <c r="B21" s="109"/>
      <c r="C21" s="109"/>
      <c r="D21" s="109"/>
      <c r="E21" s="109"/>
      <c r="F21" s="109"/>
      <c r="G21" s="109"/>
      <c r="H21" s="109"/>
      <c r="I21" s="109"/>
      <c r="J21" s="117"/>
      <c r="K21" s="117"/>
      <c r="L21" s="117"/>
      <c r="M21" s="191"/>
      <c r="N21" s="191"/>
      <c r="O21" s="299" t="e">
        <f>+M21/BALANCESHEET!G$82*100%</f>
        <v>#DIV/0!</v>
      </c>
    </row>
    <row r="22" spans="1:15" x14ac:dyDescent="0.2">
      <c r="A22" s="298">
        <v>2</v>
      </c>
      <c r="B22" s="109"/>
      <c r="C22" s="109"/>
      <c r="D22" s="109"/>
      <c r="E22" s="109"/>
      <c r="F22" s="109"/>
      <c r="G22" s="109"/>
      <c r="H22" s="109"/>
      <c r="I22" s="109"/>
      <c r="J22" s="117"/>
      <c r="K22" s="117"/>
      <c r="L22" s="117"/>
      <c r="M22" s="191"/>
      <c r="N22" s="191"/>
      <c r="O22" s="299" t="e">
        <f>+M22/BALANCESHEET!G$82*100%</f>
        <v>#DIV/0!</v>
      </c>
    </row>
    <row r="23" spans="1:15" x14ac:dyDescent="0.2">
      <c r="A23" s="298">
        <v>3</v>
      </c>
      <c r="B23" s="109"/>
      <c r="C23" s="109"/>
      <c r="D23" s="109"/>
      <c r="E23" s="109"/>
      <c r="F23" s="109"/>
      <c r="G23" s="109"/>
      <c r="H23" s="109"/>
      <c r="I23" s="109"/>
      <c r="J23" s="117"/>
      <c r="K23" s="117"/>
      <c r="L23" s="117"/>
      <c r="M23" s="191"/>
      <c r="N23" s="191"/>
      <c r="O23" s="299" t="e">
        <f>+M23/BALANCESHEET!G$82*100%</f>
        <v>#DIV/0!</v>
      </c>
    </row>
    <row r="24" spans="1:15" x14ac:dyDescent="0.2">
      <c r="A24" s="298">
        <v>4</v>
      </c>
      <c r="B24" s="109"/>
      <c r="C24" s="109"/>
      <c r="D24" s="109"/>
      <c r="E24" s="109"/>
      <c r="F24" s="109"/>
      <c r="G24" s="109"/>
      <c r="H24" s="109"/>
      <c r="I24" s="109"/>
      <c r="J24" s="117"/>
      <c r="K24" s="117"/>
      <c r="L24" s="117"/>
      <c r="M24" s="191"/>
      <c r="N24" s="191"/>
      <c r="O24" s="299" t="e">
        <f>+M24/BALANCESHEET!G$82*100%</f>
        <v>#DIV/0!</v>
      </c>
    </row>
    <row r="25" spans="1:15" x14ac:dyDescent="0.2">
      <c r="A25" s="298">
        <v>5</v>
      </c>
      <c r="B25" s="109"/>
      <c r="C25" s="109"/>
      <c r="D25" s="109"/>
      <c r="E25" s="109"/>
      <c r="F25" s="109"/>
      <c r="G25" s="109"/>
      <c r="H25" s="109"/>
      <c r="I25" s="109"/>
      <c r="J25" s="117"/>
      <c r="K25" s="117"/>
      <c r="L25" s="117"/>
      <c r="M25" s="191"/>
      <c r="N25" s="191"/>
      <c r="O25" s="299" t="e">
        <f>+M25/BALANCESHEET!G$82*100%</f>
        <v>#DIV/0!</v>
      </c>
    </row>
    <row r="26" spans="1:15" x14ac:dyDescent="0.2">
      <c r="A26" s="933" t="s">
        <v>3</v>
      </c>
      <c r="B26" s="933"/>
      <c r="C26" s="121"/>
      <c r="D26" s="121"/>
      <c r="E26" s="121"/>
      <c r="F26" s="121"/>
      <c r="G26" s="121"/>
      <c r="H26" s="121"/>
      <c r="I26" s="121"/>
      <c r="J26" s="121"/>
      <c r="K26" s="121"/>
      <c r="L26" s="121"/>
      <c r="M26" s="312">
        <f>+SUM(M21:M25)</f>
        <v>0</v>
      </c>
      <c r="N26" s="312">
        <f>+SUM(N21:N25)</f>
        <v>0</v>
      </c>
      <c r="O26" s="299"/>
    </row>
    <row r="27" spans="1:15" x14ac:dyDescent="0.2">
      <c r="A27" s="836" t="s">
        <v>824</v>
      </c>
      <c r="B27" s="836"/>
      <c r="C27" s="118"/>
      <c r="D27" s="118"/>
      <c r="E27" s="118"/>
      <c r="F27" s="118"/>
      <c r="G27" s="118"/>
      <c r="H27" s="118"/>
      <c r="I27" s="118"/>
      <c r="J27" s="118"/>
      <c r="K27" s="118"/>
      <c r="L27" s="118"/>
      <c r="M27" s="313">
        <f>+SUM(M14,M20,M26)</f>
        <v>0</v>
      </c>
      <c r="N27" s="313">
        <f>+SUM(N14,N20,N26)</f>
        <v>0</v>
      </c>
      <c r="O27" s="311"/>
    </row>
    <row r="28" spans="1:15" x14ac:dyDescent="0.2">
      <c r="M28" s="929" t="s">
        <v>988</v>
      </c>
      <c r="N28" s="929"/>
      <c r="O28" s="296" t="e">
        <f>+MAX(O9:O25)</f>
        <v>#DIV/0!</v>
      </c>
    </row>
    <row r="30" spans="1:15" x14ac:dyDescent="0.2">
      <c r="C30" s="65" t="s">
        <v>36</v>
      </c>
      <c r="D30" s="126"/>
      <c r="E30" s="125"/>
      <c r="F30" s="13"/>
      <c r="G30" s="14"/>
    </row>
    <row r="31" spans="1:15" x14ac:dyDescent="0.2">
      <c r="C31" s="65"/>
      <c r="D31" s="126"/>
      <c r="E31" s="125"/>
      <c r="F31" s="13"/>
      <c r="G31" s="14"/>
    </row>
    <row r="32" spans="1:15" x14ac:dyDescent="0.2">
      <c r="C32" s="123"/>
      <c r="D32" s="718" t="s">
        <v>437</v>
      </c>
      <c r="E32" s="718"/>
      <c r="F32" s="17"/>
    </row>
    <row r="33" spans="3:9" x14ac:dyDescent="0.2">
      <c r="C33" s="16"/>
      <c r="D33" s="126"/>
      <c r="E33" s="125"/>
      <c r="F33" s="13"/>
      <c r="G33" s="14"/>
    </row>
    <row r="34" spans="3:9" ht="15" customHeight="1" x14ac:dyDescent="0.2">
      <c r="C34" s="167"/>
      <c r="D34" s="167"/>
      <c r="E34" s="747" t="str">
        <f>+BALANCE!D361</f>
        <v>ГҮЙЦЭТГЭХ ЗАХИРАЛ.................................................................//</v>
      </c>
      <c r="F34" s="747"/>
      <c r="G34" s="747"/>
      <c r="H34" s="747"/>
      <c r="I34" s="747"/>
    </row>
    <row r="35" spans="3:9" x14ac:dyDescent="0.2">
      <c r="C35" s="128"/>
      <c r="D35" s="128"/>
      <c r="E35" s="128"/>
      <c r="F35" s="128"/>
      <c r="G35" s="128"/>
    </row>
    <row r="36" spans="3:9" ht="15" customHeight="1" x14ac:dyDescent="0.2">
      <c r="C36" s="167"/>
      <c r="D36" s="167"/>
      <c r="E36" s="747" t="str">
        <f>+BALANCE!D363</f>
        <v>ЕРӨНХИЙ НЯГТЛАН БОДОГЧ....................................................//</v>
      </c>
      <c r="F36" s="747"/>
      <c r="G36" s="747"/>
      <c r="H36" s="747"/>
      <c r="I36" s="747"/>
    </row>
    <row r="37" spans="3:9" x14ac:dyDescent="0.2">
      <c r="C37" s="128"/>
      <c r="D37" s="128"/>
      <c r="E37" s="128"/>
      <c r="F37" s="128"/>
      <c r="G37" s="128"/>
    </row>
    <row r="38" spans="3:9" ht="15" customHeight="1" x14ac:dyDescent="0.2">
      <c r="C38" s="167"/>
      <c r="D38" s="167"/>
      <c r="E38" s="747">
        <f>+BALANCE!D365</f>
        <v>0</v>
      </c>
      <c r="F38" s="747"/>
      <c r="G38" s="747"/>
      <c r="H38" s="747"/>
      <c r="I38" s="747"/>
    </row>
  </sheetData>
  <sheetProtection password="CA9F" sheet="1"/>
  <mergeCells count="26">
    <mergeCell ref="E38:I38"/>
    <mergeCell ref="E36:I36"/>
    <mergeCell ref="E34:I34"/>
    <mergeCell ref="A2:O2"/>
    <mergeCell ref="A3:O3"/>
    <mergeCell ref="A4:O4"/>
    <mergeCell ref="A6:B6"/>
    <mergeCell ref="N6:O6"/>
    <mergeCell ref="A7:A8"/>
    <mergeCell ref="B7:B8"/>
    <mergeCell ref="D32:E32"/>
    <mergeCell ref="O7:O8"/>
    <mergeCell ref="H7:H8"/>
    <mergeCell ref="A20:B20"/>
    <mergeCell ref="A26:B26"/>
    <mergeCell ref="C7:C8"/>
    <mergeCell ref="A27:B27"/>
    <mergeCell ref="M28:N28"/>
    <mergeCell ref="I7:I8"/>
    <mergeCell ref="J7:L7"/>
    <mergeCell ref="M7:N7"/>
    <mergeCell ref="A14:B14"/>
    <mergeCell ref="D7:D8"/>
    <mergeCell ref="E7:E8"/>
    <mergeCell ref="F7:F8"/>
    <mergeCell ref="G7:G8"/>
  </mergeCells>
  <dataValidations count="1">
    <dataValidation type="date" allowBlank="1" showInputMessage="1" showErrorMessage="1" sqref="J9:L26" xr:uid="{00000000-0002-0000-1800-000000000000}">
      <formula1>1</formula1>
      <formula2>767011</formula2>
    </dataValidation>
  </dataValidations>
  <pageMargins left="0.78740157480314965" right="0.78740157480314965" top="1.1811023622047243" bottom="0.59055118110236215" header="0.78740157480314965" footer="0.78740157480314965"/>
  <pageSetup paperSize="9" scale="62" orientation="landscape"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pageSetUpPr fitToPage="1"/>
  </sheetPr>
  <dimension ref="A2:Z32"/>
  <sheetViews>
    <sheetView workbookViewId="0"/>
  </sheetViews>
  <sheetFormatPr defaultRowHeight="12.75" x14ac:dyDescent="0.2"/>
  <cols>
    <col min="1" max="1" width="3.7109375" style="3" bestFit="1" customWidth="1"/>
    <col min="2" max="2" width="13.42578125" style="3" bestFit="1" customWidth="1"/>
    <col min="3" max="3" width="18.140625" style="123" customWidth="1"/>
    <col min="4" max="4" width="18.28515625" style="123" customWidth="1"/>
    <col min="5" max="5" width="19.5703125" style="123" customWidth="1"/>
    <col min="6" max="6" width="19.7109375" style="123" customWidth="1"/>
    <col min="7" max="7" width="18.28515625" style="123" customWidth="1"/>
    <col min="8" max="8" width="19.5703125" style="123" customWidth="1"/>
    <col min="9" max="9" width="9.140625" style="319"/>
    <col min="10" max="16384" width="9.140625" style="3"/>
  </cols>
  <sheetData>
    <row r="2" spans="1:26" x14ac:dyDescent="0.2">
      <c r="A2" s="652" t="s">
        <v>1005</v>
      </c>
      <c r="B2" s="652"/>
      <c r="C2" s="652"/>
      <c r="D2" s="652"/>
      <c r="E2" s="652"/>
      <c r="F2" s="652"/>
      <c r="G2" s="652"/>
      <c r="H2" s="652"/>
      <c r="I2" s="315"/>
      <c r="J2" s="2"/>
      <c r="K2" s="2"/>
      <c r="L2" s="2"/>
      <c r="M2" s="2"/>
      <c r="N2" s="2"/>
      <c r="O2" s="2"/>
      <c r="P2" s="2"/>
      <c r="Q2" s="2"/>
      <c r="R2" s="2"/>
      <c r="S2" s="2"/>
      <c r="T2" s="2"/>
      <c r="U2" s="2"/>
      <c r="V2" s="2"/>
      <c r="W2" s="2"/>
      <c r="X2" s="2"/>
      <c r="Y2" s="2"/>
      <c r="Z2" s="2"/>
    </row>
    <row r="3" spans="1:26" x14ac:dyDescent="0.2">
      <c r="A3" s="670" t="str">
        <f>+BALANCE!A3</f>
        <v>БАНК БУС САНХҮҮГИЙН БАЙГУУЛЛАГЫН НЭР</v>
      </c>
      <c r="B3" s="670"/>
      <c r="C3" s="670"/>
      <c r="D3" s="670"/>
      <c r="E3" s="670"/>
      <c r="F3" s="670"/>
      <c r="G3" s="670"/>
      <c r="H3" s="670"/>
      <c r="I3" s="316"/>
      <c r="J3" s="9"/>
      <c r="K3" s="9"/>
      <c r="L3" s="9"/>
      <c r="M3" s="9"/>
      <c r="N3" s="9"/>
      <c r="O3" s="9"/>
      <c r="P3" s="9"/>
      <c r="Q3" s="9"/>
      <c r="R3" s="9"/>
      <c r="S3" s="9"/>
      <c r="T3" s="9"/>
      <c r="U3" s="9"/>
      <c r="V3" s="9"/>
      <c r="W3" s="9"/>
      <c r="X3" s="9"/>
      <c r="Y3" s="9"/>
      <c r="Z3" s="9"/>
    </row>
    <row r="4" spans="1:26" x14ac:dyDescent="0.2">
      <c r="A4" s="652" t="str">
        <f>+BALANCE!A4</f>
        <v>БАНК БУС САНХҮҮГИЙН БАЙГУУЛЛАГА</v>
      </c>
      <c r="B4" s="652"/>
      <c r="C4" s="652"/>
      <c r="D4" s="652"/>
      <c r="E4" s="652"/>
      <c r="F4" s="652"/>
      <c r="G4" s="652"/>
      <c r="H4" s="652"/>
      <c r="I4" s="315"/>
      <c r="J4" s="2"/>
      <c r="K4" s="2"/>
      <c r="L4" s="2"/>
      <c r="M4" s="2"/>
      <c r="N4" s="2"/>
      <c r="O4" s="2"/>
      <c r="P4" s="2"/>
      <c r="Q4" s="2"/>
      <c r="R4" s="2"/>
      <c r="S4" s="2"/>
      <c r="T4" s="2"/>
      <c r="U4" s="2"/>
      <c r="V4" s="2"/>
      <c r="W4" s="2"/>
      <c r="X4" s="2"/>
      <c r="Y4" s="2"/>
      <c r="Z4" s="2"/>
    </row>
    <row r="5" spans="1:26" x14ac:dyDescent="0.2">
      <c r="A5" s="1"/>
      <c r="B5" s="1"/>
      <c r="C5" s="1"/>
      <c r="D5" s="1"/>
      <c r="E5" s="1"/>
      <c r="F5" s="1"/>
      <c r="G5" s="1"/>
      <c r="H5" s="1"/>
      <c r="I5" s="315"/>
      <c r="J5" s="2"/>
      <c r="K5" s="2"/>
      <c r="L5" s="2"/>
      <c r="M5" s="2"/>
      <c r="N5" s="2"/>
      <c r="O5" s="2"/>
      <c r="P5" s="2"/>
      <c r="Q5" s="2"/>
      <c r="R5" s="2"/>
      <c r="S5" s="2"/>
      <c r="T5" s="2"/>
      <c r="U5" s="2"/>
      <c r="V5" s="2"/>
      <c r="W5" s="2"/>
      <c r="X5" s="2"/>
      <c r="Y5" s="2"/>
      <c r="Z5" s="2"/>
    </row>
    <row r="6" spans="1:26" x14ac:dyDescent="0.2">
      <c r="A6" s="731">
        <f>+BALANCE!A6</f>
        <v>44834</v>
      </c>
      <c r="B6" s="731"/>
      <c r="H6" s="849" t="s">
        <v>439</v>
      </c>
      <c r="I6" s="849"/>
    </row>
    <row r="7" spans="1:26" ht="14.25" customHeight="1" x14ac:dyDescent="0.2">
      <c r="A7" s="930" t="s">
        <v>2</v>
      </c>
      <c r="B7" s="930" t="s">
        <v>1006</v>
      </c>
      <c r="C7" s="940" t="s">
        <v>1007</v>
      </c>
      <c r="D7" s="940"/>
      <c r="E7" s="940"/>
      <c r="F7" s="940"/>
      <c r="G7" s="940"/>
      <c r="H7" s="940"/>
      <c r="I7" s="940"/>
    </row>
    <row r="8" spans="1:26" x14ac:dyDescent="0.2">
      <c r="A8" s="930"/>
      <c r="B8" s="930"/>
      <c r="C8" s="939" t="s">
        <v>1008</v>
      </c>
      <c r="D8" s="939"/>
      <c r="E8" s="939"/>
      <c r="F8" s="940" t="s">
        <v>1009</v>
      </c>
      <c r="G8" s="940"/>
      <c r="H8" s="940"/>
      <c r="I8" s="936" t="s">
        <v>530</v>
      </c>
    </row>
    <row r="9" spans="1:26" s="16" customFormat="1" x14ac:dyDescent="0.25">
      <c r="A9" s="930"/>
      <c r="B9" s="930"/>
      <c r="C9" s="937" t="s">
        <v>1010</v>
      </c>
      <c r="D9" s="885" t="s">
        <v>1011</v>
      </c>
      <c r="E9" s="885" t="s">
        <v>1012</v>
      </c>
      <c r="F9" s="937" t="s">
        <v>1010</v>
      </c>
      <c r="G9" s="885" t="s">
        <v>1011</v>
      </c>
      <c r="H9" s="885" t="s">
        <v>1012</v>
      </c>
      <c r="I9" s="936"/>
    </row>
    <row r="10" spans="1:26" s="16" customFormat="1" ht="15.75" customHeight="1" x14ac:dyDescent="0.25">
      <c r="A10" s="930"/>
      <c r="B10" s="930"/>
      <c r="C10" s="937"/>
      <c r="D10" s="885"/>
      <c r="E10" s="885"/>
      <c r="F10" s="937"/>
      <c r="G10" s="885"/>
      <c r="H10" s="885"/>
      <c r="I10" s="936"/>
    </row>
    <row r="11" spans="1:26" x14ac:dyDescent="0.2">
      <c r="A11" s="314">
        <v>1</v>
      </c>
      <c r="B11" s="122" t="s">
        <v>413</v>
      </c>
      <c r="C11" s="317"/>
      <c r="D11" s="317"/>
      <c r="E11" s="318"/>
      <c r="F11" s="318"/>
      <c r="G11" s="318"/>
      <c r="H11" s="318"/>
      <c r="I11" s="299" t="e">
        <f>+H11/H20*100%</f>
        <v>#DIV/0!</v>
      </c>
    </row>
    <row r="12" spans="1:26" x14ac:dyDescent="0.2">
      <c r="A12" s="314">
        <v>2</v>
      </c>
      <c r="B12" s="122" t="s">
        <v>1013</v>
      </c>
      <c r="C12" s="317"/>
      <c r="D12" s="317"/>
      <c r="E12" s="318"/>
      <c r="F12" s="318"/>
      <c r="G12" s="318"/>
      <c r="H12" s="318"/>
      <c r="I12" s="299" t="e">
        <f>+H12/H20*100%</f>
        <v>#DIV/0!</v>
      </c>
    </row>
    <row r="13" spans="1:26" x14ac:dyDescent="0.2">
      <c r="A13" s="314">
        <v>3</v>
      </c>
      <c r="B13" s="122" t="s">
        <v>1014</v>
      </c>
      <c r="C13" s="317"/>
      <c r="D13" s="317"/>
      <c r="E13" s="318"/>
      <c r="F13" s="318"/>
      <c r="G13" s="318"/>
      <c r="H13" s="318"/>
      <c r="I13" s="299" t="e">
        <f>+H13/H20*100%</f>
        <v>#DIV/0!</v>
      </c>
    </row>
    <row r="14" spans="1:26" x14ac:dyDescent="0.2">
      <c r="A14" s="314">
        <v>4</v>
      </c>
      <c r="B14" s="122" t="s">
        <v>419</v>
      </c>
      <c r="C14" s="317"/>
      <c r="D14" s="317"/>
      <c r="E14" s="318"/>
      <c r="F14" s="318"/>
      <c r="G14" s="318"/>
      <c r="H14" s="318"/>
      <c r="I14" s="299" t="e">
        <f>+H14/H20*100%</f>
        <v>#DIV/0!</v>
      </c>
    </row>
    <row r="15" spans="1:26" x14ac:dyDescent="0.2">
      <c r="A15" s="314">
        <v>5</v>
      </c>
      <c r="B15" s="122" t="s">
        <v>421</v>
      </c>
      <c r="C15" s="317"/>
      <c r="D15" s="317"/>
      <c r="E15" s="318"/>
      <c r="F15" s="318"/>
      <c r="G15" s="318"/>
      <c r="H15" s="318"/>
      <c r="I15" s="299" t="e">
        <f>+H15/H20*100%</f>
        <v>#DIV/0!</v>
      </c>
    </row>
    <row r="16" spans="1:26" x14ac:dyDescent="0.2">
      <c r="A16" s="314">
        <v>6</v>
      </c>
      <c r="B16" s="122" t="s">
        <v>423</v>
      </c>
      <c r="C16" s="317"/>
      <c r="D16" s="317"/>
      <c r="E16" s="318"/>
      <c r="F16" s="318"/>
      <c r="G16" s="318"/>
      <c r="H16" s="318"/>
      <c r="I16" s="299" t="e">
        <f>+H16/H20*100%</f>
        <v>#DIV/0!</v>
      </c>
    </row>
    <row r="17" spans="1:9" x14ac:dyDescent="0.2">
      <c r="A17" s="314">
        <v>7</v>
      </c>
      <c r="B17" s="122" t="s">
        <v>1015</v>
      </c>
      <c r="C17" s="317"/>
      <c r="D17" s="317"/>
      <c r="E17" s="318"/>
      <c r="F17" s="318"/>
      <c r="G17" s="318"/>
      <c r="H17" s="318"/>
      <c r="I17" s="299" t="e">
        <f>+H17/H20*100%</f>
        <v>#DIV/0!</v>
      </c>
    </row>
    <row r="18" spans="1:9" x14ac:dyDescent="0.2">
      <c r="A18" s="314">
        <v>8</v>
      </c>
      <c r="B18" s="122" t="s">
        <v>426</v>
      </c>
      <c r="C18" s="317"/>
      <c r="D18" s="317"/>
      <c r="E18" s="318"/>
      <c r="F18" s="318"/>
      <c r="G18" s="318"/>
      <c r="H18" s="318"/>
      <c r="I18" s="299" t="e">
        <f>+H18/H20*100%</f>
        <v>#DIV/0!</v>
      </c>
    </row>
    <row r="19" spans="1:9" x14ac:dyDescent="0.2">
      <c r="A19" s="314">
        <v>9</v>
      </c>
      <c r="B19" s="122" t="s">
        <v>1016</v>
      </c>
      <c r="C19" s="317"/>
      <c r="D19" s="317"/>
      <c r="E19" s="318"/>
      <c r="F19" s="318"/>
      <c r="G19" s="318"/>
      <c r="H19" s="318"/>
      <c r="I19" s="299" t="e">
        <f>+H19/H20*100%</f>
        <v>#DIV/0!</v>
      </c>
    </row>
    <row r="20" spans="1:9" ht="14.25" customHeight="1" x14ac:dyDescent="0.2">
      <c r="A20" s="938" t="s">
        <v>824</v>
      </c>
      <c r="B20" s="938"/>
      <c r="C20" s="390">
        <f t="shared" ref="C20:H20" si="0">+SUM(C11:C19)</f>
        <v>0</v>
      </c>
      <c r="D20" s="390">
        <f t="shared" si="0"/>
        <v>0</v>
      </c>
      <c r="E20" s="391">
        <f>+SUM(E11:E19)</f>
        <v>0</v>
      </c>
      <c r="F20" s="391">
        <f t="shared" si="0"/>
        <v>0</v>
      </c>
      <c r="G20" s="391">
        <f t="shared" si="0"/>
        <v>0</v>
      </c>
      <c r="H20" s="391">
        <f t="shared" si="0"/>
        <v>0</v>
      </c>
      <c r="I20" s="392"/>
    </row>
    <row r="21" spans="1:9" x14ac:dyDescent="0.2">
      <c r="G21" s="929" t="s">
        <v>988</v>
      </c>
      <c r="H21" s="929"/>
      <c r="I21" s="296" t="e">
        <f>+MAX(I11:I19)</f>
        <v>#DIV/0!</v>
      </c>
    </row>
    <row r="24" spans="1:9" x14ac:dyDescent="0.2">
      <c r="B24" s="65" t="s">
        <v>36</v>
      </c>
      <c r="C24" s="126"/>
      <c r="D24" s="125"/>
      <c r="E24" s="13"/>
      <c r="F24" s="14"/>
    </row>
    <row r="25" spans="1:9" x14ac:dyDescent="0.2">
      <c r="B25" s="65"/>
      <c r="C25" s="126"/>
      <c r="D25" s="125"/>
      <c r="E25" s="13"/>
      <c r="F25" s="14"/>
    </row>
    <row r="26" spans="1:9" x14ac:dyDescent="0.2">
      <c r="B26" s="123"/>
      <c r="C26" s="17" t="s">
        <v>437</v>
      </c>
      <c r="D26" s="127"/>
      <c r="E26" s="17"/>
      <c r="F26" s="3"/>
    </row>
    <row r="27" spans="1:9" x14ac:dyDescent="0.2">
      <c r="B27" s="16"/>
      <c r="C27" s="126"/>
      <c r="D27" s="125"/>
      <c r="E27" s="13"/>
      <c r="F27" s="14"/>
    </row>
    <row r="28" spans="1:9" x14ac:dyDescent="0.2">
      <c r="B28" s="167"/>
      <c r="C28" s="167"/>
      <c r="D28" s="747" t="str">
        <f>+BALANCE!D361</f>
        <v>ГҮЙЦЭТГЭХ ЗАХИРАЛ.................................................................//</v>
      </c>
      <c r="E28" s="747"/>
      <c r="F28" s="747"/>
      <c r="G28" s="747"/>
    </row>
    <row r="29" spans="1:9" x14ac:dyDescent="0.2">
      <c r="B29" s="128"/>
      <c r="C29" s="128"/>
      <c r="D29" s="128"/>
      <c r="E29" s="128"/>
      <c r="F29" s="128"/>
    </row>
    <row r="30" spans="1:9" x14ac:dyDescent="0.2">
      <c r="B30" s="167"/>
      <c r="C30" s="167"/>
      <c r="D30" s="747" t="str">
        <f>+BALANCE!D363</f>
        <v>ЕРӨНХИЙ НЯГТЛАН БОДОГЧ....................................................//</v>
      </c>
      <c r="E30" s="747"/>
      <c r="F30" s="747"/>
      <c r="G30" s="747"/>
    </row>
    <row r="31" spans="1:9" x14ac:dyDescent="0.2">
      <c r="B31" s="128"/>
      <c r="C31" s="128"/>
      <c r="D31" s="128"/>
      <c r="E31" s="128"/>
      <c r="F31" s="128"/>
    </row>
    <row r="32" spans="1:9" x14ac:dyDescent="0.2">
      <c r="B32" s="167"/>
      <c r="C32" s="167"/>
      <c r="D32" s="747">
        <f>+BALANCE!D365</f>
        <v>0</v>
      </c>
      <c r="E32" s="747"/>
      <c r="F32" s="747"/>
      <c r="G32" s="747"/>
    </row>
  </sheetData>
  <sheetProtection password="CA9F" sheet="1"/>
  <mergeCells count="22">
    <mergeCell ref="A2:H2"/>
    <mergeCell ref="A3:H3"/>
    <mergeCell ref="A4:H4"/>
    <mergeCell ref="A6:B6"/>
    <mergeCell ref="H6:I6"/>
    <mergeCell ref="A20:B20"/>
    <mergeCell ref="G21:H21"/>
    <mergeCell ref="C8:E8"/>
    <mergeCell ref="F8:H8"/>
    <mergeCell ref="G9:G10"/>
    <mergeCell ref="H9:H10"/>
    <mergeCell ref="A7:A10"/>
    <mergeCell ref="B7:B10"/>
    <mergeCell ref="C7:I7"/>
    <mergeCell ref="D32:G32"/>
    <mergeCell ref="D30:G30"/>
    <mergeCell ref="D28:G28"/>
    <mergeCell ref="I8:I10"/>
    <mergeCell ref="C9:C10"/>
    <mergeCell ref="D9:D10"/>
    <mergeCell ref="E9:E10"/>
    <mergeCell ref="F9:F10"/>
  </mergeCells>
  <pageMargins left="0.78740157480314965" right="0.78740157480314965" top="1.1811023622047243" bottom="0.59055118110236215" header="0.78740157480314965" footer="0.78740157480314965"/>
  <pageSetup paperSize="9" scale="94"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pageSetUpPr fitToPage="1"/>
  </sheetPr>
  <dimension ref="A2:E45"/>
  <sheetViews>
    <sheetView workbookViewId="0"/>
  </sheetViews>
  <sheetFormatPr defaultRowHeight="12.75" x14ac:dyDescent="0.2"/>
  <cols>
    <col min="1" max="1" width="3.28515625" style="16" customWidth="1"/>
    <col min="2" max="2" width="55.7109375" style="3" customWidth="1"/>
    <col min="3" max="3" width="15.7109375" style="16" bestFit="1" customWidth="1"/>
    <col min="4" max="4" width="13.7109375" style="175" bestFit="1" customWidth="1"/>
    <col min="5" max="5" width="16.85546875" style="16" bestFit="1" customWidth="1"/>
    <col min="6" max="16384" width="9.140625" style="3"/>
  </cols>
  <sheetData>
    <row r="2" spans="1:5" x14ac:dyDescent="0.2">
      <c r="A2" s="652" t="s">
        <v>1017</v>
      </c>
      <c r="B2" s="652"/>
      <c r="C2" s="652"/>
      <c r="D2" s="652"/>
      <c r="E2" s="652"/>
    </row>
    <row r="3" spans="1:5" x14ac:dyDescent="0.2">
      <c r="A3" s="670" t="str">
        <f>+BALANCE!A3</f>
        <v>БАНК БУС САНХҮҮГИЙН БАЙГУУЛЛАГЫН НЭР</v>
      </c>
      <c r="B3" s="670"/>
      <c r="C3" s="670"/>
      <c r="D3" s="670"/>
      <c r="E3" s="670"/>
    </row>
    <row r="4" spans="1:5" x14ac:dyDescent="0.2">
      <c r="A4" s="652" t="str">
        <f>+BALANCE!A4</f>
        <v>БАНК БУС САНХҮҮГИЙН БАЙГУУЛЛАГА</v>
      </c>
      <c r="B4" s="652"/>
      <c r="C4" s="652"/>
      <c r="D4" s="652"/>
      <c r="E4" s="652"/>
    </row>
    <row r="5" spans="1:5" x14ac:dyDescent="0.2">
      <c r="A5" s="1"/>
      <c r="B5" s="1"/>
      <c r="C5" s="1"/>
      <c r="D5" s="1"/>
      <c r="E5" s="18"/>
    </row>
    <row r="6" spans="1:5" x14ac:dyDescent="0.2">
      <c r="A6" s="731">
        <f>+BALANCE!A6</f>
        <v>44834</v>
      </c>
      <c r="B6" s="731"/>
    </row>
    <row r="7" spans="1:5" x14ac:dyDescent="0.2">
      <c r="A7" s="320" t="s">
        <v>2</v>
      </c>
      <c r="B7" s="22" t="s">
        <v>1018</v>
      </c>
      <c r="C7" s="320" t="s">
        <v>1019</v>
      </c>
      <c r="D7" s="321" t="s">
        <v>1020</v>
      </c>
      <c r="E7" s="320" t="s">
        <v>1021</v>
      </c>
    </row>
    <row r="8" spans="1:5" x14ac:dyDescent="0.2">
      <c r="A8" s="320" t="s">
        <v>763</v>
      </c>
      <c r="B8" s="656" t="s">
        <v>1022</v>
      </c>
      <c r="C8" s="656"/>
      <c r="D8" s="656"/>
      <c r="E8" s="656"/>
    </row>
    <row r="9" spans="1:5" ht="25.5" x14ac:dyDescent="0.2">
      <c r="A9" s="44">
        <v>1</v>
      </c>
      <c r="B9" s="322" t="s">
        <v>1023</v>
      </c>
      <c r="C9" s="323" t="s">
        <v>707</v>
      </c>
      <c r="D9" s="324" t="e">
        <f>+Capital!E49</f>
        <v>#DIV/0!</v>
      </c>
      <c r="E9" s="337" t="e">
        <f>+Capital!E50</f>
        <v>#DIV/0!</v>
      </c>
    </row>
    <row r="10" spans="1:5" ht="25.5" x14ac:dyDescent="0.2">
      <c r="A10" s="44">
        <v>2</v>
      </c>
      <c r="B10" s="322" t="s">
        <v>1024</v>
      </c>
      <c r="C10" s="252" t="s">
        <v>712</v>
      </c>
      <c r="D10" s="324" t="e">
        <f>+Capital!E52</f>
        <v>#DIV/0!</v>
      </c>
      <c r="E10" s="337" t="e">
        <f>+Capital!E53</f>
        <v>#DIV/0!</v>
      </c>
    </row>
    <row r="11" spans="1:5" ht="25.5" x14ac:dyDescent="0.2">
      <c r="A11" s="44">
        <v>3</v>
      </c>
      <c r="B11" s="325" t="s">
        <v>714</v>
      </c>
      <c r="C11" s="44" t="s">
        <v>707</v>
      </c>
      <c r="D11" s="326" t="e">
        <f>+Capital!E55</f>
        <v>#DIV/0!</v>
      </c>
      <c r="E11" s="337" t="e">
        <f>+Capital!E56</f>
        <v>#DIV/0!</v>
      </c>
    </row>
    <row r="12" spans="1:5" x14ac:dyDescent="0.2">
      <c r="A12" s="320" t="s">
        <v>770</v>
      </c>
      <c r="B12" s="656" t="s">
        <v>1025</v>
      </c>
      <c r="C12" s="656"/>
      <c r="D12" s="656"/>
      <c r="E12" s="656"/>
    </row>
    <row r="13" spans="1:5" x14ac:dyDescent="0.2">
      <c r="A13" s="44">
        <v>4</v>
      </c>
      <c r="B13" s="39" t="s">
        <v>1025</v>
      </c>
      <c r="C13" s="44" t="s">
        <v>1026</v>
      </c>
      <c r="D13" s="326" t="str">
        <f>+Liquidity!E27</f>
        <v>-</v>
      </c>
      <c r="E13" s="337" t="str">
        <f>+Liquidity!E28</f>
        <v>-</v>
      </c>
    </row>
    <row r="14" spans="1:5" x14ac:dyDescent="0.2">
      <c r="A14" s="320" t="s">
        <v>774</v>
      </c>
      <c r="B14" s="656" t="s">
        <v>1027</v>
      </c>
      <c r="C14" s="656"/>
      <c r="D14" s="656"/>
      <c r="E14" s="656"/>
    </row>
    <row r="15" spans="1:5" ht="25.5" x14ac:dyDescent="0.2">
      <c r="A15" s="44">
        <v>5</v>
      </c>
      <c r="B15" s="325" t="s">
        <v>1028</v>
      </c>
      <c r="C15" s="327">
        <f>+Provision!E45</f>
        <v>0</v>
      </c>
      <c r="D15" s="327">
        <f>+Provision!F45</f>
        <v>0</v>
      </c>
      <c r="E15" s="300">
        <f>+Provision!G45</f>
        <v>0</v>
      </c>
    </row>
    <row r="16" spans="1:5" ht="39.75" customHeight="1" x14ac:dyDescent="0.2">
      <c r="A16" s="44">
        <v>6</v>
      </c>
      <c r="B16" s="325" t="s">
        <v>1029</v>
      </c>
      <c r="C16" s="44" t="s">
        <v>1030</v>
      </c>
      <c r="D16" s="326" t="e">
        <f>'Top40'!S49</f>
        <v>#DIV/0!</v>
      </c>
      <c r="E16" s="337" t="e">
        <f>+IF(D16&gt;0.3,"Хангаагүй","Хангасан")</f>
        <v>#DIV/0!</v>
      </c>
    </row>
    <row r="17" spans="1:5" ht="25.5" x14ac:dyDescent="0.2">
      <c r="A17" s="44">
        <v>14</v>
      </c>
      <c r="B17" s="325" t="s">
        <v>1039</v>
      </c>
      <c r="C17" s="44" t="s">
        <v>1040</v>
      </c>
      <c r="D17" s="326" t="e">
        <f>BALANCE!D332/BALANCE!H132</f>
        <v>#DIV/0!</v>
      </c>
      <c r="E17" s="337" t="e">
        <f>IF(D17=0,"-",IF(D17&gt;0.7,"Хангаагүй","Хангасан"))</f>
        <v>#DIV/0!</v>
      </c>
    </row>
    <row r="18" spans="1:5" ht="63.75" x14ac:dyDescent="0.2">
      <c r="A18" s="44">
        <v>8</v>
      </c>
      <c r="B18" s="325" t="s">
        <v>1063</v>
      </c>
      <c r="C18" s="44" t="s">
        <v>1033</v>
      </c>
      <c r="D18" s="326" t="e">
        <f>Insider!M28/BALANCESHEET!G82</f>
        <v>#DIV/0!</v>
      </c>
      <c r="E18" s="337" t="e">
        <f>+IF(D18&gt;0.25,"Хангаагүй","Хангасан")</f>
        <v>#DIV/0!</v>
      </c>
    </row>
    <row r="19" spans="1:5" ht="51" x14ac:dyDescent="0.2">
      <c r="A19" s="44">
        <v>7</v>
      </c>
      <c r="B19" s="325" t="s">
        <v>1031</v>
      </c>
      <c r="C19" s="44" t="s">
        <v>1032</v>
      </c>
      <c r="D19" s="326" t="e">
        <f>Insider!P29</f>
        <v>#DIV/0!</v>
      </c>
      <c r="E19" s="337" t="e">
        <f>+IF(D19&gt;0.1,"Хангаагүй","Хангасан")</f>
        <v>#DIV/0!</v>
      </c>
    </row>
    <row r="20" spans="1:5" ht="25.5" x14ac:dyDescent="0.2">
      <c r="A20" s="44">
        <v>9</v>
      </c>
      <c r="B20" s="325" t="s">
        <v>1034</v>
      </c>
      <c r="C20" s="44" t="s">
        <v>1035</v>
      </c>
      <c r="D20" s="326" t="e">
        <f>+SUM(BALANCESHEET!C16,BALANCESHEET!C111)/BALANCESHEET!G82</f>
        <v>#DIV/0!</v>
      </c>
      <c r="E20" s="337" t="e">
        <f>IF(D20=0,"-",IF(D20&gt;0.5,"Хангаагүй","Хангасан"))</f>
        <v>#DIV/0!</v>
      </c>
    </row>
    <row r="21" spans="1:5" ht="25.5" x14ac:dyDescent="0.2">
      <c r="A21" s="44">
        <v>10</v>
      </c>
      <c r="B21" s="325" t="s">
        <v>1036</v>
      </c>
      <c r="C21" s="44" t="s">
        <v>1037</v>
      </c>
      <c r="D21" s="326" t="e">
        <f>+SUM(BALANCESHEET!C20,BALANCESHEET!C26)/BALANCESHEET!G82</f>
        <v>#DIV/0!</v>
      </c>
      <c r="E21" s="337" t="e">
        <f>IF(D21=0,"-",IF(D21&gt;0.2,"Хангаагүй","Хангасан"))</f>
        <v>#DIV/0!</v>
      </c>
    </row>
    <row r="22" spans="1:5" ht="38.25" x14ac:dyDescent="0.2">
      <c r="A22" s="44">
        <v>11</v>
      </c>
      <c r="B22" s="325" t="s">
        <v>1095</v>
      </c>
      <c r="C22" s="44" t="s">
        <v>1037</v>
      </c>
      <c r="D22" s="326">
        <f>Securities!H28</f>
        <v>0</v>
      </c>
      <c r="E22" s="338" t="str">
        <f>IF(D22=0,"-",IF(D22&gt;0.2,"Хангаагүй","Хангасан"))</f>
        <v>-</v>
      </c>
    </row>
    <row r="23" spans="1:5" ht="25.5" x14ac:dyDescent="0.2">
      <c r="A23" s="44">
        <v>12</v>
      </c>
      <c r="B23" s="325" t="s">
        <v>1038</v>
      </c>
      <c r="C23" s="44" t="s">
        <v>1037</v>
      </c>
      <c r="D23" s="326" t="e">
        <f>+SUM(BALANCESHEET!C21,BALANCESHEET!C27)/BALANCESHEET!G82</f>
        <v>#DIV/0!</v>
      </c>
      <c r="E23" s="337" t="e">
        <f>IF(D23=0,"-",IF(D23&gt;0.2,"Хангаагүй","Хангасан"))</f>
        <v>#DIV/0!</v>
      </c>
    </row>
    <row r="24" spans="1:5" ht="25.5" x14ac:dyDescent="0.2">
      <c r="A24" s="44">
        <v>13</v>
      </c>
      <c r="B24" s="325" t="s">
        <v>1070</v>
      </c>
      <c r="C24" s="44" t="s">
        <v>1032</v>
      </c>
      <c r="D24" s="326" t="e">
        <f>+SUM(BALANCESHEET!C28,BALANCESHEET!C22)/SUM(BALANCESHEET!C16,BALANCESHEET!C111)</f>
        <v>#DIV/0!</v>
      </c>
      <c r="E24" s="337" t="e">
        <f>IF(D24=0,"-",IF(D24&gt;0.1,"Хангаагүй","Хангасан"))</f>
        <v>#DIV/0!</v>
      </c>
    </row>
    <row r="25" spans="1:5" x14ac:dyDescent="0.2">
      <c r="A25" s="320" t="s">
        <v>778</v>
      </c>
      <c r="B25" s="656" t="s">
        <v>1041</v>
      </c>
      <c r="C25" s="656"/>
      <c r="D25" s="656"/>
      <c r="E25" s="656"/>
    </row>
    <row r="26" spans="1:5" ht="25.5" x14ac:dyDescent="0.2">
      <c r="A26" s="44">
        <v>15</v>
      </c>
      <c r="B26" s="325" t="s">
        <v>1042</v>
      </c>
      <c r="C26" s="44" t="s">
        <v>1043</v>
      </c>
      <c r="D26" s="326" t="e">
        <f>Forex!M30</f>
        <v>#DIV/0!</v>
      </c>
      <c r="E26" s="337" t="e">
        <f>IF(AND(D26&lt;0.4,D26&gt;-0.4),"Хангасан","Хангаагүй")</f>
        <v>#DIV/0!</v>
      </c>
    </row>
    <row r="27" spans="1:5" x14ac:dyDescent="0.2">
      <c r="A27" s="320" t="s">
        <v>713</v>
      </c>
      <c r="B27" s="656" t="s">
        <v>1071</v>
      </c>
      <c r="C27" s="656"/>
      <c r="D27" s="656"/>
      <c r="E27" s="656"/>
    </row>
    <row r="28" spans="1:5" ht="25.5" x14ac:dyDescent="0.2">
      <c r="A28" s="44">
        <v>16</v>
      </c>
      <c r="B28" s="325" t="s">
        <v>1044</v>
      </c>
      <c r="C28" s="44" t="s">
        <v>1045</v>
      </c>
      <c r="D28" s="326" t="e">
        <f>+BALANCESHEET!G11/BALANCESHEET!G82</f>
        <v>#DIV/0!</v>
      </c>
      <c r="E28" s="337" t="e">
        <f>IF(D28=0,"-",IF(D28&gt;0.8,"Хангаагүй","Хангасан"))</f>
        <v>#DIV/0!</v>
      </c>
    </row>
    <row r="29" spans="1:5" x14ac:dyDescent="0.2">
      <c r="A29" s="44">
        <v>18</v>
      </c>
      <c r="B29" s="39" t="s">
        <v>1049</v>
      </c>
      <c r="C29" s="44" t="s">
        <v>1035</v>
      </c>
      <c r="D29" s="326" t="e">
        <f>+BALANCESHEET!G39/BALANCESHEET!G82</f>
        <v>#DIV/0!</v>
      </c>
      <c r="E29" s="337" t="e">
        <f>IF(D29=0,"-",IF(D29&gt;0.5,"Хангаагүй","Хангасан"))</f>
        <v>#DIV/0!</v>
      </c>
    </row>
    <row r="30" spans="1:5" x14ac:dyDescent="0.2">
      <c r="A30" s="320" t="s">
        <v>782</v>
      </c>
      <c r="B30" s="656" t="s">
        <v>1046</v>
      </c>
      <c r="C30" s="656"/>
      <c r="D30" s="656"/>
      <c r="E30" s="656"/>
    </row>
    <row r="31" spans="1:5" x14ac:dyDescent="0.2">
      <c r="A31" s="44">
        <v>17</v>
      </c>
      <c r="B31" s="39" t="s">
        <v>1047</v>
      </c>
      <c r="C31" s="44" t="s">
        <v>1048</v>
      </c>
      <c r="D31" s="326" t="e">
        <f>((BALANCE!D242-BALANCE!D248)/1000)/BALANCESHEET!C116</f>
        <v>#DIV/0!</v>
      </c>
      <c r="E31" s="337" t="e">
        <f>+IF(D31&gt;0.15,"Хангаагүй","Хангасан")</f>
        <v>#DIV/0!</v>
      </c>
    </row>
    <row r="32" spans="1:5" x14ac:dyDescent="0.2">
      <c r="A32" s="320" t="s">
        <v>1050</v>
      </c>
      <c r="B32" s="656" t="s">
        <v>1051</v>
      </c>
      <c r="C32" s="656"/>
      <c r="D32" s="656"/>
      <c r="E32" s="656"/>
    </row>
    <row r="33" spans="1:5" ht="15.75" customHeight="1" x14ac:dyDescent="0.2">
      <c r="A33" s="44">
        <v>19</v>
      </c>
      <c r="B33" s="39" t="s">
        <v>1052</v>
      </c>
      <c r="C33" s="942" t="e">
        <f>+INCOME!E140/((Statistic!C44+BALANCESHEET!C116)/2)</f>
        <v>#DIV/0!</v>
      </c>
      <c r="D33" s="942"/>
      <c r="E33" s="942"/>
    </row>
    <row r="34" spans="1:5" ht="15.75" customHeight="1" x14ac:dyDescent="0.2">
      <c r="A34" s="44">
        <v>20</v>
      </c>
      <c r="B34" s="39" t="s">
        <v>1053</v>
      </c>
      <c r="C34" s="942" t="e">
        <f>+INCOME!E140/((Statistic!C45+BALANCESHEET!G82)/2)</f>
        <v>#DIV/0!</v>
      </c>
      <c r="D34" s="942"/>
      <c r="E34" s="942"/>
    </row>
    <row r="37" spans="1:5" x14ac:dyDescent="0.2">
      <c r="A37" s="666" t="s">
        <v>36</v>
      </c>
      <c r="B37" s="666"/>
      <c r="C37" s="125"/>
      <c r="D37" s="13"/>
      <c r="E37" s="50"/>
    </row>
    <row r="38" spans="1:5" x14ac:dyDescent="0.2">
      <c r="A38" s="65"/>
      <c r="B38" s="126"/>
      <c r="C38" s="125"/>
      <c r="D38" s="13"/>
      <c r="E38" s="50"/>
    </row>
    <row r="39" spans="1:5" x14ac:dyDescent="0.2">
      <c r="A39" s="123"/>
      <c r="B39" s="17" t="s">
        <v>437</v>
      </c>
      <c r="C39" s="127"/>
      <c r="D39" s="17"/>
    </row>
    <row r="41" spans="1:5" x14ac:dyDescent="0.2">
      <c r="B41" s="941" t="str">
        <f>+BALANCE!D361</f>
        <v>ГҮЙЦЭТГЭХ ЗАХИРАЛ.................................................................//</v>
      </c>
      <c r="C41" s="941"/>
      <c r="D41" s="941"/>
    </row>
    <row r="43" spans="1:5" x14ac:dyDescent="0.2">
      <c r="B43" s="941" t="str">
        <f>+BALANCE!D363</f>
        <v>ЕРӨНХИЙ НЯГТЛАН БОДОГЧ....................................................//</v>
      </c>
      <c r="C43" s="941"/>
      <c r="D43" s="941"/>
    </row>
    <row r="45" spans="1:5" x14ac:dyDescent="0.2">
      <c r="B45" s="941">
        <f>+BALANCE!D365</f>
        <v>0</v>
      </c>
      <c r="C45" s="941"/>
      <c r="D45" s="941"/>
    </row>
  </sheetData>
  <sheetProtection password="CA9F" sheet="1"/>
  <mergeCells count="17">
    <mergeCell ref="A2:E2"/>
    <mergeCell ref="A3:E3"/>
    <mergeCell ref="A4:E4"/>
    <mergeCell ref="A6:B6"/>
    <mergeCell ref="B8:E8"/>
    <mergeCell ref="B45:D45"/>
    <mergeCell ref="C33:E33"/>
    <mergeCell ref="B12:E12"/>
    <mergeCell ref="C34:E34"/>
    <mergeCell ref="A37:B37"/>
    <mergeCell ref="B41:D41"/>
    <mergeCell ref="B43:D43"/>
    <mergeCell ref="B14:E14"/>
    <mergeCell ref="B25:E25"/>
    <mergeCell ref="B27:E27"/>
    <mergeCell ref="B30:E30"/>
    <mergeCell ref="B32:E32"/>
  </mergeCells>
  <pageMargins left="0.78740157480314965" right="0.78740157480314965" top="1.1811023622047243" bottom="0.59055118110236215" header="0.78740157480314965" footer="0.78740157480314965"/>
  <pageSetup paperSize="9" scale="8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25"/>
  <sheetViews>
    <sheetView workbookViewId="0"/>
  </sheetViews>
  <sheetFormatPr defaultRowHeight="12.75" x14ac:dyDescent="0.2"/>
  <cols>
    <col min="1" max="1" width="3.85546875" style="13" bestFit="1" customWidth="1"/>
    <col min="2" max="2" width="28.140625" style="3" customWidth="1"/>
    <col min="3" max="3" width="41.5703125" style="3" customWidth="1"/>
    <col min="4" max="16384" width="9.140625" style="3"/>
  </cols>
  <sheetData>
    <row r="1" spans="1:3" ht="15" customHeight="1" x14ac:dyDescent="0.2">
      <c r="C1" s="607"/>
    </row>
    <row r="2" spans="1:3" x14ac:dyDescent="0.2">
      <c r="A2" s="652" t="s">
        <v>1184</v>
      </c>
      <c r="B2" s="652"/>
      <c r="C2" s="652"/>
    </row>
    <row r="3" spans="1:3" x14ac:dyDescent="0.2">
      <c r="A3" s="670" t="str">
        <f>+[1]Statistic!A3</f>
        <v>БАНК БУС САНХҮҮГИЙН БАЙГУУЛЛАГЫН НЭР</v>
      </c>
      <c r="B3" s="670"/>
      <c r="C3" s="670"/>
    </row>
    <row r="4" spans="1:3" x14ac:dyDescent="0.2">
      <c r="A4" s="654" t="str">
        <f>+[1]BALANCE!A4</f>
        <v>БАНК БУС САНХҮҮГИЙН БАЙГУУЛЛАГА</v>
      </c>
      <c r="B4" s="654"/>
      <c r="C4" s="654"/>
    </row>
    <row r="5" spans="1:3" x14ac:dyDescent="0.2">
      <c r="A5" s="649"/>
      <c r="B5" s="5"/>
      <c r="C5" s="5"/>
    </row>
    <row r="6" spans="1:3" x14ac:dyDescent="0.2">
      <c r="A6" s="649"/>
      <c r="B6" s="5"/>
      <c r="C6" s="5"/>
    </row>
    <row r="7" spans="1:3" x14ac:dyDescent="0.2">
      <c r="A7" s="668">
        <f>+Statistic!A7</f>
        <v>44834</v>
      </c>
      <c r="B7" s="668"/>
      <c r="C7" s="608"/>
    </row>
    <row r="8" spans="1:3" x14ac:dyDescent="0.2">
      <c r="A8" s="650" t="s">
        <v>2</v>
      </c>
      <c r="B8" s="669" t="s">
        <v>1265</v>
      </c>
      <c r="C8" s="669"/>
    </row>
    <row r="9" spans="1:3" x14ac:dyDescent="0.2">
      <c r="A9" s="198">
        <v>1</v>
      </c>
      <c r="B9" s="325" t="s">
        <v>1266</v>
      </c>
      <c r="C9" s="109"/>
    </row>
    <row r="10" spans="1:3" x14ac:dyDescent="0.2">
      <c r="A10" s="198">
        <v>2</v>
      </c>
      <c r="B10" s="325" t="s">
        <v>1268</v>
      </c>
      <c r="C10" s="109"/>
    </row>
    <row r="11" spans="1:3" ht="25.5" x14ac:dyDescent="0.2">
      <c r="A11" s="198">
        <v>3</v>
      </c>
      <c r="B11" s="325" t="s">
        <v>1267</v>
      </c>
      <c r="C11" s="109"/>
    </row>
    <row r="12" spans="1:3" x14ac:dyDescent="0.2">
      <c r="A12" s="198">
        <v>4</v>
      </c>
      <c r="B12" s="325" t="s">
        <v>1264</v>
      </c>
      <c r="C12" s="109"/>
    </row>
    <row r="13" spans="1:3" x14ac:dyDescent="0.2">
      <c r="A13" s="198">
        <v>5</v>
      </c>
      <c r="B13" s="325" t="s">
        <v>1180</v>
      </c>
      <c r="C13" s="109"/>
    </row>
    <row r="14" spans="1:3" ht="171.75" customHeight="1" x14ac:dyDescent="0.2">
      <c r="A14" s="198">
        <v>6</v>
      </c>
      <c r="B14" s="417" t="s">
        <v>1181</v>
      </c>
      <c r="C14" s="609"/>
    </row>
    <row r="15" spans="1:3" ht="81" customHeight="1" x14ac:dyDescent="0.2">
      <c r="A15" s="198">
        <v>7</v>
      </c>
      <c r="B15" s="417" t="s">
        <v>1182</v>
      </c>
      <c r="C15" s="109"/>
    </row>
    <row r="16" spans="1:3" x14ac:dyDescent="0.2">
      <c r="A16" s="198">
        <v>8</v>
      </c>
      <c r="B16" s="325" t="s">
        <v>1183</v>
      </c>
      <c r="C16" s="109"/>
    </row>
    <row r="17" spans="1:3" x14ac:dyDescent="0.2">
      <c r="A17" s="3"/>
    </row>
    <row r="18" spans="1:3" x14ac:dyDescent="0.2">
      <c r="A18" s="3"/>
    </row>
    <row r="19" spans="1:3" x14ac:dyDescent="0.2">
      <c r="A19" s="666" t="s">
        <v>36</v>
      </c>
      <c r="B19" s="666"/>
      <c r="C19" s="464"/>
    </row>
    <row r="20" spans="1:3" x14ac:dyDescent="0.2">
      <c r="A20" s="15"/>
      <c r="B20" s="53"/>
      <c r="C20" s="464"/>
    </row>
    <row r="21" spans="1:3" x14ac:dyDescent="0.2">
      <c r="A21" s="17" t="s">
        <v>37</v>
      </c>
      <c r="B21" s="17"/>
      <c r="C21" s="18"/>
    </row>
    <row r="22" spans="1:3" x14ac:dyDescent="0.2">
      <c r="A22" s="50"/>
      <c r="B22" s="16"/>
      <c r="C22" s="464"/>
    </row>
    <row r="23" spans="1:3" x14ac:dyDescent="0.2">
      <c r="A23" s="50"/>
      <c r="B23" s="667" t="str">
        <f>+[1]Statistic!B60</f>
        <v>ГҮЙЦЭТГЭХ ЗАХИРАЛ.................................................................//</v>
      </c>
      <c r="C23" s="667"/>
    </row>
    <row r="24" spans="1:3" x14ac:dyDescent="0.2">
      <c r="A24" s="50"/>
      <c r="B24" s="466"/>
      <c r="C24" s="466"/>
    </row>
    <row r="25" spans="1:3" x14ac:dyDescent="0.2">
      <c r="A25" s="50"/>
      <c r="B25" s="667" t="str">
        <f>+[1]Statistic!B62</f>
        <v>ЕРӨНХИЙ НЯГТЛАН БОДОГЧ....................................................//</v>
      </c>
      <c r="C25" s="667"/>
    </row>
  </sheetData>
  <sheetProtection algorithmName="SHA-512" hashValue="mN7hsVUak1hlGDfhrfCxQ9mwGqmKW1NpLfqaYrK1DEHCN6EGVIPGx+wNdO6qgb4zXUu61M5+999GudhhvMPH2Q==" saltValue="jwG4Z5PftCvbt64tlfaFmw==" spinCount="100000" sheet="1" objects="1" scenarios="1"/>
  <mergeCells count="8">
    <mergeCell ref="B25:C25"/>
    <mergeCell ref="A7:B7"/>
    <mergeCell ref="B8:C8"/>
    <mergeCell ref="A3:C3"/>
    <mergeCell ref="A2:C2"/>
    <mergeCell ref="A4:C4"/>
    <mergeCell ref="A19:B19"/>
    <mergeCell ref="B23:C23"/>
  </mergeCells>
  <pageMargins left="0.7" right="0.7" top="0.75" bottom="0.75" header="0.3" footer="0.3"/>
  <pageSetup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5C363155-319F-4163-B05C-5D44522613FD}">
          <x14:formula1>
            <xm:f>Statistic!$H$11:$H$12</xm:f>
          </x14:formula1>
          <xm:sqref>C9 C11:C12 C15:C16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N28"/>
  <sheetViews>
    <sheetView workbookViewId="0"/>
  </sheetViews>
  <sheetFormatPr defaultRowHeight="15" x14ac:dyDescent="0.25"/>
  <cols>
    <col min="2" max="2" width="2.7109375" bestFit="1" customWidth="1"/>
    <col min="3" max="3" width="20.28515625" customWidth="1"/>
    <col min="4" max="4" width="13.28515625" customWidth="1"/>
    <col min="5" max="8" width="13" customWidth="1"/>
  </cols>
  <sheetData>
    <row r="1" spans="2:14" x14ac:dyDescent="0.25">
      <c r="D1" s="49"/>
      <c r="E1" s="3"/>
      <c r="F1" s="607"/>
    </row>
    <row r="2" spans="2:14" x14ac:dyDescent="0.25">
      <c r="B2" s="652" t="s">
        <v>1261</v>
      </c>
      <c r="C2" s="652"/>
      <c r="D2" s="652"/>
      <c r="E2" s="652"/>
      <c r="F2" s="652"/>
      <c r="G2" s="652"/>
      <c r="H2" s="652"/>
      <c r="I2" s="652"/>
      <c r="J2" s="652"/>
      <c r="K2" s="652"/>
      <c r="L2" s="652"/>
      <c r="M2" s="652"/>
      <c r="N2" s="652"/>
    </row>
    <row r="3" spans="2:14" x14ac:dyDescent="0.25">
      <c r="B3" s="670" t="str">
        <f>+Statistic!A3</f>
        <v>БАНК БУС САНХҮҮГИЙН БАЙГУУЛЛАГЫН НЭР</v>
      </c>
      <c r="C3" s="670"/>
      <c r="D3" s="670"/>
      <c r="E3" s="670"/>
      <c r="F3" s="670"/>
      <c r="G3" s="670"/>
      <c r="H3" s="670"/>
      <c r="I3" s="670"/>
      <c r="J3" s="670"/>
      <c r="K3" s="670"/>
      <c r="L3" s="670"/>
      <c r="M3" s="670"/>
      <c r="N3" s="670"/>
    </row>
    <row r="4" spans="2:14" x14ac:dyDescent="0.25">
      <c r="B4" s="654" t="str">
        <f>+Statistic!A4</f>
        <v>БАНК БУС САНХҮҮГИЙН БАЙГУУЛЛАГА</v>
      </c>
      <c r="C4" s="654"/>
      <c r="D4" s="654"/>
      <c r="E4" s="654"/>
      <c r="F4" s="654"/>
      <c r="G4" s="654"/>
      <c r="H4" s="654"/>
      <c r="I4" s="654"/>
      <c r="J4" s="654"/>
      <c r="K4" s="654"/>
      <c r="L4" s="654"/>
      <c r="M4" s="654"/>
      <c r="N4" s="654"/>
    </row>
    <row r="5" spans="2:14" x14ac:dyDescent="0.25">
      <c r="D5" s="5"/>
      <c r="E5" s="5"/>
      <c r="F5" s="5"/>
    </row>
    <row r="6" spans="2:14" x14ac:dyDescent="0.25">
      <c r="D6" s="5"/>
      <c r="E6" s="5"/>
      <c r="F6" s="5"/>
    </row>
    <row r="7" spans="2:14" x14ac:dyDescent="0.25">
      <c r="B7" s="675">
        <f>+Statistic!A7</f>
        <v>44834</v>
      </c>
      <c r="C7" s="675"/>
      <c r="D7" s="675"/>
      <c r="E7" s="610"/>
      <c r="F7" s="608"/>
    </row>
    <row r="8" spans="2:14" x14ac:dyDescent="0.25">
      <c r="B8" s="672" t="s">
        <v>1277</v>
      </c>
      <c r="C8" s="672"/>
      <c r="D8" s="672"/>
      <c r="E8" s="671" t="s">
        <v>31</v>
      </c>
      <c r="F8" s="671"/>
      <c r="G8" s="671"/>
      <c r="H8" s="671"/>
      <c r="I8" s="672" t="s">
        <v>1245</v>
      </c>
      <c r="J8" s="672"/>
      <c r="K8" s="671" t="s">
        <v>1246</v>
      </c>
      <c r="L8" s="671"/>
      <c r="M8" s="671"/>
      <c r="N8" s="671"/>
    </row>
    <row r="9" spans="2:14" x14ac:dyDescent="0.25">
      <c r="B9" s="672"/>
      <c r="C9" s="672"/>
      <c r="D9" s="672"/>
      <c r="E9" s="671" t="s">
        <v>1244</v>
      </c>
      <c r="F9" s="671"/>
      <c r="G9" s="671" t="s">
        <v>1243</v>
      </c>
      <c r="H9" s="671"/>
      <c r="I9" s="671" t="s">
        <v>1249</v>
      </c>
      <c r="J9" s="671" t="s">
        <v>1250</v>
      </c>
      <c r="K9" s="671" t="s">
        <v>1247</v>
      </c>
      <c r="L9" s="671"/>
      <c r="M9" s="671" t="s">
        <v>1248</v>
      </c>
      <c r="N9" s="671"/>
    </row>
    <row r="10" spans="2:14" x14ac:dyDescent="0.25">
      <c r="B10" s="672"/>
      <c r="C10" s="672"/>
      <c r="D10" s="672"/>
      <c r="E10" s="611" t="s">
        <v>1249</v>
      </c>
      <c r="F10" s="611" t="s">
        <v>1250</v>
      </c>
      <c r="G10" s="611" t="s">
        <v>1249</v>
      </c>
      <c r="H10" s="611" t="s">
        <v>1250</v>
      </c>
      <c r="I10" s="671"/>
      <c r="J10" s="671"/>
      <c r="K10" s="611" t="s">
        <v>1249</v>
      </c>
      <c r="L10" s="611" t="s">
        <v>1250</v>
      </c>
      <c r="M10" s="611" t="s">
        <v>1249</v>
      </c>
      <c r="N10" s="611" t="s">
        <v>1250</v>
      </c>
    </row>
    <row r="11" spans="2:14" x14ac:dyDescent="0.25">
      <c r="B11" s="198">
        <v>1</v>
      </c>
      <c r="C11" s="673" t="s">
        <v>1273</v>
      </c>
      <c r="D11" s="39" t="s">
        <v>1270</v>
      </c>
      <c r="E11" s="351"/>
      <c r="F11" s="351"/>
      <c r="G11" s="351"/>
      <c r="H11" s="349"/>
      <c r="I11" s="638"/>
      <c r="J11" s="638"/>
      <c r="K11" s="638"/>
      <c r="L11" s="638"/>
      <c r="M11" s="638"/>
      <c r="N11" s="638"/>
    </row>
    <row r="12" spans="2:14" x14ac:dyDescent="0.25">
      <c r="B12" s="198">
        <v>2</v>
      </c>
      <c r="C12" s="674"/>
      <c r="D12" s="612" t="s">
        <v>1271</v>
      </c>
      <c r="E12" s="351"/>
      <c r="F12" s="351"/>
      <c r="G12" s="351"/>
      <c r="H12" s="349"/>
      <c r="I12" s="638"/>
      <c r="J12" s="638"/>
      <c r="K12" s="638"/>
      <c r="L12" s="638"/>
      <c r="M12" s="638"/>
      <c r="N12" s="638"/>
    </row>
    <row r="13" spans="2:14" x14ac:dyDescent="0.25">
      <c r="B13" s="198">
        <v>3</v>
      </c>
      <c r="C13" s="673" t="s">
        <v>1274</v>
      </c>
      <c r="D13" s="39" t="s">
        <v>1269</v>
      </c>
      <c r="E13" s="568"/>
      <c r="F13" s="568"/>
      <c r="G13" s="568"/>
      <c r="H13" s="636"/>
      <c r="I13" s="637"/>
      <c r="J13" s="637"/>
      <c r="K13" s="637"/>
      <c r="L13" s="637"/>
      <c r="M13" s="637"/>
      <c r="N13" s="637"/>
    </row>
    <row r="14" spans="2:14" x14ac:dyDescent="0.25">
      <c r="B14" s="198">
        <v>4</v>
      </c>
      <c r="C14" s="674"/>
      <c r="D14" s="612" t="s">
        <v>1272</v>
      </c>
      <c r="E14" s="568"/>
      <c r="F14" s="568"/>
      <c r="G14" s="568"/>
      <c r="H14" s="636"/>
      <c r="I14" s="637"/>
      <c r="J14" s="637"/>
      <c r="K14" s="637"/>
      <c r="L14" s="637"/>
      <c r="M14" s="637"/>
      <c r="N14" s="637"/>
    </row>
    <row r="15" spans="2:14" x14ac:dyDescent="0.25">
      <c r="B15" s="198">
        <v>5</v>
      </c>
      <c r="C15" s="673" t="s">
        <v>1275</v>
      </c>
      <c r="D15" s="39" t="s">
        <v>1270</v>
      </c>
      <c r="E15" s="351"/>
      <c r="F15" s="351"/>
      <c r="G15" s="351"/>
      <c r="H15" s="349"/>
      <c r="I15" s="638"/>
      <c r="J15" s="638"/>
      <c r="K15" s="638"/>
      <c r="L15" s="638"/>
      <c r="M15" s="638"/>
      <c r="N15" s="638"/>
    </row>
    <row r="16" spans="2:14" x14ac:dyDescent="0.25">
      <c r="B16" s="198">
        <v>6</v>
      </c>
      <c r="C16" s="674"/>
      <c r="D16" s="612" t="s">
        <v>1271</v>
      </c>
      <c r="E16" s="351"/>
      <c r="F16" s="351"/>
      <c r="G16" s="351"/>
      <c r="H16" s="349"/>
      <c r="I16" s="638"/>
      <c r="J16" s="638"/>
      <c r="K16" s="638"/>
      <c r="L16" s="638"/>
      <c r="M16" s="638"/>
      <c r="N16" s="638"/>
    </row>
    <row r="17" spans="2:14" x14ac:dyDescent="0.25">
      <c r="B17" s="198">
        <v>7</v>
      </c>
      <c r="C17" s="673" t="s">
        <v>1276</v>
      </c>
      <c r="D17" s="39" t="s">
        <v>1270</v>
      </c>
      <c r="E17" s="351"/>
      <c r="F17" s="351"/>
      <c r="G17" s="351"/>
      <c r="H17" s="349"/>
      <c r="I17" s="638"/>
      <c r="J17" s="638"/>
      <c r="K17" s="638"/>
      <c r="L17" s="638"/>
      <c r="M17" s="638"/>
      <c r="N17" s="638"/>
    </row>
    <row r="18" spans="2:14" x14ac:dyDescent="0.25">
      <c r="B18" s="198">
        <v>8</v>
      </c>
      <c r="C18" s="674"/>
      <c r="D18" s="612" t="s">
        <v>1271</v>
      </c>
      <c r="E18" s="351"/>
      <c r="F18" s="351"/>
      <c r="G18" s="351"/>
      <c r="H18" s="349"/>
      <c r="I18" s="638"/>
      <c r="J18" s="638"/>
      <c r="K18" s="638"/>
      <c r="L18" s="638"/>
      <c r="M18" s="638"/>
      <c r="N18" s="638"/>
    </row>
    <row r="22" spans="2:14" x14ac:dyDescent="0.25">
      <c r="D22" s="666" t="s">
        <v>36</v>
      </c>
      <c r="E22" s="666"/>
      <c r="F22" s="464"/>
    </row>
    <row r="23" spans="2:14" x14ac:dyDescent="0.25">
      <c r="D23" s="15"/>
      <c r="E23" s="53"/>
      <c r="F23" s="464"/>
    </row>
    <row r="24" spans="2:14" x14ac:dyDescent="0.25">
      <c r="D24" s="17" t="s">
        <v>37</v>
      </c>
      <c r="E24" s="17"/>
      <c r="F24" s="18"/>
    </row>
    <row r="25" spans="2:14" x14ac:dyDescent="0.25">
      <c r="D25" s="50"/>
      <c r="E25" s="16"/>
      <c r="F25" s="464"/>
    </row>
    <row r="26" spans="2:14" x14ac:dyDescent="0.25">
      <c r="D26" s="50"/>
      <c r="E26" s="464" t="str">
        <f>+Statistic!B60</f>
        <v>ГҮЙЦЭТГЭХ ЗАХИРАЛ.................................................................//</v>
      </c>
      <c r="F26" s="464"/>
    </row>
    <row r="27" spans="2:14" x14ac:dyDescent="0.25">
      <c r="D27" s="50"/>
      <c r="E27" s="613"/>
      <c r="F27" s="613"/>
    </row>
    <row r="28" spans="2:14" x14ac:dyDescent="0.25">
      <c r="D28" s="50"/>
      <c r="E28" s="464" t="str">
        <f>+Statistic!B62</f>
        <v>ЕРӨНХИЙ НЯГТЛАН БОДОГЧ....................................................//</v>
      </c>
      <c r="F28" s="464"/>
    </row>
  </sheetData>
  <sheetProtection algorithmName="SHA-512" hashValue="WPAPROAlvuVnAIyKEAbmNGILkfwroiM/eO1giaw5veh1QNfOzBDsXZksOX2T6XTiiotbbPbqjzZokRL32FkM7g==" saltValue="nZtCg5kgCszfq83PZY5+zQ==" spinCount="100000" sheet="1" objects="1" scenarios="1"/>
  <mergeCells count="19">
    <mergeCell ref="B2:N2"/>
    <mergeCell ref="B3:N3"/>
    <mergeCell ref="B4:N4"/>
    <mergeCell ref="M9:N9"/>
    <mergeCell ref="I9:I10"/>
    <mergeCell ref="J9:J10"/>
    <mergeCell ref="K8:N8"/>
    <mergeCell ref="K9:L9"/>
    <mergeCell ref="B7:D7"/>
    <mergeCell ref="D22:E22"/>
    <mergeCell ref="E8:H8"/>
    <mergeCell ref="I8:J8"/>
    <mergeCell ref="E9:F9"/>
    <mergeCell ref="G9:H9"/>
    <mergeCell ref="B8:D10"/>
    <mergeCell ref="C11:C12"/>
    <mergeCell ref="C13:C14"/>
    <mergeCell ref="C15:C16"/>
    <mergeCell ref="C17:C18"/>
  </mergeCells>
  <pageMargins left="0.7" right="0.7" top="0.75" bottom="0.75" header="0.3" footer="0.3"/>
  <pageSetup scale="82" orientation="landscape"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44"/>
  <sheetViews>
    <sheetView workbookViewId="0"/>
  </sheetViews>
  <sheetFormatPr defaultRowHeight="12.75" x14ac:dyDescent="0.2"/>
  <cols>
    <col min="1" max="1" width="55" style="3" customWidth="1"/>
    <col min="2" max="3" width="21.28515625" style="3" customWidth="1"/>
    <col min="4" max="4" width="27.85546875" style="3" bestFit="1" customWidth="1"/>
    <col min="5" max="5" width="15.85546875" style="3" customWidth="1"/>
    <col min="6" max="7" width="9.140625" style="3"/>
    <col min="8" max="8" width="15" style="3" bestFit="1" customWidth="1"/>
    <col min="9" max="16384" width="9.140625" style="3"/>
  </cols>
  <sheetData>
    <row r="1" spans="1:3" x14ac:dyDescent="0.2">
      <c r="A1" s="49"/>
      <c r="C1" s="607"/>
    </row>
    <row r="2" spans="1:3" x14ac:dyDescent="0.2">
      <c r="A2" s="652" t="s">
        <v>1239</v>
      </c>
      <c r="B2" s="652"/>
      <c r="C2" s="652"/>
    </row>
    <row r="3" spans="1:3" x14ac:dyDescent="0.2">
      <c r="A3" s="670" t="str">
        <f>+Statistic!A3</f>
        <v>БАНК БУС САНХҮҮГИЙН БАЙГУУЛЛАГЫН НЭР</v>
      </c>
      <c r="B3" s="670"/>
      <c r="C3" s="670"/>
    </row>
    <row r="4" spans="1:3" x14ac:dyDescent="0.2">
      <c r="A4" s="654" t="str">
        <f>+BALANCE!A4</f>
        <v>БАНК БУС САНХҮҮГИЙН БАЙГУУЛЛАГА</v>
      </c>
      <c r="B4" s="654"/>
      <c r="C4" s="654"/>
    </row>
    <row r="5" spans="1:3" x14ac:dyDescent="0.2">
      <c r="A5" s="5"/>
      <c r="B5" s="5"/>
      <c r="C5" s="5"/>
    </row>
    <row r="6" spans="1:3" x14ac:dyDescent="0.2">
      <c r="A6" s="5"/>
      <c r="B6" s="5"/>
      <c r="C6" s="5"/>
    </row>
    <row r="7" spans="1:3" x14ac:dyDescent="0.2">
      <c r="A7" s="668">
        <f>+Statistic!A7</f>
        <v>44834</v>
      </c>
      <c r="B7" s="668"/>
      <c r="C7" s="639" t="s">
        <v>1279</v>
      </c>
    </row>
    <row r="8" spans="1:3" x14ac:dyDescent="0.2">
      <c r="A8" s="406" t="s">
        <v>1185</v>
      </c>
      <c r="B8" s="406" t="s">
        <v>1011</v>
      </c>
      <c r="C8" s="406" t="s">
        <v>1194</v>
      </c>
    </row>
    <row r="9" spans="1:3" x14ac:dyDescent="0.2">
      <c r="A9" s="677" t="s">
        <v>1195</v>
      </c>
      <c r="B9" s="678"/>
      <c r="C9" s="679"/>
    </row>
    <row r="10" spans="1:3" x14ac:dyDescent="0.2">
      <c r="A10" s="407" t="s">
        <v>1196</v>
      </c>
      <c r="B10" s="619"/>
      <c r="C10" s="619"/>
    </row>
    <row r="11" spans="1:3" x14ac:dyDescent="0.2">
      <c r="A11" s="677" t="s">
        <v>1192</v>
      </c>
      <c r="B11" s="678"/>
      <c r="C11" s="679"/>
    </row>
    <row r="12" spans="1:3" x14ac:dyDescent="0.2">
      <c r="A12" s="407" t="s">
        <v>1197</v>
      </c>
      <c r="B12" s="619"/>
      <c r="C12" s="619"/>
    </row>
    <row r="13" spans="1:3" x14ac:dyDescent="0.2">
      <c r="A13" s="407" t="s">
        <v>1198</v>
      </c>
      <c r="B13" s="619"/>
      <c r="C13" s="619"/>
    </row>
    <row r="14" spans="1:3" x14ac:dyDescent="0.2">
      <c r="A14" s="407" t="s">
        <v>1199</v>
      </c>
      <c r="B14" s="619"/>
      <c r="C14" s="619"/>
    </row>
    <row r="15" spans="1:3" x14ac:dyDescent="0.2">
      <c r="A15" s="677" t="s">
        <v>1200</v>
      </c>
      <c r="B15" s="678"/>
      <c r="C15" s="679"/>
    </row>
    <row r="16" spans="1:3" x14ac:dyDescent="0.2">
      <c r="A16" s="407" t="s">
        <v>1197</v>
      </c>
      <c r="B16" s="619"/>
      <c r="C16" s="619"/>
    </row>
    <row r="17" spans="1:3" x14ac:dyDescent="0.2">
      <c r="A17" s="407" t="s">
        <v>1201</v>
      </c>
      <c r="B17" s="619"/>
      <c r="C17" s="619"/>
    </row>
    <row r="18" spans="1:3" x14ac:dyDescent="0.2">
      <c r="A18" s="407" t="s">
        <v>1202</v>
      </c>
      <c r="B18" s="619"/>
      <c r="C18" s="619"/>
    </row>
    <row r="19" spans="1:3" x14ac:dyDescent="0.2">
      <c r="A19" s="407" t="s">
        <v>1203</v>
      </c>
      <c r="B19" s="619"/>
      <c r="C19" s="619"/>
    </row>
    <row r="20" spans="1:3" x14ac:dyDescent="0.2">
      <c r="A20" s="407" t="s">
        <v>1204</v>
      </c>
      <c r="B20" s="619"/>
      <c r="C20" s="619"/>
    </row>
    <row r="22" spans="1:3" ht="25.5" x14ac:dyDescent="0.2">
      <c r="A22" s="42"/>
      <c r="B22" s="614" t="s">
        <v>1205</v>
      </c>
      <c r="C22" s="614" t="s">
        <v>1206</v>
      </c>
    </row>
    <row r="23" spans="1:3" x14ac:dyDescent="0.2">
      <c r="A23" s="615" t="s">
        <v>1262</v>
      </c>
      <c r="B23" s="616">
        <f>SUM(B24:B26)</f>
        <v>0</v>
      </c>
      <c r="C23" s="616">
        <f>SUM(C24:C26)</f>
        <v>0</v>
      </c>
    </row>
    <row r="24" spans="1:3" x14ac:dyDescent="0.2">
      <c r="A24" s="617" t="s">
        <v>1207</v>
      </c>
      <c r="B24" s="348"/>
      <c r="C24" s="348"/>
    </row>
    <row r="25" spans="1:3" x14ac:dyDescent="0.2">
      <c r="A25" s="617" t="s">
        <v>1207</v>
      </c>
      <c r="B25" s="348"/>
      <c r="C25" s="348"/>
    </row>
    <row r="26" spans="1:3" x14ac:dyDescent="0.2">
      <c r="A26" s="617" t="s">
        <v>1207</v>
      </c>
      <c r="B26" s="348"/>
      <c r="C26" s="348"/>
    </row>
    <row r="28" spans="1:3" x14ac:dyDescent="0.2">
      <c r="A28" s="611" t="s">
        <v>1185</v>
      </c>
      <c r="B28" s="611" t="s">
        <v>1186</v>
      </c>
    </row>
    <row r="29" spans="1:3" x14ac:dyDescent="0.2">
      <c r="A29" s="617" t="s">
        <v>1187</v>
      </c>
      <c r="B29" s="620"/>
    </row>
    <row r="30" spans="1:3" x14ac:dyDescent="0.2">
      <c r="A30" s="617" t="s">
        <v>1188</v>
      </c>
      <c r="B30" s="620"/>
    </row>
    <row r="31" spans="1:3" x14ac:dyDescent="0.2">
      <c r="A31" s="617" t="s">
        <v>1189</v>
      </c>
      <c r="B31" s="620"/>
    </row>
    <row r="32" spans="1:3" x14ac:dyDescent="0.2">
      <c r="A32" s="617" t="s">
        <v>1190</v>
      </c>
      <c r="B32" s="620"/>
    </row>
    <row r="33" spans="1:3" x14ac:dyDescent="0.2">
      <c r="A33" s="618" t="s">
        <v>1191</v>
      </c>
      <c r="B33" s="620"/>
    </row>
    <row r="34" spans="1:3" x14ac:dyDescent="0.2">
      <c r="A34" s="617" t="s">
        <v>1192</v>
      </c>
      <c r="B34" s="620"/>
    </row>
    <row r="35" spans="1:3" x14ac:dyDescent="0.2">
      <c r="A35" s="617" t="s">
        <v>1193</v>
      </c>
      <c r="B35" s="620"/>
    </row>
    <row r="38" spans="1:3" x14ac:dyDescent="0.2">
      <c r="A38" s="666" t="s">
        <v>36</v>
      </c>
      <c r="B38" s="666"/>
      <c r="C38" s="464"/>
    </row>
    <row r="39" spans="1:3" x14ac:dyDescent="0.2">
      <c r="A39" s="15"/>
      <c r="B39" s="53"/>
      <c r="C39" s="464"/>
    </row>
    <row r="40" spans="1:3" x14ac:dyDescent="0.2">
      <c r="A40" s="17" t="s">
        <v>37</v>
      </c>
      <c r="B40" s="17"/>
      <c r="C40" s="18"/>
    </row>
    <row r="41" spans="1:3" x14ac:dyDescent="0.2">
      <c r="A41" s="50"/>
      <c r="B41" s="16"/>
      <c r="C41" s="464"/>
    </row>
    <row r="42" spans="1:3" x14ac:dyDescent="0.2">
      <c r="A42" s="50"/>
      <c r="B42" s="676" t="str">
        <f>+Statistic!B60</f>
        <v>ГҮЙЦЭТГЭХ ЗАХИРАЛ.................................................................//</v>
      </c>
      <c r="C42" s="676"/>
    </row>
    <row r="43" spans="1:3" x14ac:dyDescent="0.2">
      <c r="A43" s="50"/>
      <c r="B43" s="613"/>
      <c r="C43" s="613"/>
    </row>
    <row r="44" spans="1:3" x14ac:dyDescent="0.2">
      <c r="A44" s="50"/>
      <c r="B44" s="676" t="str">
        <f>+Statistic!B62</f>
        <v>ЕРӨНХИЙ НЯГТЛАН БОДОГЧ....................................................//</v>
      </c>
      <c r="C44" s="676"/>
    </row>
  </sheetData>
  <sheetProtection algorithmName="SHA-512" hashValue="4TS/JxIGiNvxK+9PP4bbILuyTZcP1KK5nboUnm3ymrqARRQKSp/s45YuXUyjHqvd9AU1yNwFsm4EVRNZ7UuTXQ==" saltValue="J5nRT0c5bFQX6oPjFk4AfQ==" spinCount="100000" sheet="1" objects="1" scenarios="1"/>
  <mergeCells count="10">
    <mergeCell ref="B44:C44"/>
    <mergeCell ref="A2:C2"/>
    <mergeCell ref="A3:C3"/>
    <mergeCell ref="A4:C4"/>
    <mergeCell ref="A7:B7"/>
    <mergeCell ref="A9:C9"/>
    <mergeCell ref="A11:C11"/>
    <mergeCell ref="A15:C15"/>
    <mergeCell ref="A38:B38"/>
    <mergeCell ref="B42:C42"/>
  </mergeCells>
  <pageMargins left="0.25" right="0.25"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L46"/>
  <sheetViews>
    <sheetView workbookViewId="0">
      <selection activeCell="H15" sqref="H15:K25"/>
    </sheetView>
  </sheetViews>
  <sheetFormatPr defaultRowHeight="12.75" x14ac:dyDescent="0.2"/>
  <cols>
    <col min="1" max="1" width="41.85546875" style="3" bestFit="1" customWidth="1"/>
    <col min="2" max="7" width="19.5703125" style="3" customWidth="1"/>
    <col min="8" max="11" width="19.42578125" style="3" customWidth="1"/>
    <col min="12" max="16384" width="9.140625" style="3"/>
  </cols>
  <sheetData>
    <row r="1" spans="1:12" x14ac:dyDescent="0.2">
      <c r="A1" s="49"/>
      <c r="C1" s="607"/>
    </row>
    <row r="2" spans="1:12" x14ac:dyDescent="0.2">
      <c r="A2" s="652" t="s">
        <v>1236</v>
      </c>
      <c r="B2" s="652"/>
      <c r="C2" s="652"/>
      <c r="D2" s="652"/>
      <c r="E2" s="652"/>
      <c r="F2" s="652"/>
      <c r="G2" s="652"/>
      <c r="H2" s="652"/>
      <c r="I2" s="652"/>
      <c r="J2" s="652"/>
    </row>
    <row r="3" spans="1:12" x14ac:dyDescent="0.2">
      <c r="A3" s="670" t="str">
        <f>+Statistic!A3</f>
        <v>БАНК БУС САНХҮҮГИЙН БАЙГУУЛЛАГЫН НЭР</v>
      </c>
      <c r="B3" s="670"/>
      <c r="C3" s="670"/>
      <c r="D3" s="670"/>
      <c r="E3" s="670"/>
      <c r="F3" s="670"/>
      <c r="G3" s="670"/>
      <c r="H3" s="670"/>
      <c r="I3" s="670"/>
      <c r="J3" s="670"/>
    </row>
    <row r="4" spans="1:12" x14ac:dyDescent="0.2">
      <c r="A4" s="654" t="str">
        <f>+Statistic!A4</f>
        <v>БАНК БУС САНХҮҮГИЙН БАЙГУУЛЛАГА</v>
      </c>
      <c r="B4" s="654"/>
      <c r="C4" s="654"/>
      <c r="D4" s="654"/>
      <c r="E4" s="654"/>
      <c r="F4" s="654"/>
      <c r="G4" s="654"/>
      <c r="H4" s="654"/>
      <c r="I4" s="654"/>
      <c r="J4" s="654"/>
    </row>
    <row r="5" spans="1:12" x14ac:dyDescent="0.2">
      <c r="A5" s="5"/>
      <c r="B5" s="5"/>
      <c r="C5" s="5"/>
    </row>
    <row r="6" spans="1:12" x14ac:dyDescent="0.2">
      <c r="A6" s="5"/>
      <c r="B6" s="5"/>
      <c r="C6" s="5"/>
    </row>
    <row r="7" spans="1:12" x14ac:dyDescent="0.2">
      <c r="A7" s="621">
        <f>+Statistic!A7</f>
        <v>44834</v>
      </c>
      <c r="B7" s="610"/>
      <c r="C7" s="608"/>
      <c r="K7" s="635" t="s">
        <v>1279</v>
      </c>
    </row>
    <row r="8" spans="1:12" x14ac:dyDescent="0.2">
      <c r="A8" s="700" t="s">
        <v>1208</v>
      </c>
      <c r="B8" s="694" t="s">
        <v>1209</v>
      </c>
      <c r="C8" s="695"/>
      <c r="D8" s="694" t="s">
        <v>1210</v>
      </c>
      <c r="E8" s="695"/>
      <c r="F8" s="694" t="s">
        <v>1211</v>
      </c>
      <c r="G8" s="695"/>
      <c r="H8" s="672" t="s">
        <v>1094</v>
      </c>
      <c r="I8" s="672"/>
      <c r="J8" s="672"/>
      <c r="K8" s="672"/>
    </row>
    <row r="9" spans="1:12" ht="29.25" customHeight="1" x14ac:dyDescent="0.2">
      <c r="A9" s="701"/>
      <c r="B9" s="672" t="s">
        <v>1001</v>
      </c>
      <c r="C9" s="672" t="s">
        <v>1186</v>
      </c>
      <c r="D9" s="672" t="s">
        <v>1001</v>
      </c>
      <c r="E9" s="672" t="s">
        <v>1186</v>
      </c>
      <c r="F9" s="672" t="s">
        <v>1001</v>
      </c>
      <c r="G9" s="672" t="s">
        <v>1186</v>
      </c>
      <c r="H9" s="672" t="s">
        <v>1001</v>
      </c>
      <c r="I9" s="672" t="s">
        <v>1186</v>
      </c>
      <c r="J9" s="696" t="s">
        <v>1241</v>
      </c>
      <c r="K9" s="697"/>
    </row>
    <row r="10" spans="1:12" x14ac:dyDescent="0.2">
      <c r="A10" s="702"/>
      <c r="B10" s="672"/>
      <c r="C10" s="672"/>
      <c r="D10" s="672"/>
      <c r="E10" s="672"/>
      <c r="F10" s="672"/>
      <c r="G10" s="672"/>
      <c r="H10" s="672"/>
      <c r="I10" s="672"/>
      <c r="J10" s="406" t="s">
        <v>1001</v>
      </c>
      <c r="K10" s="406" t="s">
        <v>1186</v>
      </c>
    </row>
    <row r="11" spans="1:12" s="2" customFormat="1" x14ac:dyDescent="0.2">
      <c r="A11" s="631" t="s">
        <v>1212</v>
      </c>
      <c r="B11" s="632">
        <f>+BALANCESHEET!C32*1000</f>
        <v>0</v>
      </c>
      <c r="C11" s="633">
        <f>+Statistic!C16</f>
        <v>0</v>
      </c>
      <c r="D11" s="632">
        <f>SUM(D12:D14)</f>
        <v>0</v>
      </c>
      <c r="E11" s="632">
        <f t="shared" ref="E11:K11" si="0">SUM(E12:E14)</f>
        <v>0</v>
      </c>
      <c r="F11" s="632">
        <f t="shared" si="0"/>
        <v>0</v>
      </c>
      <c r="G11" s="632">
        <f t="shared" si="0"/>
        <v>0</v>
      </c>
      <c r="H11" s="632">
        <f t="shared" si="0"/>
        <v>0</v>
      </c>
      <c r="I11" s="632">
        <f t="shared" si="0"/>
        <v>0</v>
      </c>
      <c r="J11" s="632">
        <f t="shared" si="0"/>
        <v>0</v>
      </c>
      <c r="K11" s="632">
        <f t="shared" si="0"/>
        <v>0</v>
      </c>
      <c r="L11" s="2" t="str">
        <f>IF(C11=E11+G11+I11,"","Ангилсан дүн Нийт дүнгээс зөрүүтэй")</f>
        <v/>
      </c>
    </row>
    <row r="12" spans="1:12" x14ac:dyDescent="0.2">
      <c r="A12" s="622" t="s">
        <v>12</v>
      </c>
      <c r="B12" s="616">
        <f>(BALANCESHEET!C34+BALANCESHEET!C41)*1000</f>
        <v>0</v>
      </c>
      <c r="C12" s="623">
        <f>+Statistic!C17</f>
        <v>0</v>
      </c>
      <c r="D12" s="348"/>
      <c r="E12" s="109"/>
      <c r="F12" s="348"/>
      <c r="G12" s="109"/>
      <c r="H12" s="348"/>
      <c r="I12" s="109"/>
      <c r="J12" s="348"/>
      <c r="K12" s="109"/>
      <c r="L12" s="3" t="str">
        <f>IF(C12=E12+G12+I12,"","Ангилсан дүн Нийт дүнгээс зөрүүтэй")</f>
        <v/>
      </c>
    </row>
    <row r="13" spans="1:12" x14ac:dyDescent="0.2">
      <c r="A13" s="622" t="s">
        <v>1164</v>
      </c>
      <c r="B13" s="616">
        <f>(BALANCESHEET!C35+BALANCESHEET!C42)*1000</f>
        <v>0</v>
      </c>
      <c r="C13" s="623">
        <f>+Statistic!C18</f>
        <v>0</v>
      </c>
      <c r="D13" s="348"/>
      <c r="E13" s="109"/>
      <c r="F13" s="348"/>
      <c r="G13" s="109"/>
      <c r="H13" s="348"/>
      <c r="I13" s="109"/>
      <c r="J13" s="348"/>
      <c r="K13" s="109"/>
      <c r="L13" s="3" t="str">
        <f>IF(C13=E13+G13+I13,"","Ангилсан дүн Нийт дүнгээс зөрүүтэй")</f>
        <v/>
      </c>
    </row>
    <row r="14" spans="1:12" x14ac:dyDescent="0.2">
      <c r="A14" s="622" t="s">
        <v>1066</v>
      </c>
      <c r="B14" s="616">
        <f>(BALANCESHEET!C36+BALANCESHEET!C43)*1000</f>
        <v>0</v>
      </c>
      <c r="C14" s="623">
        <f>+Statistic!C19</f>
        <v>0</v>
      </c>
      <c r="D14" s="348"/>
      <c r="E14" s="109"/>
      <c r="F14" s="348"/>
      <c r="G14" s="109"/>
      <c r="H14" s="348"/>
      <c r="I14" s="109"/>
      <c r="J14" s="348"/>
      <c r="K14" s="109"/>
      <c r="L14" s="3" t="str">
        <f>IF(C14=E14+G14+I14,"","Ангилсан дүн Нийт дүнгээс зөрүүтэй")</f>
        <v/>
      </c>
    </row>
    <row r="15" spans="1:12" s="2" customFormat="1" x14ac:dyDescent="0.2">
      <c r="A15" s="631" t="s">
        <v>1259</v>
      </c>
      <c r="B15" s="632">
        <f>SUM(B16:B19)</f>
        <v>0</v>
      </c>
      <c r="C15" s="633">
        <f>+Statistic!C23</f>
        <v>0</v>
      </c>
      <c r="D15" s="632">
        <f>SUM(D16:D19)</f>
        <v>0</v>
      </c>
      <c r="E15" s="632">
        <f>SUM(E16:E19)</f>
        <v>0</v>
      </c>
      <c r="F15" s="632">
        <f>SUM(F16:F19)</f>
        <v>0</v>
      </c>
      <c r="G15" s="632">
        <f>SUM(G16:G19)</f>
        <v>0</v>
      </c>
      <c r="H15" s="680" t="s">
        <v>1289</v>
      </c>
      <c r="I15" s="681"/>
      <c r="J15" s="681"/>
      <c r="K15" s="682"/>
      <c r="L15" s="2" t="str">
        <f>IF(C15=E15+G15,"","Ангилалын дүн нийт дүнгээс зөрүүтэй")</f>
        <v/>
      </c>
    </row>
    <row r="16" spans="1:12" x14ac:dyDescent="0.2">
      <c r="A16" s="622" t="s">
        <v>1213</v>
      </c>
      <c r="B16" s="616">
        <f>SUM(D16+F16)</f>
        <v>0</v>
      </c>
      <c r="C16" s="623">
        <f>+Statistic!C24</f>
        <v>0</v>
      </c>
      <c r="D16" s="348"/>
      <c r="E16" s="109"/>
      <c r="F16" s="348"/>
      <c r="G16" s="109"/>
      <c r="H16" s="683"/>
      <c r="I16" s="684"/>
      <c r="J16" s="684"/>
      <c r="K16" s="685"/>
      <c r="L16" s="3" t="str">
        <f t="shared" ref="L16:L25" si="1">IF(C16=E16+G16,"","Ангилалын дүн нийт дүнгээс зөрүүтэй")</f>
        <v/>
      </c>
    </row>
    <row r="17" spans="1:12" x14ac:dyDescent="0.2">
      <c r="A17" s="622" t="s">
        <v>1214</v>
      </c>
      <c r="B17" s="616">
        <f>SUM(D17+F17)</f>
        <v>0</v>
      </c>
      <c r="C17" s="623">
        <f>+Statistic!C25</f>
        <v>0</v>
      </c>
      <c r="D17" s="348"/>
      <c r="E17" s="109"/>
      <c r="F17" s="348"/>
      <c r="G17" s="109"/>
      <c r="H17" s="683"/>
      <c r="I17" s="684"/>
      <c r="J17" s="684"/>
      <c r="K17" s="685"/>
      <c r="L17" s="3" t="str">
        <f t="shared" si="1"/>
        <v/>
      </c>
    </row>
    <row r="18" spans="1:12" x14ac:dyDescent="0.2">
      <c r="A18" s="622" t="s">
        <v>1215</v>
      </c>
      <c r="B18" s="616">
        <f>SUM(D18+F18)</f>
        <v>0</v>
      </c>
      <c r="C18" s="623">
        <f>+Statistic!C26</f>
        <v>0</v>
      </c>
      <c r="D18" s="348"/>
      <c r="E18" s="109"/>
      <c r="F18" s="348"/>
      <c r="G18" s="109"/>
      <c r="H18" s="683"/>
      <c r="I18" s="684"/>
      <c r="J18" s="684"/>
      <c r="K18" s="685"/>
      <c r="L18" s="3" t="str">
        <f t="shared" si="1"/>
        <v/>
      </c>
    </row>
    <row r="19" spans="1:12" x14ac:dyDescent="0.2">
      <c r="A19" s="622" t="s">
        <v>1216</v>
      </c>
      <c r="B19" s="616">
        <f>SUM(D19+F19)</f>
        <v>0</v>
      </c>
      <c r="C19" s="623">
        <f>+Statistic!C27</f>
        <v>0</v>
      </c>
      <c r="D19" s="348"/>
      <c r="E19" s="109"/>
      <c r="F19" s="348"/>
      <c r="G19" s="109"/>
      <c r="H19" s="683"/>
      <c r="I19" s="684"/>
      <c r="J19" s="684"/>
      <c r="K19" s="685"/>
      <c r="L19" s="3" t="str">
        <f t="shared" si="1"/>
        <v/>
      </c>
    </row>
    <row r="20" spans="1:12" s="2" customFormat="1" x14ac:dyDescent="0.2">
      <c r="A20" s="631" t="s">
        <v>1260</v>
      </c>
      <c r="B20" s="632">
        <f>SUM(B21:B25)</f>
        <v>0</v>
      </c>
      <c r="C20" s="633">
        <f>+Statistic!C28</f>
        <v>0</v>
      </c>
      <c r="D20" s="632">
        <f>SUM(D21:D25)</f>
        <v>0</v>
      </c>
      <c r="E20" s="632">
        <f>SUM(E21:E25)</f>
        <v>0</v>
      </c>
      <c r="F20" s="632">
        <f>SUM(F21:F25)</f>
        <v>0</v>
      </c>
      <c r="G20" s="632">
        <f>SUM(G21:G25)</f>
        <v>0</v>
      </c>
      <c r="H20" s="686"/>
      <c r="I20" s="687"/>
      <c r="J20" s="687"/>
      <c r="K20" s="688"/>
      <c r="L20" s="2" t="str">
        <f t="shared" si="1"/>
        <v/>
      </c>
    </row>
    <row r="21" spans="1:12" x14ac:dyDescent="0.2">
      <c r="A21" s="624" t="s">
        <v>959</v>
      </c>
      <c r="B21" s="616">
        <f>SUM(D21+F21)</f>
        <v>0</v>
      </c>
      <c r="C21" s="623">
        <f>+Statistic!C29</f>
        <v>0</v>
      </c>
      <c r="D21" s="348"/>
      <c r="E21" s="109"/>
      <c r="F21" s="348"/>
      <c r="G21" s="109"/>
      <c r="H21" s="683"/>
      <c r="I21" s="684"/>
      <c r="J21" s="684"/>
      <c r="K21" s="685"/>
      <c r="L21" s="3" t="str">
        <f t="shared" si="1"/>
        <v/>
      </c>
    </row>
    <row r="22" spans="1:12" x14ac:dyDescent="0.2">
      <c r="A22" s="624" t="s">
        <v>1217</v>
      </c>
      <c r="B22" s="616">
        <f>SUM(D22+F22)</f>
        <v>0</v>
      </c>
      <c r="C22" s="623">
        <f>+Statistic!C30</f>
        <v>0</v>
      </c>
      <c r="D22" s="348"/>
      <c r="E22" s="109"/>
      <c r="F22" s="348"/>
      <c r="G22" s="109"/>
      <c r="H22" s="683"/>
      <c r="I22" s="684"/>
      <c r="J22" s="684"/>
      <c r="K22" s="685"/>
      <c r="L22" s="3" t="str">
        <f t="shared" si="1"/>
        <v/>
      </c>
    </row>
    <row r="23" spans="1:12" x14ac:dyDescent="0.2">
      <c r="A23" s="624" t="s">
        <v>1218</v>
      </c>
      <c r="B23" s="616">
        <f>SUM(D23+F23)</f>
        <v>0</v>
      </c>
      <c r="C23" s="623">
        <f>+Statistic!C31</f>
        <v>0</v>
      </c>
      <c r="D23" s="348"/>
      <c r="E23" s="109"/>
      <c r="F23" s="348"/>
      <c r="G23" s="109"/>
      <c r="H23" s="683"/>
      <c r="I23" s="684"/>
      <c r="J23" s="684"/>
      <c r="K23" s="685"/>
      <c r="L23" s="3" t="str">
        <f t="shared" si="1"/>
        <v/>
      </c>
    </row>
    <row r="24" spans="1:12" x14ac:dyDescent="0.2">
      <c r="A24" s="624" t="s">
        <v>1219</v>
      </c>
      <c r="B24" s="616">
        <f>SUM(D24+F24)</f>
        <v>0</v>
      </c>
      <c r="C24" s="623">
        <f>+Statistic!C32</f>
        <v>0</v>
      </c>
      <c r="D24" s="348"/>
      <c r="E24" s="109"/>
      <c r="F24" s="348"/>
      <c r="G24" s="109"/>
      <c r="H24" s="683"/>
      <c r="I24" s="684"/>
      <c r="J24" s="684"/>
      <c r="K24" s="685"/>
      <c r="L24" s="3" t="str">
        <f t="shared" si="1"/>
        <v/>
      </c>
    </row>
    <row r="25" spans="1:12" x14ac:dyDescent="0.2">
      <c r="A25" s="624" t="s">
        <v>1220</v>
      </c>
      <c r="B25" s="616">
        <f>SUM(D25+F25)</f>
        <v>0</v>
      </c>
      <c r="C25" s="623">
        <f>+Statistic!C33</f>
        <v>0</v>
      </c>
      <c r="D25" s="348"/>
      <c r="E25" s="109"/>
      <c r="F25" s="348"/>
      <c r="G25" s="109"/>
      <c r="H25" s="689"/>
      <c r="I25" s="690"/>
      <c r="J25" s="690"/>
      <c r="K25" s="691"/>
      <c r="L25" s="3" t="str">
        <f t="shared" si="1"/>
        <v/>
      </c>
    </row>
    <row r="26" spans="1:12" s="2" customFormat="1" x14ac:dyDescent="0.2">
      <c r="A26" s="42" t="s">
        <v>1251</v>
      </c>
      <c r="B26" s="698" t="s">
        <v>1237</v>
      </c>
      <c r="C26" s="633">
        <f>+Statistic!C10</f>
        <v>0</v>
      </c>
      <c r="D26" s="692" t="s">
        <v>1237</v>
      </c>
      <c r="E26" s="633">
        <f>+Statistic!C12</f>
        <v>0</v>
      </c>
      <c r="F26" s="692" t="s">
        <v>1237</v>
      </c>
      <c r="G26" s="633">
        <f>+Statistic!C11</f>
        <v>0</v>
      </c>
      <c r="H26" s="692" t="s">
        <v>1237</v>
      </c>
      <c r="I26" s="633">
        <f>+Statistic!C13</f>
        <v>0</v>
      </c>
      <c r="J26" s="692" t="s">
        <v>1237</v>
      </c>
      <c r="K26" s="634"/>
      <c r="L26" s="2" t="str">
        <f t="shared" ref="L26:L35" si="2">IF(C26=E26+G26+I26,"","Ангилсан дүн Нийт дүнгээс зөрүүтэй")</f>
        <v/>
      </c>
    </row>
    <row r="27" spans="1:12" x14ac:dyDescent="0.2">
      <c r="A27" s="612" t="s">
        <v>1252</v>
      </c>
      <c r="B27" s="699"/>
      <c r="C27" s="616">
        <f>SUM(E27+G27+I27)</f>
        <v>0</v>
      </c>
      <c r="D27" s="693"/>
      <c r="E27" s="109"/>
      <c r="F27" s="693"/>
      <c r="G27" s="109"/>
      <c r="H27" s="693"/>
      <c r="I27" s="109"/>
      <c r="J27" s="693"/>
      <c r="K27" s="109"/>
      <c r="L27" s="3" t="str">
        <f t="shared" si="2"/>
        <v/>
      </c>
    </row>
    <row r="28" spans="1:12" x14ac:dyDescent="0.2">
      <c r="A28" s="625" t="s">
        <v>1253</v>
      </c>
      <c r="B28" s="616">
        <f>BALANCESHEET!G11*1000</f>
        <v>0</v>
      </c>
      <c r="C28" s="623">
        <f>+Statistic!C14</f>
        <v>0</v>
      </c>
      <c r="D28" s="348"/>
      <c r="E28" s="109"/>
      <c r="F28" s="348"/>
      <c r="G28" s="109"/>
      <c r="H28" s="348"/>
      <c r="I28" s="109"/>
      <c r="J28" s="348"/>
      <c r="K28" s="109"/>
      <c r="L28" s="3" t="str">
        <f t="shared" si="2"/>
        <v/>
      </c>
    </row>
    <row r="29" spans="1:12" x14ac:dyDescent="0.2">
      <c r="A29" s="626" t="s">
        <v>1254</v>
      </c>
      <c r="B29" s="616">
        <f>+BALANCESHEET!G11*1000</f>
        <v>0</v>
      </c>
      <c r="C29" s="616">
        <f>SUM(E29+G29+I29)</f>
        <v>0</v>
      </c>
      <c r="D29" s="348"/>
      <c r="E29" s="109"/>
      <c r="F29" s="348"/>
      <c r="G29" s="109"/>
      <c r="H29" s="348"/>
      <c r="I29" s="109"/>
      <c r="J29" s="348"/>
      <c r="K29" s="109"/>
      <c r="L29" s="3" t="str">
        <f t="shared" si="2"/>
        <v/>
      </c>
    </row>
    <row r="30" spans="1:12" x14ac:dyDescent="0.2">
      <c r="A30" s="625" t="s">
        <v>1255</v>
      </c>
      <c r="B30" s="616">
        <f>+BALANCESHEET!G39*1000</f>
        <v>0</v>
      </c>
      <c r="C30" s="623">
        <f>+Statistic!C15</f>
        <v>0</v>
      </c>
      <c r="D30" s="348"/>
      <c r="E30" s="109"/>
      <c r="F30" s="348"/>
      <c r="G30" s="109"/>
      <c r="H30" s="348"/>
      <c r="I30" s="109"/>
      <c r="J30" s="348"/>
      <c r="K30" s="109"/>
      <c r="L30" s="3" t="str">
        <f t="shared" si="2"/>
        <v/>
      </c>
    </row>
    <row r="31" spans="1:12" x14ac:dyDescent="0.2">
      <c r="A31" s="625" t="s">
        <v>1256</v>
      </c>
      <c r="B31" s="616">
        <f>+BALANCESHEET!C66*1000</f>
        <v>0</v>
      </c>
      <c r="C31" s="616">
        <f t="shared" ref="C31:C36" si="3">SUM(E31+G31+I31)</f>
        <v>0</v>
      </c>
      <c r="D31" s="348"/>
      <c r="E31" s="109"/>
      <c r="F31" s="348"/>
      <c r="G31" s="109"/>
      <c r="H31" s="348"/>
      <c r="I31" s="109"/>
      <c r="J31" s="348"/>
      <c r="K31" s="109"/>
      <c r="L31" s="3" t="str">
        <f>IF(C31=E31+G31+I31,"","Ангилсан дүн Нийт дүнгээс зөрүүтэй")</f>
        <v/>
      </c>
    </row>
    <row r="32" spans="1:12" x14ac:dyDescent="0.2">
      <c r="A32" s="625" t="s">
        <v>1257</v>
      </c>
      <c r="B32" s="627" t="s">
        <v>1237</v>
      </c>
      <c r="C32" s="616">
        <f t="shared" si="3"/>
        <v>0</v>
      </c>
      <c r="D32" s="627" t="s">
        <v>1237</v>
      </c>
      <c r="E32" s="109"/>
      <c r="F32" s="627" t="s">
        <v>1237</v>
      </c>
      <c r="G32" s="109"/>
      <c r="H32" s="627" t="s">
        <v>1237</v>
      </c>
      <c r="I32" s="109"/>
      <c r="J32" s="627" t="s">
        <v>1237</v>
      </c>
      <c r="K32" s="109"/>
      <c r="L32" s="3" t="str">
        <f t="shared" si="2"/>
        <v/>
      </c>
    </row>
    <row r="33" spans="1:12" x14ac:dyDescent="0.2">
      <c r="A33" s="626" t="s">
        <v>1221</v>
      </c>
      <c r="B33" s="616">
        <f>SUM(D33+F33+H33)</f>
        <v>0</v>
      </c>
      <c r="C33" s="616">
        <f t="shared" si="3"/>
        <v>0</v>
      </c>
      <c r="D33" s="348"/>
      <c r="E33" s="109"/>
      <c r="F33" s="348"/>
      <c r="G33" s="109"/>
      <c r="H33" s="348"/>
      <c r="I33" s="109"/>
      <c r="J33" s="348"/>
      <c r="K33" s="109"/>
      <c r="L33" s="3" t="str">
        <f t="shared" si="2"/>
        <v/>
      </c>
    </row>
    <row r="34" spans="1:12" x14ac:dyDescent="0.2">
      <c r="A34" s="626" t="s">
        <v>1240</v>
      </c>
      <c r="B34" s="616">
        <f>SUM(D34+F34+H34)</f>
        <v>0</v>
      </c>
      <c r="C34" s="616">
        <f t="shared" si="3"/>
        <v>0</v>
      </c>
      <c r="D34" s="348"/>
      <c r="E34" s="109"/>
      <c r="F34" s="348"/>
      <c r="G34" s="109"/>
      <c r="H34" s="348"/>
      <c r="I34" s="109"/>
      <c r="J34" s="348"/>
      <c r="K34" s="109"/>
    </row>
    <row r="35" spans="1:12" x14ac:dyDescent="0.2">
      <c r="A35" s="628" t="s">
        <v>1258</v>
      </c>
      <c r="B35" s="616">
        <f>SUM(D35+F35+H35)</f>
        <v>0</v>
      </c>
      <c r="C35" s="616">
        <f t="shared" si="3"/>
        <v>0</v>
      </c>
      <c r="D35" s="348"/>
      <c r="E35" s="109"/>
      <c r="F35" s="348"/>
      <c r="G35" s="109"/>
      <c r="H35" s="348"/>
      <c r="I35" s="109"/>
      <c r="J35" s="348"/>
      <c r="K35" s="109"/>
      <c r="L35" s="3" t="str">
        <f t="shared" si="2"/>
        <v/>
      </c>
    </row>
    <row r="36" spans="1:12" x14ac:dyDescent="0.2">
      <c r="A36" s="625" t="s">
        <v>1242</v>
      </c>
      <c r="B36" s="627" t="s">
        <v>1237</v>
      </c>
      <c r="C36" s="616">
        <f t="shared" si="3"/>
        <v>0</v>
      </c>
      <c r="D36" s="627" t="s">
        <v>1237</v>
      </c>
      <c r="E36" s="109"/>
      <c r="F36" s="627" t="s">
        <v>1237</v>
      </c>
      <c r="G36" s="109"/>
      <c r="H36" s="627" t="s">
        <v>1237</v>
      </c>
      <c r="I36" s="109"/>
      <c r="J36" s="627" t="s">
        <v>1237</v>
      </c>
      <c r="K36" s="109"/>
    </row>
    <row r="40" spans="1:12" x14ac:dyDescent="0.2">
      <c r="B40" s="666" t="s">
        <v>36</v>
      </c>
      <c r="C40" s="666"/>
      <c r="D40" s="464"/>
    </row>
    <row r="41" spans="1:12" x14ac:dyDescent="0.2">
      <c r="B41" s="15"/>
      <c r="C41" s="53"/>
      <c r="D41" s="464"/>
    </row>
    <row r="42" spans="1:12" x14ac:dyDescent="0.2">
      <c r="B42" s="17" t="s">
        <v>37</v>
      </c>
      <c r="C42" s="17"/>
      <c r="D42" s="18"/>
    </row>
    <row r="43" spans="1:12" x14ac:dyDescent="0.2">
      <c r="B43" s="50"/>
      <c r="C43" s="16"/>
      <c r="D43" s="464"/>
    </row>
    <row r="44" spans="1:12" x14ac:dyDescent="0.2">
      <c r="B44" s="50"/>
      <c r="C44" s="464" t="str">
        <f>+Statistic!B60</f>
        <v>ГҮЙЦЭТГЭХ ЗАХИРАЛ.................................................................//</v>
      </c>
      <c r="D44" s="464"/>
      <c r="E44" s="464"/>
    </row>
    <row r="45" spans="1:12" x14ac:dyDescent="0.2">
      <c r="B45" s="50"/>
      <c r="C45" s="613"/>
      <c r="D45" s="613"/>
    </row>
    <row r="46" spans="1:12" x14ac:dyDescent="0.2">
      <c r="B46" s="50"/>
      <c r="C46" s="464" t="str">
        <f>+Statistic!B62</f>
        <v>ЕРӨНХИЙ НЯГТЛАН БОДОГЧ....................................................//</v>
      </c>
      <c r="D46" s="464"/>
      <c r="E46" s="464"/>
    </row>
  </sheetData>
  <sheetProtection algorithmName="SHA-512" hashValue="lCl4QYLhrEt3yTxYYaUkAsJoP0i3I8FavsNLg1w7IlZO8T1Q9u8kvY+jvOh6wNjT0q8TV2IzlCD/0YRubZPJLw==" saltValue="DXkb8KW2EU6od79XAgNCRg==" spinCount="100000" sheet="1" objects="1" scenarios="1"/>
  <mergeCells count="24">
    <mergeCell ref="B40:C40"/>
    <mergeCell ref="B26:B27"/>
    <mergeCell ref="A8:A10"/>
    <mergeCell ref="D8:E8"/>
    <mergeCell ref="F8:G8"/>
    <mergeCell ref="B9:B10"/>
    <mergeCell ref="C9:C10"/>
    <mergeCell ref="D9:D10"/>
    <mergeCell ref="E9:E10"/>
    <mergeCell ref="F9:F10"/>
    <mergeCell ref="G9:G10"/>
    <mergeCell ref="H15:K25"/>
    <mergeCell ref="D26:D27"/>
    <mergeCell ref="F26:F27"/>
    <mergeCell ref="A2:J2"/>
    <mergeCell ref="A3:J3"/>
    <mergeCell ref="A4:J4"/>
    <mergeCell ref="B8:C8"/>
    <mergeCell ref="H8:K8"/>
    <mergeCell ref="H26:H27"/>
    <mergeCell ref="J26:J27"/>
    <mergeCell ref="J9:K9"/>
    <mergeCell ref="H9:H10"/>
    <mergeCell ref="I9:I10"/>
  </mergeCells>
  <pageMargins left="0.7" right="0.7" top="0.75" bottom="0.75" header="0.3" footer="0.3"/>
  <pageSetup paperSize="9" scale="54" orientation="landscape" verticalDpi="0"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O33"/>
  <sheetViews>
    <sheetView workbookViewId="0"/>
  </sheetViews>
  <sheetFormatPr defaultRowHeight="12.75" x14ac:dyDescent="0.2"/>
  <cols>
    <col min="1" max="1" width="32.7109375" style="3" customWidth="1"/>
    <col min="2" max="2" width="14.42578125" style="3" customWidth="1"/>
    <col min="3" max="3" width="21.42578125" style="3" customWidth="1"/>
    <col min="4" max="4" width="14.42578125" style="3" customWidth="1"/>
    <col min="5" max="5" width="21.42578125" style="3" customWidth="1"/>
    <col min="6" max="6" width="10.28515625" style="3" customWidth="1"/>
    <col min="7" max="7" width="14.42578125" style="3" customWidth="1"/>
    <col min="8" max="9" width="21.42578125" style="3" customWidth="1"/>
    <col min="10" max="10" width="14.42578125" style="3" customWidth="1"/>
    <col min="11" max="14" width="19.28515625" style="3" customWidth="1"/>
    <col min="15" max="16384" width="9.140625" style="3"/>
  </cols>
  <sheetData>
    <row r="1" spans="1:15" x14ac:dyDescent="0.2">
      <c r="A1" s="49"/>
      <c r="C1" s="607"/>
    </row>
    <row r="2" spans="1:15" x14ac:dyDescent="0.2">
      <c r="A2" s="652" t="s">
        <v>1235</v>
      </c>
      <c r="B2" s="652"/>
      <c r="C2" s="652"/>
      <c r="D2" s="652"/>
      <c r="E2" s="652"/>
      <c r="F2" s="652"/>
      <c r="G2" s="652"/>
      <c r="H2" s="652"/>
      <c r="I2" s="652"/>
      <c r="J2" s="652"/>
      <c r="K2" s="652"/>
      <c r="L2" s="652"/>
      <c r="M2" s="652"/>
      <c r="N2" s="652"/>
    </row>
    <row r="3" spans="1:15" x14ac:dyDescent="0.2">
      <c r="A3" s="670" t="str">
        <f>+Statistic!A3</f>
        <v>БАНК БУС САНХҮҮГИЙН БАЙГУУЛЛАГЫН НЭР</v>
      </c>
      <c r="B3" s="670"/>
      <c r="C3" s="670"/>
      <c r="D3" s="670"/>
      <c r="E3" s="670"/>
      <c r="F3" s="670"/>
      <c r="G3" s="670"/>
      <c r="H3" s="670"/>
      <c r="I3" s="670"/>
      <c r="J3" s="670"/>
      <c r="K3" s="670"/>
      <c r="L3" s="670"/>
      <c r="M3" s="670"/>
      <c r="N3" s="670"/>
    </row>
    <row r="4" spans="1:15" x14ac:dyDescent="0.2">
      <c r="A4" s="654" t="str">
        <f>+Statistic!A4</f>
        <v>БАНК БУС САНХҮҮГИЙН БАЙГУУЛЛАГА</v>
      </c>
      <c r="B4" s="654"/>
      <c r="C4" s="654"/>
      <c r="D4" s="654"/>
      <c r="E4" s="654"/>
      <c r="F4" s="654"/>
      <c r="G4" s="654"/>
      <c r="H4" s="654"/>
      <c r="I4" s="654"/>
      <c r="J4" s="654"/>
      <c r="K4" s="654"/>
      <c r="L4" s="654"/>
      <c r="M4" s="654"/>
      <c r="N4" s="654"/>
    </row>
    <row r="5" spans="1:15" x14ac:dyDescent="0.2">
      <c r="A5" s="5"/>
      <c r="B5" s="5"/>
      <c r="C5" s="5"/>
    </row>
    <row r="6" spans="1:15" x14ac:dyDescent="0.2">
      <c r="A6" s="5"/>
      <c r="B6" s="5"/>
      <c r="C6" s="5"/>
    </row>
    <row r="7" spans="1:15" x14ac:dyDescent="0.2">
      <c r="A7" s="668">
        <f>+Statistic!A7</f>
        <v>44834</v>
      </c>
      <c r="B7" s="668"/>
      <c r="C7" s="608"/>
      <c r="N7" s="635" t="s">
        <v>1279</v>
      </c>
    </row>
    <row r="8" spans="1:15" ht="12.75" customHeight="1" x14ac:dyDescent="0.2">
      <c r="A8" s="703" t="s">
        <v>1278</v>
      </c>
      <c r="B8" s="706" t="s">
        <v>1230</v>
      </c>
      <c r="C8" s="706"/>
      <c r="D8" s="706" t="s">
        <v>1232</v>
      </c>
      <c r="E8" s="706"/>
      <c r="F8" s="703" t="s">
        <v>1067</v>
      </c>
      <c r="G8" s="706" t="s">
        <v>1233</v>
      </c>
      <c r="H8" s="706"/>
      <c r="I8" s="703" t="s">
        <v>1098</v>
      </c>
      <c r="J8" s="706" t="s">
        <v>1234</v>
      </c>
      <c r="K8" s="706"/>
      <c r="L8" s="706"/>
      <c r="M8" s="706"/>
      <c r="N8" s="706"/>
    </row>
    <row r="9" spans="1:15" ht="12.75" customHeight="1" x14ac:dyDescent="0.2">
      <c r="A9" s="704"/>
      <c r="B9" s="706" t="s">
        <v>1212</v>
      </c>
      <c r="C9" s="706" t="s">
        <v>1231</v>
      </c>
      <c r="D9" s="706" t="s">
        <v>1212</v>
      </c>
      <c r="E9" s="706" t="s">
        <v>1231</v>
      </c>
      <c r="F9" s="704"/>
      <c r="G9" s="706" t="s">
        <v>1212</v>
      </c>
      <c r="H9" s="706" t="s">
        <v>1231</v>
      </c>
      <c r="I9" s="704"/>
      <c r="J9" s="706" t="s">
        <v>1212</v>
      </c>
      <c r="K9" s="706" t="s">
        <v>1231</v>
      </c>
      <c r="L9" s="706"/>
      <c r="M9" s="706"/>
      <c r="N9" s="706"/>
    </row>
    <row r="10" spans="1:15" ht="15" customHeight="1" x14ac:dyDescent="0.2">
      <c r="A10" s="705"/>
      <c r="B10" s="706"/>
      <c r="C10" s="706"/>
      <c r="D10" s="706"/>
      <c r="E10" s="706"/>
      <c r="F10" s="705"/>
      <c r="G10" s="706"/>
      <c r="H10" s="706"/>
      <c r="I10" s="705"/>
      <c r="J10" s="706"/>
      <c r="K10" s="640" t="s">
        <v>799</v>
      </c>
      <c r="L10" s="640" t="s">
        <v>470</v>
      </c>
      <c r="M10" s="640" t="s">
        <v>1164</v>
      </c>
      <c r="N10" s="640" t="s">
        <v>1066</v>
      </c>
    </row>
    <row r="11" spans="1:15" x14ac:dyDescent="0.2">
      <c r="A11" s="411" t="s">
        <v>1222</v>
      </c>
      <c r="B11" s="642"/>
      <c r="C11" s="643"/>
      <c r="D11" s="642"/>
      <c r="E11" s="643"/>
      <c r="F11" s="644"/>
      <c r="G11" s="642"/>
      <c r="H11" s="643"/>
      <c r="I11" s="643"/>
      <c r="J11" s="642"/>
      <c r="K11" s="645">
        <f>+C11+E11-H11+I11</f>
        <v>0</v>
      </c>
      <c r="L11" s="643"/>
      <c r="M11" s="643"/>
      <c r="N11" s="643"/>
      <c r="O11" s="629" t="str">
        <f>IF(K11=SUM(L11:N11),"","Нийт зээлийн дүн ангиллын дүнгээс зөрүүтэй")</f>
        <v/>
      </c>
    </row>
    <row r="12" spans="1:15" x14ac:dyDescent="0.2">
      <c r="A12" s="411" t="s">
        <v>1223</v>
      </c>
      <c r="B12" s="642"/>
      <c r="C12" s="643"/>
      <c r="D12" s="642"/>
      <c r="E12" s="643"/>
      <c r="F12" s="644"/>
      <c r="G12" s="642"/>
      <c r="H12" s="643"/>
      <c r="I12" s="643"/>
      <c r="J12" s="642"/>
      <c r="K12" s="645">
        <f t="shared" ref="K12:K21" si="0">+C12+E12-H12+I12</f>
        <v>0</v>
      </c>
      <c r="L12" s="643"/>
      <c r="M12" s="643"/>
      <c r="N12" s="643"/>
      <c r="O12" s="629" t="str">
        <f t="shared" ref="O12:O22" si="1">IF(K12=SUM(L12:N12),"","Нийт зээлийн дүн ангиллын дүнгээс зөрүүтэй")</f>
        <v/>
      </c>
    </row>
    <row r="13" spans="1:15" x14ac:dyDescent="0.2">
      <c r="A13" s="411" t="s">
        <v>1224</v>
      </c>
      <c r="B13" s="642"/>
      <c r="C13" s="643"/>
      <c r="D13" s="642"/>
      <c r="E13" s="643"/>
      <c r="F13" s="644"/>
      <c r="G13" s="642"/>
      <c r="H13" s="643"/>
      <c r="I13" s="643"/>
      <c r="J13" s="642"/>
      <c r="K13" s="645">
        <f t="shared" si="0"/>
        <v>0</v>
      </c>
      <c r="L13" s="643"/>
      <c r="M13" s="643"/>
      <c r="N13" s="643"/>
      <c r="O13" s="629" t="str">
        <f t="shared" si="1"/>
        <v/>
      </c>
    </row>
    <row r="14" spans="1:15" x14ac:dyDescent="0.2">
      <c r="A14" s="411" t="s">
        <v>1225</v>
      </c>
      <c r="B14" s="642"/>
      <c r="C14" s="643"/>
      <c r="D14" s="642"/>
      <c r="E14" s="643"/>
      <c r="F14" s="644"/>
      <c r="G14" s="642"/>
      <c r="H14" s="643"/>
      <c r="I14" s="643"/>
      <c r="J14" s="642"/>
      <c r="K14" s="645">
        <f t="shared" si="0"/>
        <v>0</v>
      </c>
      <c r="L14" s="643"/>
      <c r="M14" s="643"/>
      <c r="N14" s="643"/>
      <c r="O14" s="629" t="str">
        <f t="shared" si="1"/>
        <v/>
      </c>
    </row>
    <row r="15" spans="1:15" ht="25.5" x14ac:dyDescent="0.2">
      <c r="A15" s="411" t="s">
        <v>1226</v>
      </c>
      <c r="B15" s="642"/>
      <c r="C15" s="643"/>
      <c r="D15" s="642"/>
      <c r="E15" s="643"/>
      <c r="F15" s="644"/>
      <c r="G15" s="642"/>
      <c r="H15" s="643"/>
      <c r="I15" s="643"/>
      <c r="J15" s="642"/>
      <c r="K15" s="645">
        <f t="shared" si="0"/>
        <v>0</v>
      </c>
      <c r="L15" s="643"/>
      <c r="M15" s="643"/>
      <c r="N15" s="643"/>
      <c r="O15" s="629" t="str">
        <f t="shared" si="1"/>
        <v/>
      </c>
    </row>
    <row r="16" spans="1:15" x14ac:dyDescent="0.2">
      <c r="A16" s="411" t="s">
        <v>1227</v>
      </c>
      <c r="B16" s="642"/>
      <c r="C16" s="643"/>
      <c r="D16" s="642"/>
      <c r="E16" s="643"/>
      <c r="F16" s="644"/>
      <c r="G16" s="642"/>
      <c r="H16" s="643"/>
      <c r="I16" s="643"/>
      <c r="J16" s="642"/>
      <c r="K16" s="645">
        <f t="shared" si="0"/>
        <v>0</v>
      </c>
      <c r="L16" s="643"/>
      <c r="M16" s="643"/>
      <c r="N16" s="643"/>
      <c r="O16" s="629" t="str">
        <f t="shared" si="1"/>
        <v/>
      </c>
    </row>
    <row r="17" spans="1:15" ht="38.25" x14ac:dyDescent="0.2">
      <c r="A17" s="411" t="s">
        <v>1228</v>
      </c>
      <c r="B17" s="642"/>
      <c r="C17" s="643"/>
      <c r="D17" s="642"/>
      <c r="E17" s="643"/>
      <c r="F17" s="644"/>
      <c r="G17" s="642"/>
      <c r="H17" s="643"/>
      <c r="I17" s="643"/>
      <c r="J17" s="642"/>
      <c r="K17" s="645">
        <f t="shared" si="0"/>
        <v>0</v>
      </c>
      <c r="L17" s="643"/>
      <c r="M17" s="643"/>
      <c r="N17" s="643"/>
      <c r="O17" s="629" t="str">
        <f t="shared" si="1"/>
        <v/>
      </c>
    </row>
    <row r="18" spans="1:15" x14ac:dyDescent="0.2">
      <c r="A18" s="411" t="s">
        <v>1283</v>
      </c>
      <c r="B18" s="642"/>
      <c r="C18" s="643"/>
      <c r="D18" s="642"/>
      <c r="E18" s="643"/>
      <c r="F18" s="644"/>
      <c r="G18" s="642"/>
      <c r="H18" s="643"/>
      <c r="I18" s="643"/>
      <c r="J18" s="642"/>
      <c r="K18" s="645">
        <f t="shared" si="0"/>
        <v>0</v>
      </c>
      <c r="L18" s="643"/>
      <c r="M18" s="643"/>
      <c r="N18" s="643"/>
      <c r="O18" s="629" t="str">
        <f t="shared" si="1"/>
        <v/>
      </c>
    </row>
    <row r="19" spans="1:15" ht="25.5" x14ac:dyDescent="0.2">
      <c r="A19" s="641" t="s">
        <v>1284</v>
      </c>
      <c r="B19" s="646"/>
      <c r="C19" s="646"/>
      <c r="D19" s="646"/>
      <c r="E19" s="646"/>
      <c r="F19" s="646"/>
      <c r="G19" s="646"/>
      <c r="H19" s="646"/>
      <c r="I19" s="646"/>
      <c r="J19" s="646"/>
      <c r="K19" s="647">
        <f t="shared" si="0"/>
        <v>0</v>
      </c>
      <c r="L19" s="646"/>
      <c r="M19" s="646"/>
      <c r="N19" s="646"/>
      <c r="O19" s="629"/>
    </row>
    <row r="20" spans="1:15" ht="25.5" x14ac:dyDescent="0.2">
      <c r="A20" s="641" t="s">
        <v>1285</v>
      </c>
      <c r="B20" s="646"/>
      <c r="C20" s="646"/>
      <c r="D20" s="646"/>
      <c r="E20" s="646"/>
      <c r="F20" s="646"/>
      <c r="G20" s="646"/>
      <c r="H20" s="646"/>
      <c r="I20" s="646"/>
      <c r="J20" s="646"/>
      <c r="K20" s="647">
        <f t="shared" si="0"/>
        <v>0</v>
      </c>
      <c r="L20" s="646"/>
      <c r="M20" s="646"/>
      <c r="N20" s="646"/>
      <c r="O20" s="629"/>
    </row>
    <row r="21" spans="1:15" ht="25.5" x14ac:dyDescent="0.2">
      <c r="A21" s="641" t="s">
        <v>1286</v>
      </c>
      <c r="B21" s="646"/>
      <c r="C21" s="646"/>
      <c r="D21" s="646"/>
      <c r="E21" s="646"/>
      <c r="F21" s="646"/>
      <c r="G21" s="646"/>
      <c r="H21" s="646"/>
      <c r="I21" s="646"/>
      <c r="J21" s="646"/>
      <c r="K21" s="647">
        <f t="shared" si="0"/>
        <v>0</v>
      </c>
      <c r="L21" s="646"/>
      <c r="M21" s="646"/>
      <c r="N21" s="646"/>
      <c r="O21" s="629"/>
    </row>
    <row r="22" spans="1:15" s="2" customFormat="1" x14ac:dyDescent="0.2">
      <c r="A22" s="630" t="s">
        <v>1229</v>
      </c>
      <c r="B22" s="648">
        <f>SUM(B11:B18)</f>
        <v>0</v>
      </c>
      <c r="C22" s="648">
        <f>SUM(C11:C18)</f>
        <v>0</v>
      </c>
      <c r="D22" s="648">
        <f t="shared" ref="D22:N22" si="2">SUM(D11:D18)</f>
        <v>0</v>
      </c>
      <c r="E22" s="648">
        <f t="shared" si="2"/>
        <v>0</v>
      </c>
      <c r="F22" s="648" t="e">
        <f>AVERAGE(F11:F18)</f>
        <v>#DIV/0!</v>
      </c>
      <c r="G22" s="648">
        <f t="shared" si="2"/>
        <v>0</v>
      </c>
      <c r="H22" s="648">
        <f t="shared" si="2"/>
        <v>0</v>
      </c>
      <c r="I22" s="648">
        <f t="shared" si="2"/>
        <v>0</v>
      </c>
      <c r="J22" s="648">
        <f t="shared" si="2"/>
        <v>0</v>
      </c>
      <c r="K22" s="648">
        <f>SUM(K11:K18)</f>
        <v>0</v>
      </c>
      <c r="L22" s="648">
        <f t="shared" si="2"/>
        <v>0</v>
      </c>
      <c r="M22" s="648">
        <f t="shared" si="2"/>
        <v>0</v>
      </c>
      <c r="N22" s="648">
        <f t="shared" si="2"/>
        <v>0</v>
      </c>
      <c r="O22" s="629" t="str">
        <f t="shared" si="1"/>
        <v/>
      </c>
    </row>
    <row r="24" spans="1:15" ht="15" x14ac:dyDescent="0.25">
      <c r="A24" s="707" t="s">
        <v>1280</v>
      </c>
      <c r="B24" s="707"/>
      <c r="C24" s="707"/>
      <c r="D24" s="707"/>
      <c r="E24" s="707"/>
      <c r="F24" s="707"/>
      <c r="G24" s="707"/>
      <c r="H24" s="707"/>
      <c r="I24" s="707"/>
      <c r="J24" s="707"/>
      <c r="K24" s="707"/>
      <c r="L24" s="707"/>
      <c r="M24" s="707"/>
      <c r="N24" s="707"/>
    </row>
    <row r="27" spans="1:15" x14ac:dyDescent="0.2">
      <c r="B27" s="666" t="s">
        <v>36</v>
      </c>
      <c r="C27" s="666"/>
      <c r="D27" s="464"/>
    </row>
    <row r="28" spans="1:15" x14ac:dyDescent="0.2">
      <c r="B28" s="15"/>
      <c r="C28" s="53"/>
      <c r="D28" s="464"/>
    </row>
    <row r="29" spans="1:15" x14ac:dyDescent="0.2">
      <c r="B29" s="17" t="s">
        <v>37</v>
      </c>
      <c r="C29" s="17"/>
      <c r="D29" s="18"/>
    </row>
    <row r="30" spans="1:15" x14ac:dyDescent="0.2">
      <c r="B30" s="50"/>
      <c r="C30" s="16"/>
      <c r="D30" s="464"/>
    </row>
    <row r="31" spans="1:15" x14ac:dyDescent="0.2">
      <c r="B31" s="50"/>
      <c r="C31" s="464" t="str">
        <f>+Statistic!B60</f>
        <v>ГҮЙЦЭТГЭХ ЗАХИРАЛ.................................................................//</v>
      </c>
      <c r="D31" s="464"/>
    </row>
    <row r="32" spans="1:15" x14ac:dyDescent="0.2">
      <c r="B32" s="50"/>
      <c r="C32" s="466"/>
      <c r="D32" s="466"/>
    </row>
    <row r="33" spans="2:4" x14ac:dyDescent="0.2">
      <c r="B33" s="50"/>
      <c r="C33" s="464" t="str">
        <f>+Statistic!B62</f>
        <v>ЕРӨНХИЙ НЯГТЛАН БОДОГЧ....................................................//</v>
      </c>
      <c r="D33" s="464"/>
    </row>
  </sheetData>
  <sheetProtection password="CA9F" sheet="1" objects="1" scenarios="1"/>
  <mergeCells count="21">
    <mergeCell ref="B27:C27"/>
    <mergeCell ref="B9:B10"/>
    <mergeCell ref="C9:C10"/>
    <mergeCell ref="D9:D10"/>
    <mergeCell ref="E9:E10"/>
    <mergeCell ref="A24:N24"/>
    <mergeCell ref="H9:H10"/>
    <mergeCell ref="J9:J10"/>
    <mergeCell ref="K9:N9"/>
    <mergeCell ref="F8:F10"/>
    <mergeCell ref="I8:I10"/>
    <mergeCell ref="A3:N3"/>
    <mergeCell ref="A4:N4"/>
    <mergeCell ref="A7:B7"/>
    <mergeCell ref="A2:N2"/>
    <mergeCell ref="A8:A10"/>
    <mergeCell ref="B8:C8"/>
    <mergeCell ref="D8:E8"/>
    <mergeCell ref="G8:H8"/>
    <mergeCell ref="J8:N8"/>
    <mergeCell ref="G9:G10"/>
  </mergeCells>
  <hyperlinks>
    <hyperlink ref="A24:N24" r:id="rId1" display="Дээрх 8 ангилал нь Монгол Улсын ногоон таксономийн 8 ерөнхий чиглэл бөгөөд дээрх ангилалуудын дэлгэрэнгүй  /аль ангилалд ямар зээл оруулах гэх мэт/ мэдээлэлтэй Greenloan_info-ээс эсхүл ЭНД дарж танилцана уу!" xr:uid="{00000000-0004-0000-0600-000000000000}"/>
  </hyperlinks>
  <pageMargins left="0.7" right="0.7" top="0.75" bottom="0.75" header="0.3" footer="0.3"/>
  <pageSetup paperSize="9" scale="49" orientation="landscape" verticalDpi="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31"/>
  <sheetViews>
    <sheetView zoomScale="160" zoomScaleNormal="160" workbookViewId="0">
      <selection activeCell="F19" sqref="F19"/>
    </sheetView>
  </sheetViews>
  <sheetFormatPr defaultRowHeight="15" x14ac:dyDescent="0.25"/>
  <sheetData>
    <row r="31" spans="2:2" x14ac:dyDescent="0.25">
      <c r="B31" s="606" t="s">
        <v>1263</v>
      </c>
    </row>
  </sheetData>
  <sheetProtection algorithmName="SHA-512" hashValue="emCwTR1vLvdtZXoZAEJozmX1G7fGvTqJIcRGFfMB1mTrPERccpzJ12W41fR4ztjLcFl+ipeyW/GA/bIJmuB/kw==" saltValue="ULDasfWKmTJPClqOzL2UFQ==" spinCount="100000" sheet="1" objects="1" scenarios="1"/>
  <hyperlinks>
    <hyperlink ref="B31" r:id="rId1" xr:uid="{00000000-0004-0000-0700-000000000000}"/>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pageSetUpPr fitToPage="1"/>
  </sheetPr>
  <dimension ref="A2:I365"/>
  <sheetViews>
    <sheetView workbookViewId="0">
      <selection activeCell="A3" sqref="A3:H3"/>
    </sheetView>
  </sheetViews>
  <sheetFormatPr defaultRowHeight="12.75" x14ac:dyDescent="0.25"/>
  <cols>
    <col min="1" max="1" width="3.42578125" style="13" customWidth="1"/>
    <col min="2" max="2" width="59.140625" style="15" customWidth="1"/>
    <col min="3" max="3" width="9.140625" style="16"/>
    <col min="4" max="4" width="17.7109375" style="126" customWidth="1"/>
    <col min="5" max="5" width="4.5703125" style="13" customWidth="1"/>
    <col min="6" max="6" width="59.140625" style="14" customWidth="1"/>
    <col min="7" max="7" width="9.140625" style="16"/>
    <col min="8" max="8" width="17.7109375" style="126" customWidth="1"/>
    <col min="9" max="9" width="15.140625" style="582" bestFit="1" customWidth="1"/>
    <col min="10" max="16384" width="9.140625" style="13"/>
  </cols>
  <sheetData>
    <row r="2" spans="1:9" x14ac:dyDescent="0.25">
      <c r="A2" s="718" t="s">
        <v>44</v>
      </c>
      <c r="B2" s="718"/>
      <c r="C2" s="718"/>
      <c r="D2" s="718"/>
      <c r="E2" s="718"/>
      <c r="F2" s="718"/>
      <c r="G2" s="718"/>
      <c r="H2" s="718"/>
    </row>
    <row r="3" spans="1:9" x14ac:dyDescent="0.25">
      <c r="A3" s="719" t="str">
        <f>+Statistic!A3</f>
        <v>БАНК БУС САНХҮҮГИЙН БАЙГУУЛЛАГЫН НЭР</v>
      </c>
      <c r="B3" s="719"/>
      <c r="C3" s="719"/>
      <c r="D3" s="719"/>
      <c r="E3" s="719"/>
      <c r="F3" s="719"/>
      <c r="G3" s="719"/>
      <c r="H3" s="719"/>
    </row>
    <row r="4" spans="1:9" ht="13.5" customHeight="1" x14ac:dyDescent="0.25">
      <c r="A4" s="720" t="s">
        <v>1</v>
      </c>
      <c r="B4" s="720"/>
      <c r="C4" s="720"/>
      <c r="D4" s="720"/>
      <c r="E4" s="720"/>
      <c r="F4" s="720"/>
      <c r="G4" s="720"/>
      <c r="H4" s="720"/>
    </row>
    <row r="5" spans="1:9" ht="13.5" customHeight="1" x14ac:dyDescent="0.25">
      <c r="A5" s="54"/>
      <c r="B5" s="54"/>
      <c r="C5" s="54"/>
      <c r="D5" s="54"/>
      <c r="E5" s="54"/>
      <c r="F5" s="54"/>
      <c r="G5" s="54"/>
      <c r="H5" s="54"/>
    </row>
    <row r="6" spans="1:9" x14ac:dyDescent="0.25">
      <c r="A6" s="721">
        <f>+Statistic!A7</f>
        <v>44834</v>
      </c>
      <c r="B6" s="721"/>
      <c r="H6" s="340" t="s">
        <v>45</v>
      </c>
    </row>
    <row r="7" spans="1:9" ht="15.75" customHeight="1" x14ac:dyDescent="0.25">
      <c r="A7" s="664" t="s">
        <v>46</v>
      </c>
      <c r="B7" s="664"/>
      <c r="C7" s="722" t="s">
        <v>47</v>
      </c>
      <c r="D7" s="723"/>
      <c r="E7" s="664" t="s">
        <v>48</v>
      </c>
      <c r="F7" s="664"/>
      <c r="G7" s="722" t="s">
        <v>47</v>
      </c>
      <c r="H7" s="723"/>
    </row>
    <row r="8" spans="1:9" x14ac:dyDescent="0.25">
      <c r="A8" s="664"/>
      <c r="B8" s="664"/>
      <c r="C8" s="722"/>
      <c r="D8" s="723"/>
      <c r="E8" s="664"/>
      <c r="F8" s="664"/>
      <c r="G8" s="722"/>
      <c r="H8" s="723"/>
    </row>
    <row r="9" spans="1:9" ht="15.75" customHeight="1" x14ac:dyDescent="0.25">
      <c r="A9" s="672" t="s">
        <v>49</v>
      </c>
      <c r="B9" s="672"/>
      <c r="C9" s="672"/>
      <c r="D9" s="405">
        <f>SUM(D10,D34,D52,D136,D155,D174,D186,D230)</f>
        <v>0</v>
      </c>
      <c r="E9" s="672" t="s">
        <v>50</v>
      </c>
      <c r="F9" s="672"/>
      <c r="G9" s="672"/>
      <c r="H9" s="405">
        <f>SUM(H10,H14,H59,H75,H78,H105)</f>
        <v>0</v>
      </c>
    </row>
    <row r="10" spans="1:9" ht="15.75" customHeight="1" x14ac:dyDescent="0.25">
      <c r="A10" s="709" t="s">
        <v>51</v>
      </c>
      <c r="B10" s="709"/>
      <c r="C10" s="406"/>
      <c r="D10" s="405">
        <f>SUM(D11,D18,D23,D28,D31)</f>
        <v>0</v>
      </c>
      <c r="E10" s="709" t="s">
        <v>52</v>
      </c>
      <c r="F10" s="709"/>
      <c r="G10" s="409"/>
      <c r="H10" s="405">
        <f>H11</f>
        <v>0</v>
      </c>
    </row>
    <row r="11" spans="1:9" x14ac:dyDescent="0.25">
      <c r="A11" s="407"/>
      <c r="B11" s="408" t="s">
        <v>53</v>
      </c>
      <c r="C11" s="409"/>
      <c r="D11" s="410">
        <f>+SUM(D12:D17)</f>
        <v>0</v>
      </c>
      <c r="E11" s="198"/>
      <c r="F11" s="426" t="s">
        <v>54</v>
      </c>
      <c r="G11" s="409"/>
      <c r="H11" s="410">
        <f>SUM(H12:H13)</f>
        <v>0</v>
      </c>
      <c r="I11" s="582" t="str">
        <f>IF(H11&gt;0,IF(Trust!J28&gt;0,"","Итгэлцлийн үйлчилгээний төвлөрөлийн тайланг нөхнө үү!"),"")</f>
        <v/>
      </c>
    </row>
    <row r="12" spans="1:9" x14ac:dyDescent="0.25">
      <c r="A12" s="198"/>
      <c r="B12" s="411" t="s">
        <v>55</v>
      </c>
      <c r="C12" s="44">
        <v>1101</v>
      </c>
      <c r="D12" s="412"/>
      <c r="E12" s="198"/>
      <c r="F12" s="417" t="s">
        <v>56</v>
      </c>
      <c r="G12" s="44">
        <v>2101</v>
      </c>
      <c r="H12" s="412"/>
    </row>
    <row r="13" spans="1:9" x14ac:dyDescent="0.25">
      <c r="A13" s="198"/>
      <c r="B13" s="411" t="s">
        <v>57</v>
      </c>
      <c r="C13" s="44">
        <v>1102</v>
      </c>
      <c r="D13" s="412"/>
      <c r="E13" s="198"/>
      <c r="F13" s="417" t="s">
        <v>58</v>
      </c>
      <c r="G13" s="44">
        <v>2102</v>
      </c>
      <c r="H13" s="412"/>
    </row>
    <row r="14" spans="1:9" ht="28.5" customHeight="1" x14ac:dyDescent="0.25">
      <c r="A14" s="198"/>
      <c r="B14" s="411" t="s">
        <v>59</v>
      </c>
      <c r="C14" s="44">
        <v>1103</v>
      </c>
      <c r="D14" s="412"/>
      <c r="E14" s="710" t="s">
        <v>60</v>
      </c>
      <c r="F14" s="710"/>
      <c r="G14" s="409"/>
      <c r="H14" s="405">
        <f>SUM(H15,H44)</f>
        <v>0</v>
      </c>
      <c r="I14" s="582" t="str">
        <f>IF(H14&gt;0,IF(Source!K28&gt;0,"","Банк, санхүүгийн байгууллага, төсөл хөтөлбөр, бусад эх үүсвэрээс татсан зээлийн тайланг нөхнө үү!"),"")</f>
        <v/>
      </c>
    </row>
    <row r="15" spans="1:9" ht="25.5" x14ac:dyDescent="0.25">
      <c r="A15" s="198"/>
      <c r="B15" s="411" t="s">
        <v>61</v>
      </c>
      <c r="C15" s="44">
        <v>1104</v>
      </c>
      <c r="D15" s="412"/>
      <c r="E15" s="417"/>
      <c r="F15" s="427" t="s">
        <v>62</v>
      </c>
      <c r="G15" s="409"/>
      <c r="H15" s="405">
        <f>SUM(H16,H23,H30,H37)</f>
        <v>0</v>
      </c>
    </row>
    <row r="16" spans="1:9" x14ac:dyDescent="0.25">
      <c r="A16" s="198"/>
      <c r="B16" s="411" t="s">
        <v>63</v>
      </c>
      <c r="C16" s="44">
        <v>1105</v>
      </c>
      <c r="D16" s="412"/>
      <c r="E16" s="198"/>
      <c r="F16" s="426" t="s">
        <v>64</v>
      </c>
      <c r="G16" s="406"/>
      <c r="H16" s="405">
        <f>SUM(H17,H20)</f>
        <v>0</v>
      </c>
    </row>
    <row r="17" spans="1:8" x14ac:dyDescent="0.25">
      <c r="A17" s="198"/>
      <c r="B17" s="411" t="s">
        <v>65</v>
      </c>
      <c r="C17" s="44">
        <v>1106</v>
      </c>
      <c r="D17" s="412"/>
      <c r="E17" s="198"/>
      <c r="F17" s="426" t="s">
        <v>66</v>
      </c>
      <c r="G17" s="409"/>
      <c r="H17" s="410">
        <f>SUM(H18:H19)</f>
        <v>0</v>
      </c>
    </row>
    <row r="18" spans="1:8" x14ac:dyDescent="0.25">
      <c r="A18" s="198"/>
      <c r="B18" s="408" t="s">
        <v>67</v>
      </c>
      <c r="C18" s="409"/>
      <c r="D18" s="410">
        <f>+SUM(D19:D22)</f>
        <v>0</v>
      </c>
      <c r="E18" s="198"/>
      <c r="F18" s="417" t="s">
        <v>68</v>
      </c>
      <c r="G18" s="44">
        <v>2201</v>
      </c>
      <c r="H18" s="412"/>
    </row>
    <row r="19" spans="1:8" x14ac:dyDescent="0.25">
      <c r="A19" s="198"/>
      <c r="B19" s="411" t="s">
        <v>69</v>
      </c>
      <c r="C19" s="44">
        <v>1121</v>
      </c>
      <c r="D19" s="412"/>
      <c r="E19" s="198"/>
      <c r="F19" s="417" t="s">
        <v>70</v>
      </c>
      <c r="G19" s="44">
        <v>2203</v>
      </c>
      <c r="H19" s="412"/>
    </row>
    <row r="20" spans="1:8" x14ac:dyDescent="0.25">
      <c r="A20" s="198"/>
      <c r="B20" s="411" t="s">
        <v>71</v>
      </c>
      <c r="C20" s="44">
        <v>1122</v>
      </c>
      <c r="D20" s="412"/>
      <c r="E20" s="198"/>
      <c r="F20" s="426" t="s">
        <v>72</v>
      </c>
      <c r="G20" s="409"/>
      <c r="H20" s="410">
        <f>SUM(H21:H22)</f>
        <v>0</v>
      </c>
    </row>
    <row r="21" spans="1:8" x14ac:dyDescent="0.25">
      <c r="A21" s="198"/>
      <c r="B21" s="411" t="s">
        <v>73</v>
      </c>
      <c r="C21" s="44">
        <v>1123</v>
      </c>
      <c r="D21" s="412"/>
      <c r="E21" s="198"/>
      <c r="F21" s="417" t="s">
        <v>68</v>
      </c>
      <c r="G21" s="44">
        <v>2202</v>
      </c>
      <c r="H21" s="412"/>
    </row>
    <row r="22" spans="1:8" x14ac:dyDescent="0.25">
      <c r="A22" s="198"/>
      <c r="B22" s="411" t="s">
        <v>74</v>
      </c>
      <c r="C22" s="44">
        <v>1124</v>
      </c>
      <c r="D22" s="412"/>
      <c r="E22" s="198"/>
      <c r="F22" s="417" t="s">
        <v>70</v>
      </c>
      <c r="G22" s="44">
        <v>2204</v>
      </c>
      <c r="H22" s="412"/>
    </row>
    <row r="23" spans="1:8" x14ac:dyDescent="0.25">
      <c r="A23" s="198"/>
      <c r="B23" s="408" t="s">
        <v>75</v>
      </c>
      <c r="C23" s="409"/>
      <c r="D23" s="410">
        <f>SUM(D24:D27)</f>
        <v>0</v>
      </c>
      <c r="E23" s="198"/>
      <c r="F23" s="426" t="s">
        <v>76</v>
      </c>
      <c r="G23" s="409"/>
      <c r="H23" s="405">
        <f>SUM(H24,H27)</f>
        <v>0</v>
      </c>
    </row>
    <row r="24" spans="1:8" x14ac:dyDescent="0.25">
      <c r="A24" s="198"/>
      <c r="B24" s="411" t="s">
        <v>77</v>
      </c>
      <c r="C24" s="44">
        <v>1131</v>
      </c>
      <c r="D24" s="412"/>
      <c r="E24" s="198"/>
      <c r="F24" s="426" t="s">
        <v>78</v>
      </c>
      <c r="G24" s="409"/>
      <c r="H24" s="410">
        <f>SUM(H25:H26)</f>
        <v>0</v>
      </c>
    </row>
    <row r="25" spans="1:8" x14ac:dyDescent="0.25">
      <c r="A25" s="198"/>
      <c r="B25" s="411" t="s">
        <v>79</v>
      </c>
      <c r="C25" s="44">
        <v>1132</v>
      </c>
      <c r="D25" s="412"/>
      <c r="E25" s="198"/>
      <c r="F25" s="417" t="s">
        <v>80</v>
      </c>
      <c r="G25" s="44">
        <v>2211</v>
      </c>
      <c r="H25" s="412"/>
    </row>
    <row r="26" spans="1:8" x14ac:dyDescent="0.25">
      <c r="A26" s="198"/>
      <c r="B26" s="411" t="s">
        <v>81</v>
      </c>
      <c r="C26" s="44">
        <v>1133</v>
      </c>
      <c r="D26" s="412"/>
      <c r="E26" s="198"/>
      <c r="F26" s="417" t="s">
        <v>82</v>
      </c>
      <c r="G26" s="44">
        <v>2213</v>
      </c>
      <c r="H26" s="412"/>
    </row>
    <row r="27" spans="1:8" x14ac:dyDescent="0.25">
      <c r="A27" s="198"/>
      <c r="B27" s="411" t="s">
        <v>83</v>
      </c>
      <c r="C27" s="44">
        <v>1134</v>
      </c>
      <c r="D27" s="412"/>
      <c r="E27" s="198"/>
      <c r="F27" s="426" t="s">
        <v>84</v>
      </c>
      <c r="G27" s="409"/>
      <c r="H27" s="410">
        <f>SUM(H28:H29)</f>
        <v>0</v>
      </c>
    </row>
    <row r="28" spans="1:8" x14ac:dyDescent="0.25">
      <c r="A28" s="198"/>
      <c r="B28" s="408" t="s">
        <v>85</v>
      </c>
      <c r="C28" s="409"/>
      <c r="D28" s="410">
        <f>+SUM(D29:D30)</f>
        <v>0</v>
      </c>
      <c r="E28" s="198"/>
      <c r="F28" s="417" t="s">
        <v>80</v>
      </c>
      <c r="G28" s="44">
        <v>2212</v>
      </c>
      <c r="H28" s="412"/>
    </row>
    <row r="29" spans="1:8" x14ac:dyDescent="0.25">
      <c r="A29" s="198"/>
      <c r="B29" s="411" t="s">
        <v>86</v>
      </c>
      <c r="C29" s="44">
        <v>1142</v>
      </c>
      <c r="D29" s="412"/>
      <c r="E29" s="198"/>
      <c r="F29" s="417" t="s">
        <v>82</v>
      </c>
      <c r="G29" s="44">
        <v>2214</v>
      </c>
      <c r="H29" s="412"/>
    </row>
    <row r="30" spans="1:8" x14ac:dyDescent="0.25">
      <c r="A30" s="198"/>
      <c r="B30" s="411" t="s">
        <v>87</v>
      </c>
      <c r="C30" s="44">
        <v>1144</v>
      </c>
      <c r="D30" s="412"/>
      <c r="E30" s="198"/>
      <c r="F30" s="426" t="s">
        <v>88</v>
      </c>
      <c r="G30" s="409"/>
      <c r="H30" s="405">
        <f>SUM(H31,H34)</f>
        <v>0</v>
      </c>
    </row>
    <row r="31" spans="1:8" x14ac:dyDescent="0.25">
      <c r="A31" s="198"/>
      <c r="B31" s="408" t="s">
        <v>89</v>
      </c>
      <c r="C31" s="409"/>
      <c r="D31" s="410">
        <f>+SUM(D32:D33)</f>
        <v>0</v>
      </c>
      <c r="E31" s="198"/>
      <c r="F31" s="426" t="s">
        <v>90</v>
      </c>
      <c r="G31" s="409"/>
      <c r="H31" s="410">
        <f>SUM(H32:H33)</f>
        <v>0</v>
      </c>
    </row>
    <row r="32" spans="1:8" x14ac:dyDescent="0.25">
      <c r="A32" s="198"/>
      <c r="B32" s="411" t="s">
        <v>91</v>
      </c>
      <c r="C32" s="44">
        <v>1152</v>
      </c>
      <c r="D32" s="412"/>
      <c r="E32" s="198"/>
      <c r="F32" s="417" t="s">
        <v>68</v>
      </c>
      <c r="G32" s="44">
        <v>2221</v>
      </c>
      <c r="H32" s="412"/>
    </row>
    <row r="33" spans="1:8" x14ac:dyDescent="0.25">
      <c r="A33" s="198"/>
      <c r="B33" s="411" t="s">
        <v>92</v>
      </c>
      <c r="C33" s="44">
        <v>1154</v>
      </c>
      <c r="D33" s="412"/>
      <c r="E33" s="198"/>
      <c r="F33" s="417" t="s">
        <v>70</v>
      </c>
      <c r="G33" s="44">
        <v>2223</v>
      </c>
      <c r="H33" s="412"/>
    </row>
    <row r="34" spans="1:8" x14ac:dyDescent="0.25">
      <c r="A34" s="709" t="s">
        <v>93</v>
      </c>
      <c r="B34" s="709"/>
      <c r="C34" s="406"/>
      <c r="D34" s="405">
        <f>SUM(D35,D41,D47,-D50)</f>
        <v>0</v>
      </c>
      <c r="E34" s="198"/>
      <c r="F34" s="426" t="s">
        <v>94</v>
      </c>
      <c r="G34" s="409"/>
      <c r="H34" s="410">
        <f>SUM(H35:H36)</f>
        <v>0</v>
      </c>
    </row>
    <row r="35" spans="1:8" x14ac:dyDescent="0.25">
      <c r="A35" s="198"/>
      <c r="B35" s="408" t="s">
        <v>95</v>
      </c>
      <c r="C35" s="409"/>
      <c r="D35" s="410">
        <f>SUM(D36:D40)</f>
        <v>0</v>
      </c>
      <c r="E35" s="198"/>
      <c r="F35" s="417" t="s">
        <v>68</v>
      </c>
      <c r="G35" s="44">
        <v>2222</v>
      </c>
      <c r="H35" s="412"/>
    </row>
    <row r="36" spans="1:8" x14ac:dyDescent="0.25">
      <c r="A36" s="198"/>
      <c r="B36" s="411" t="s">
        <v>96</v>
      </c>
      <c r="C36" s="44">
        <v>1201</v>
      </c>
      <c r="D36" s="412"/>
      <c r="E36" s="198"/>
      <c r="F36" s="417" t="s">
        <v>70</v>
      </c>
      <c r="G36" s="44">
        <v>2224</v>
      </c>
      <c r="H36" s="412"/>
    </row>
    <row r="37" spans="1:8" x14ac:dyDescent="0.25">
      <c r="A37" s="198"/>
      <c r="B37" s="411" t="s">
        <v>97</v>
      </c>
      <c r="C37" s="44">
        <v>1202</v>
      </c>
      <c r="D37" s="416"/>
      <c r="E37" s="198"/>
      <c r="F37" s="426" t="s">
        <v>98</v>
      </c>
      <c r="G37" s="409"/>
      <c r="H37" s="405">
        <f>SUM(H38,H41)</f>
        <v>0</v>
      </c>
    </row>
    <row r="38" spans="1:8" ht="25.5" x14ac:dyDescent="0.25">
      <c r="A38" s="198"/>
      <c r="B38" s="411" t="s">
        <v>99</v>
      </c>
      <c r="C38" s="44">
        <v>1203</v>
      </c>
      <c r="D38" s="412"/>
      <c r="E38" s="198"/>
      <c r="F38" s="426" t="s">
        <v>100</v>
      </c>
      <c r="G38" s="409"/>
      <c r="H38" s="410">
        <f>SUM(H39:H40)</f>
        <v>0</v>
      </c>
    </row>
    <row r="39" spans="1:8" x14ac:dyDescent="0.25">
      <c r="A39" s="198"/>
      <c r="B39" s="411" t="s">
        <v>101</v>
      </c>
      <c r="C39" s="44">
        <v>1204</v>
      </c>
      <c r="D39" s="412"/>
      <c r="E39" s="198"/>
      <c r="F39" s="417" t="s">
        <v>80</v>
      </c>
      <c r="G39" s="44">
        <v>2231</v>
      </c>
      <c r="H39" s="412"/>
    </row>
    <row r="40" spans="1:8" x14ac:dyDescent="0.25">
      <c r="A40" s="198"/>
      <c r="B40" s="411" t="s">
        <v>102</v>
      </c>
      <c r="C40" s="44">
        <v>1205</v>
      </c>
      <c r="D40" s="412"/>
      <c r="E40" s="198"/>
      <c r="F40" s="417" t="s">
        <v>82</v>
      </c>
      <c r="G40" s="44">
        <v>2233</v>
      </c>
      <c r="H40" s="412"/>
    </row>
    <row r="41" spans="1:8" ht="25.5" x14ac:dyDescent="0.25">
      <c r="A41" s="198"/>
      <c r="B41" s="408" t="s">
        <v>103</v>
      </c>
      <c r="C41" s="409"/>
      <c r="D41" s="410">
        <f>SUM(D42:D46)</f>
        <v>0</v>
      </c>
      <c r="E41" s="198"/>
      <c r="F41" s="426" t="s">
        <v>104</v>
      </c>
      <c r="G41" s="409"/>
      <c r="H41" s="410">
        <f>SUM(H42:H43)</f>
        <v>0</v>
      </c>
    </row>
    <row r="42" spans="1:8" x14ac:dyDescent="0.25">
      <c r="A42" s="198"/>
      <c r="B42" s="411" t="s">
        <v>96</v>
      </c>
      <c r="C42" s="44">
        <v>1211</v>
      </c>
      <c r="D42" s="412"/>
      <c r="E42" s="198"/>
      <c r="F42" s="417" t="s">
        <v>80</v>
      </c>
      <c r="G42" s="44">
        <v>2232</v>
      </c>
      <c r="H42" s="412"/>
    </row>
    <row r="43" spans="1:8" x14ac:dyDescent="0.25">
      <c r="A43" s="198"/>
      <c r="B43" s="411" t="s">
        <v>97</v>
      </c>
      <c r="C43" s="44">
        <v>1212</v>
      </c>
      <c r="D43" s="416"/>
      <c r="E43" s="428"/>
      <c r="F43" s="417" t="s">
        <v>82</v>
      </c>
      <c r="G43" s="44">
        <v>2234</v>
      </c>
      <c r="H43" s="412"/>
    </row>
    <row r="44" spans="1:8" ht="25.5" x14ac:dyDescent="0.25">
      <c r="A44" s="198"/>
      <c r="B44" s="411" t="s">
        <v>99</v>
      </c>
      <c r="C44" s="44">
        <v>1213</v>
      </c>
      <c r="D44" s="412"/>
      <c r="E44" s="198"/>
      <c r="F44" s="427" t="s">
        <v>105</v>
      </c>
      <c r="G44" s="409"/>
      <c r="H44" s="405">
        <f>SUM(H45,H52)</f>
        <v>0</v>
      </c>
    </row>
    <row r="45" spans="1:8" x14ac:dyDescent="0.25">
      <c r="A45" s="198"/>
      <c r="B45" s="411" t="s">
        <v>101</v>
      </c>
      <c r="C45" s="44">
        <v>1214</v>
      </c>
      <c r="D45" s="412"/>
      <c r="E45" s="198"/>
      <c r="F45" s="426" t="s">
        <v>106</v>
      </c>
      <c r="G45" s="409"/>
      <c r="H45" s="405">
        <f>SUM(H46,H49)</f>
        <v>0</v>
      </c>
    </row>
    <row r="46" spans="1:8" x14ac:dyDescent="0.25">
      <c r="A46" s="198"/>
      <c r="B46" s="411" t="s">
        <v>102</v>
      </c>
      <c r="C46" s="44">
        <v>1215</v>
      </c>
      <c r="D46" s="412"/>
      <c r="E46" s="198"/>
      <c r="F46" s="426" t="s">
        <v>72</v>
      </c>
      <c r="G46" s="409"/>
      <c r="H46" s="410">
        <f>SUM(H47:H48)</f>
        <v>0</v>
      </c>
    </row>
    <row r="47" spans="1:8" x14ac:dyDescent="0.25">
      <c r="A47" s="198"/>
      <c r="B47" s="408" t="s">
        <v>107</v>
      </c>
      <c r="C47" s="409"/>
      <c r="D47" s="410">
        <f>+D48-D49</f>
        <v>0</v>
      </c>
      <c r="E47" s="198"/>
      <c r="F47" s="417" t="s">
        <v>68</v>
      </c>
      <c r="G47" s="44">
        <v>2242</v>
      </c>
      <c r="H47" s="412"/>
    </row>
    <row r="48" spans="1:8" x14ac:dyDescent="0.25">
      <c r="A48" s="198"/>
      <c r="B48" s="411" t="s">
        <v>108</v>
      </c>
      <c r="C48" s="44">
        <v>1221</v>
      </c>
      <c r="D48" s="412"/>
      <c r="E48" s="198"/>
      <c r="F48" s="417" t="s">
        <v>70</v>
      </c>
      <c r="G48" s="44">
        <v>2244</v>
      </c>
      <c r="H48" s="412"/>
    </row>
    <row r="49" spans="1:8" x14ac:dyDescent="0.25">
      <c r="A49" s="198"/>
      <c r="B49" s="411" t="s">
        <v>109</v>
      </c>
      <c r="C49" s="44">
        <v>1222</v>
      </c>
      <c r="D49" s="412"/>
      <c r="E49" s="198"/>
      <c r="F49" s="426" t="s">
        <v>110</v>
      </c>
      <c r="G49" s="409"/>
      <c r="H49" s="410">
        <f>SUM(H50:H51)</f>
        <v>0</v>
      </c>
    </row>
    <row r="50" spans="1:8" x14ac:dyDescent="0.25">
      <c r="A50" s="198"/>
      <c r="B50" s="413" t="s">
        <v>111</v>
      </c>
      <c r="C50" s="409"/>
      <c r="D50" s="414">
        <f>+D51</f>
        <v>0</v>
      </c>
      <c r="E50" s="198"/>
      <c r="F50" s="417" t="s">
        <v>80</v>
      </c>
      <c r="G50" s="44">
        <v>2252</v>
      </c>
      <c r="H50" s="412"/>
    </row>
    <row r="51" spans="1:8" x14ac:dyDescent="0.25">
      <c r="A51" s="198"/>
      <c r="B51" s="199" t="s">
        <v>112</v>
      </c>
      <c r="C51" s="415">
        <v>1299</v>
      </c>
      <c r="D51" s="412"/>
      <c r="E51" s="198"/>
      <c r="F51" s="417" t="s">
        <v>82</v>
      </c>
      <c r="G51" s="44">
        <v>2254</v>
      </c>
      <c r="H51" s="412"/>
    </row>
    <row r="52" spans="1:8" ht="25.5" x14ac:dyDescent="0.25">
      <c r="A52" s="709" t="s">
        <v>113</v>
      </c>
      <c r="B52" s="709"/>
      <c r="C52" s="406"/>
      <c r="D52" s="405">
        <f>SUM(D53,D61,D69,D77,D85,-D134)</f>
        <v>0</v>
      </c>
      <c r="E52" s="198"/>
      <c r="F52" s="426" t="s">
        <v>114</v>
      </c>
      <c r="G52" s="409"/>
      <c r="H52" s="405">
        <f>SUM(H53,H56)</f>
        <v>0</v>
      </c>
    </row>
    <row r="53" spans="1:8" x14ac:dyDescent="0.25">
      <c r="A53" s="198"/>
      <c r="B53" s="408" t="s">
        <v>115</v>
      </c>
      <c r="C53" s="409"/>
      <c r="D53" s="410">
        <f>SUM(D54:D60)</f>
        <v>0</v>
      </c>
      <c r="E53" s="198"/>
      <c r="F53" s="426" t="s">
        <v>94</v>
      </c>
      <c r="G53" s="409"/>
      <c r="H53" s="410">
        <f>SUM(H54:H55)</f>
        <v>0</v>
      </c>
    </row>
    <row r="54" spans="1:8" ht="25.5" x14ac:dyDescent="0.25">
      <c r="A54" s="198"/>
      <c r="B54" s="411" t="s">
        <v>116</v>
      </c>
      <c r="C54" s="44">
        <v>1301</v>
      </c>
      <c r="D54" s="412"/>
      <c r="E54" s="198"/>
      <c r="F54" s="417" t="s">
        <v>117</v>
      </c>
      <c r="G54" s="44">
        <v>2262</v>
      </c>
      <c r="H54" s="412"/>
    </row>
    <row r="55" spans="1:8" ht="25.5" x14ac:dyDescent="0.25">
      <c r="A55" s="198"/>
      <c r="B55" s="411" t="s">
        <v>118</v>
      </c>
      <c r="C55" s="44">
        <v>1303</v>
      </c>
      <c r="D55" s="412"/>
      <c r="E55" s="198"/>
      <c r="F55" s="417" t="s">
        <v>119</v>
      </c>
      <c r="G55" s="44">
        <v>2264</v>
      </c>
      <c r="H55" s="412"/>
    </row>
    <row r="56" spans="1:8" ht="25.5" x14ac:dyDescent="0.25">
      <c r="A56" s="198"/>
      <c r="B56" s="411" t="s">
        <v>120</v>
      </c>
      <c r="C56" s="44">
        <v>1305</v>
      </c>
      <c r="D56" s="412"/>
      <c r="E56" s="198"/>
      <c r="F56" s="426" t="s">
        <v>121</v>
      </c>
      <c r="G56" s="409"/>
      <c r="H56" s="410">
        <f>SUM(H57:H58)</f>
        <v>0</v>
      </c>
    </row>
    <row r="57" spans="1:8" ht="25.5" x14ac:dyDescent="0.25">
      <c r="A57" s="198"/>
      <c r="B57" s="411" t="s">
        <v>122</v>
      </c>
      <c r="C57" s="44">
        <v>1307</v>
      </c>
      <c r="D57" s="412"/>
      <c r="E57" s="198"/>
      <c r="F57" s="417" t="s">
        <v>123</v>
      </c>
      <c r="G57" s="44">
        <v>2272</v>
      </c>
      <c r="H57" s="412"/>
    </row>
    <row r="58" spans="1:8" ht="25.5" x14ac:dyDescent="0.25">
      <c r="A58" s="198"/>
      <c r="B58" s="411" t="s">
        <v>124</v>
      </c>
      <c r="C58" s="44">
        <v>1309</v>
      </c>
      <c r="D58" s="412"/>
      <c r="E58" s="198"/>
      <c r="F58" s="417" t="s">
        <v>125</v>
      </c>
      <c r="G58" s="44">
        <v>2274</v>
      </c>
      <c r="H58" s="412"/>
    </row>
    <row r="59" spans="1:8" x14ac:dyDescent="0.25">
      <c r="A59" s="198"/>
      <c r="B59" s="411" t="s">
        <v>126</v>
      </c>
      <c r="C59" s="44">
        <v>1311</v>
      </c>
      <c r="D59" s="412"/>
      <c r="E59" s="709" t="s">
        <v>127</v>
      </c>
      <c r="F59" s="709"/>
      <c r="G59" s="406"/>
      <c r="H59" s="405">
        <f>SUM(H60,H63,H66,H69,H72)</f>
        <v>0</v>
      </c>
    </row>
    <row r="60" spans="1:8" x14ac:dyDescent="0.25">
      <c r="A60" s="198"/>
      <c r="B60" s="411" t="s">
        <v>128</v>
      </c>
      <c r="C60" s="44">
        <v>1313</v>
      </c>
      <c r="D60" s="412"/>
      <c r="E60" s="198"/>
      <c r="F60" s="426" t="s">
        <v>129</v>
      </c>
      <c r="G60" s="409"/>
      <c r="H60" s="410">
        <f>SUM(H61:H62)</f>
        <v>0</v>
      </c>
    </row>
    <row r="61" spans="1:8" x14ac:dyDescent="0.25">
      <c r="A61" s="198"/>
      <c r="B61" s="408" t="s">
        <v>130</v>
      </c>
      <c r="C61" s="409"/>
      <c r="D61" s="410">
        <f>SUM(D62:D68)</f>
        <v>0</v>
      </c>
      <c r="E61" s="198"/>
      <c r="F61" s="417" t="s">
        <v>131</v>
      </c>
      <c r="G61" s="44">
        <v>2301</v>
      </c>
      <c r="H61" s="412"/>
    </row>
    <row r="62" spans="1:8" x14ac:dyDescent="0.25">
      <c r="A62" s="198"/>
      <c r="B62" s="411" t="s">
        <v>116</v>
      </c>
      <c r="C62" s="44">
        <v>1302</v>
      </c>
      <c r="D62" s="412"/>
      <c r="E62" s="198"/>
      <c r="F62" s="417" t="s">
        <v>132</v>
      </c>
      <c r="G62" s="44">
        <v>2302</v>
      </c>
      <c r="H62" s="412"/>
    </row>
    <row r="63" spans="1:8" x14ac:dyDescent="0.25">
      <c r="A63" s="198"/>
      <c r="B63" s="411" t="s">
        <v>118</v>
      </c>
      <c r="C63" s="44">
        <v>1304</v>
      </c>
      <c r="D63" s="412"/>
      <c r="E63" s="198"/>
      <c r="F63" s="426" t="s">
        <v>133</v>
      </c>
      <c r="G63" s="409"/>
      <c r="H63" s="410">
        <f>SUM(H64:H65)</f>
        <v>0</v>
      </c>
    </row>
    <row r="64" spans="1:8" x14ac:dyDescent="0.25">
      <c r="A64" s="198"/>
      <c r="B64" s="411" t="s">
        <v>120</v>
      </c>
      <c r="C64" s="44">
        <v>1306</v>
      </c>
      <c r="D64" s="412"/>
      <c r="E64" s="198"/>
      <c r="F64" s="417" t="s">
        <v>134</v>
      </c>
      <c r="G64" s="44">
        <v>2311</v>
      </c>
      <c r="H64" s="412"/>
    </row>
    <row r="65" spans="1:9" x14ac:dyDescent="0.25">
      <c r="A65" s="198"/>
      <c r="B65" s="411" t="s">
        <v>122</v>
      </c>
      <c r="C65" s="44">
        <v>1308</v>
      </c>
      <c r="D65" s="412"/>
      <c r="E65" s="198"/>
      <c r="F65" s="417" t="s">
        <v>135</v>
      </c>
      <c r="G65" s="44">
        <v>2312</v>
      </c>
      <c r="H65" s="412"/>
    </row>
    <row r="66" spans="1:9" x14ac:dyDescent="0.25">
      <c r="A66" s="198"/>
      <c r="B66" s="411" t="s">
        <v>124</v>
      </c>
      <c r="C66" s="44">
        <v>1310</v>
      </c>
      <c r="D66" s="412"/>
      <c r="E66" s="198"/>
      <c r="F66" s="426" t="s">
        <v>136</v>
      </c>
      <c r="G66" s="409"/>
      <c r="H66" s="410">
        <f>SUM(H67:H68)</f>
        <v>0</v>
      </c>
    </row>
    <row r="67" spans="1:9" x14ac:dyDescent="0.25">
      <c r="A67" s="198"/>
      <c r="B67" s="411" t="s">
        <v>126</v>
      </c>
      <c r="C67" s="44">
        <v>1312</v>
      </c>
      <c r="D67" s="412"/>
      <c r="E67" s="198"/>
      <c r="F67" s="417" t="s">
        <v>137</v>
      </c>
      <c r="G67" s="44">
        <v>2321</v>
      </c>
      <c r="H67" s="412"/>
    </row>
    <row r="68" spans="1:9" x14ac:dyDescent="0.25">
      <c r="A68" s="198"/>
      <c r="B68" s="411" t="s">
        <v>128</v>
      </c>
      <c r="C68" s="44">
        <v>1314</v>
      </c>
      <c r="D68" s="412"/>
      <c r="E68" s="198"/>
      <c r="F68" s="417" t="s">
        <v>138</v>
      </c>
      <c r="G68" s="44">
        <v>2322</v>
      </c>
      <c r="H68" s="412"/>
    </row>
    <row r="69" spans="1:9" x14ac:dyDescent="0.25">
      <c r="A69" s="198"/>
      <c r="B69" s="408" t="s">
        <v>1166</v>
      </c>
      <c r="C69" s="409"/>
      <c r="D69" s="410">
        <f>SUM(D70:D76)</f>
        <v>0</v>
      </c>
      <c r="E69" s="198"/>
      <c r="F69" s="426" t="s">
        <v>139</v>
      </c>
      <c r="G69" s="409"/>
      <c r="H69" s="410">
        <f>SUM(H70:H71)</f>
        <v>0</v>
      </c>
    </row>
    <row r="70" spans="1:9" x14ac:dyDescent="0.25">
      <c r="A70" s="198"/>
      <c r="B70" s="411" t="s">
        <v>116</v>
      </c>
      <c r="C70" s="44">
        <v>1321</v>
      </c>
      <c r="D70" s="412"/>
      <c r="E70" s="198"/>
      <c r="F70" s="417" t="s">
        <v>140</v>
      </c>
      <c r="G70" s="44">
        <v>2331</v>
      </c>
      <c r="H70" s="412"/>
    </row>
    <row r="71" spans="1:9" x14ac:dyDescent="0.25">
      <c r="A71" s="198"/>
      <c r="B71" s="411" t="s">
        <v>118</v>
      </c>
      <c r="C71" s="44">
        <v>1323</v>
      </c>
      <c r="D71" s="412"/>
      <c r="E71" s="198"/>
      <c r="F71" s="417" t="s">
        <v>141</v>
      </c>
      <c r="G71" s="44">
        <v>2332</v>
      </c>
      <c r="H71" s="412"/>
    </row>
    <row r="72" spans="1:9" x14ac:dyDescent="0.25">
      <c r="A72" s="198"/>
      <c r="B72" s="411" t="s">
        <v>120</v>
      </c>
      <c r="C72" s="44">
        <v>1325</v>
      </c>
      <c r="D72" s="412"/>
      <c r="E72" s="198"/>
      <c r="F72" s="426" t="s">
        <v>142</v>
      </c>
      <c r="G72" s="409"/>
      <c r="H72" s="410">
        <f>SUM(H73:H74)</f>
        <v>0</v>
      </c>
    </row>
    <row r="73" spans="1:9" x14ac:dyDescent="0.25">
      <c r="A73" s="198"/>
      <c r="B73" s="411" t="s">
        <v>122</v>
      </c>
      <c r="C73" s="44">
        <v>1327</v>
      </c>
      <c r="D73" s="412"/>
      <c r="E73" s="198"/>
      <c r="F73" s="417" t="s">
        <v>143</v>
      </c>
      <c r="G73" s="44">
        <v>2341</v>
      </c>
      <c r="H73" s="412"/>
    </row>
    <row r="74" spans="1:9" x14ac:dyDescent="0.25">
      <c r="A74" s="198"/>
      <c r="B74" s="411" t="s">
        <v>124</v>
      </c>
      <c r="C74" s="44">
        <v>1329</v>
      </c>
      <c r="D74" s="412"/>
      <c r="E74" s="198"/>
      <c r="F74" s="417" t="s">
        <v>144</v>
      </c>
      <c r="G74" s="44">
        <v>2342</v>
      </c>
      <c r="H74" s="412"/>
    </row>
    <row r="75" spans="1:9" x14ac:dyDescent="0.25">
      <c r="A75" s="198"/>
      <c r="B75" s="411" t="s">
        <v>126</v>
      </c>
      <c r="C75" s="44">
        <v>1331</v>
      </c>
      <c r="D75" s="412"/>
      <c r="E75" s="709" t="s">
        <v>145</v>
      </c>
      <c r="F75" s="709"/>
      <c r="G75" s="409"/>
      <c r="H75" s="405">
        <f>SUM(H76:H77)</f>
        <v>0</v>
      </c>
      <c r="I75" s="582" t="str">
        <f>IF(H75&gt;0,IF(Bond!I28&gt;0,"","Өрийн бичгийн тайланг нөхнө үү!"),"")</f>
        <v/>
      </c>
    </row>
    <row r="76" spans="1:9" x14ac:dyDescent="0.25">
      <c r="A76" s="198"/>
      <c r="B76" s="411" t="s">
        <v>128</v>
      </c>
      <c r="C76" s="44">
        <v>1333</v>
      </c>
      <c r="D76" s="412"/>
      <c r="E76" s="198"/>
      <c r="F76" s="417" t="s">
        <v>146</v>
      </c>
      <c r="G76" s="44">
        <v>2401</v>
      </c>
      <c r="H76" s="412"/>
    </row>
    <row r="77" spans="1:9" x14ac:dyDescent="0.25">
      <c r="A77" s="198"/>
      <c r="B77" s="408" t="s">
        <v>1167</v>
      </c>
      <c r="C77" s="409"/>
      <c r="D77" s="410">
        <f>SUM(D78:D84)</f>
        <v>0</v>
      </c>
      <c r="E77" s="198"/>
      <c r="F77" s="417" t="s">
        <v>147</v>
      </c>
      <c r="G77" s="44">
        <v>2402</v>
      </c>
      <c r="H77" s="412"/>
    </row>
    <row r="78" spans="1:9" x14ac:dyDescent="0.25">
      <c r="A78" s="198"/>
      <c r="B78" s="411" t="s">
        <v>116</v>
      </c>
      <c r="C78" s="44">
        <v>1322</v>
      </c>
      <c r="D78" s="412"/>
      <c r="E78" s="709" t="s">
        <v>148</v>
      </c>
      <c r="F78" s="709"/>
      <c r="G78" s="409"/>
      <c r="H78" s="410">
        <f>SUM(H79,H92)</f>
        <v>0</v>
      </c>
      <c r="I78" s="582" t="str">
        <f>IF(H78&gt;0,IF(Source!K28&gt;0,"","Банк, санхүүгийн байгууллага, төсөл хөтөлбөр, бусад эх үүсвэрээс татсан зээлийн тайланг нөхнө үү!"),"")</f>
        <v/>
      </c>
    </row>
    <row r="79" spans="1:9" x14ac:dyDescent="0.25">
      <c r="A79" s="198"/>
      <c r="B79" s="411" t="s">
        <v>118</v>
      </c>
      <c r="C79" s="44">
        <v>1324</v>
      </c>
      <c r="D79" s="412"/>
      <c r="E79" s="198"/>
      <c r="F79" s="426" t="s">
        <v>149</v>
      </c>
      <c r="G79" s="409"/>
      <c r="H79" s="410">
        <f>SUM(H80,H83,H86,H89)</f>
        <v>0</v>
      </c>
    </row>
    <row r="80" spans="1:9" x14ac:dyDescent="0.25">
      <c r="A80" s="198"/>
      <c r="B80" s="411" t="s">
        <v>150</v>
      </c>
      <c r="C80" s="44">
        <v>1326</v>
      </c>
      <c r="D80" s="412"/>
      <c r="E80" s="198"/>
      <c r="F80" s="426" t="s">
        <v>151</v>
      </c>
      <c r="G80" s="409"/>
      <c r="H80" s="410">
        <f>SUM(H81:H82)</f>
        <v>0</v>
      </c>
    </row>
    <row r="81" spans="1:8" x14ac:dyDescent="0.25">
      <c r="A81" s="198"/>
      <c r="B81" s="411" t="s">
        <v>122</v>
      </c>
      <c r="C81" s="44">
        <v>1328</v>
      </c>
      <c r="D81" s="412"/>
      <c r="E81" s="198"/>
      <c r="F81" s="417" t="s">
        <v>152</v>
      </c>
      <c r="G81" s="44">
        <v>2501</v>
      </c>
      <c r="H81" s="412"/>
    </row>
    <row r="82" spans="1:8" x14ac:dyDescent="0.25">
      <c r="A82" s="198"/>
      <c r="B82" s="411" t="s">
        <v>124</v>
      </c>
      <c r="C82" s="44">
        <v>1330</v>
      </c>
      <c r="D82" s="412"/>
      <c r="E82" s="198"/>
      <c r="F82" s="417" t="s">
        <v>153</v>
      </c>
      <c r="G82" s="44">
        <v>2502</v>
      </c>
      <c r="H82" s="412"/>
    </row>
    <row r="83" spans="1:8" x14ac:dyDescent="0.25">
      <c r="A83" s="198"/>
      <c r="B83" s="411" t="s">
        <v>126</v>
      </c>
      <c r="C83" s="44">
        <v>1332</v>
      </c>
      <c r="D83" s="412"/>
      <c r="E83" s="198"/>
      <c r="F83" s="426" t="s">
        <v>154</v>
      </c>
      <c r="G83" s="409"/>
      <c r="H83" s="410">
        <f>SUM(H84:H85)</f>
        <v>0</v>
      </c>
    </row>
    <row r="84" spans="1:8" x14ac:dyDescent="0.25">
      <c r="A84" s="198"/>
      <c r="B84" s="411" t="s">
        <v>128</v>
      </c>
      <c r="C84" s="44">
        <v>1334</v>
      </c>
      <c r="D84" s="412"/>
      <c r="E84" s="198"/>
      <c r="F84" s="417" t="s">
        <v>155</v>
      </c>
      <c r="G84" s="44">
        <v>2511</v>
      </c>
      <c r="H84" s="412"/>
    </row>
    <row r="85" spans="1:8" x14ac:dyDescent="0.25">
      <c r="A85" s="198"/>
      <c r="B85" s="408" t="s">
        <v>156</v>
      </c>
      <c r="C85" s="409"/>
      <c r="D85" s="410">
        <f>SUM(D86,D94,D102,D110,D118,D126)</f>
        <v>0</v>
      </c>
      <c r="E85" s="198"/>
      <c r="F85" s="417" t="s">
        <v>157</v>
      </c>
      <c r="G85" s="44">
        <v>2512</v>
      </c>
      <c r="H85" s="412"/>
    </row>
    <row r="86" spans="1:8" x14ac:dyDescent="0.25">
      <c r="A86" s="198"/>
      <c r="B86" s="408" t="s">
        <v>158</v>
      </c>
      <c r="C86" s="409"/>
      <c r="D86" s="410">
        <f>SUM(D87:D93)</f>
        <v>0</v>
      </c>
      <c r="E86" s="198"/>
      <c r="F86" s="426" t="s">
        <v>159</v>
      </c>
      <c r="G86" s="409"/>
      <c r="H86" s="410">
        <f>SUM(H87:H88)</f>
        <v>0</v>
      </c>
    </row>
    <row r="87" spans="1:8" x14ac:dyDescent="0.25">
      <c r="A87" s="198"/>
      <c r="B87" s="411" t="s">
        <v>116</v>
      </c>
      <c r="C87" s="44">
        <v>1341</v>
      </c>
      <c r="D87" s="412"/>
      <c r="E87" s="198"/>
      <c r="F87" s="417" t="s">
        <v>160</v>
      </c>
      <c r="G87" s="44">
        <v>2521</v>
      </c>
      <c r="H87" s="412"/>
    </row>
    <row r="88" spans="1:8" x14ac:dyDescent="0.25">
      <c r="A88" s="198"/>
      <c r="B88" s="411" t="s">
        <v>118</v>
      </c>
      <c r="C88" s="44">
        <v>1343</v>
      </c>
      <c r="D88" s="412"/>
      <c r="E88" s="198"/>
      <c r="F88" s="417" t="s">
        <v>161</v>
      </c>
      <c r="G88" s="44">
        <v>2522</v>
      </c>
      <c r="H88" s="412"/>
    </row>
    <row r="89" spans="1:8" x14ac:dyDescent="0.25">
      <c r="A89" s="198"/>
      <c r="B89" s="411" t="s">
        <v>150</v>
      </c>
      <c r="C89" s="44">
        <v>1345</v>
      </c>
      <c r="D89" s="412"/>
      <c r="E89" s="198"/>
      <c r="F89" s="426" t="s">
        <v>162</v>
      </c>
      <c r="G89" s="409"/>
      <c r="H89" s="410">
        <f>SUM(H90:H91)</f>
        <v>0</v>
      </c>
    </row>
    <row r="90" spans="1:8" x14ac:dyDescent="0.25">
      <c r="A90" s="198"/>
      <c r="B90" s="411" t="s">
        <v>122</v>
      </c>
      <c r="C90" s="44">
        <v>1347</v>
      </c>
      <c r="D90" s="412"/>
      <c r="E90" s="198"/>
      <c r="F90" s="417" t="s">
        <v>163</v>
      </c>
      <c r="G90" s="44">
        <v>2531</v>
      </c>
      <c r="H90" s="412"/>
    </row>
    <row r="91" spans="1:8" x14ac:dyDescent="0.25">
      <c r="A91" s="198"/>
      <c r="B91" s="411" t="s">
        <v>124</v>
      </c>
      <c r="C91" s="44">
        <v>1349</v>
      </c>
      <c r="D91" s="412"/>
      <c r="E91" s="198"/>
      <c r="F91" s="417" t="s">
        <v>164</v>
      </c>
      <c r="G91" s="44">
        <v>2532</v>
      </c>
      <c r="H91" s="412"/>
    </row>
    <row r="92" spans="1:8" x14ac:dyDescent="0.25">
      <c r="A92" s="198"/>
      <c r="B92" s="411" t="s">
        <v>126</v>
      </c>
      <c r="C92" s="44">
        <v>1351</v>
      </c>
      <c r="D92" s="412"/>
      <c r="E92" s="198"/>
      <c r="F92" s="426" t="s">
        <v>165</v>
      </c>
      <c r="G92" s="409"/>
      <c r="H92" s="405">
        <f>SUM(H93,H96,H99,H102)</f>
        <v>0</v>
      </c>
    </row>
    <row r="93" spans="1:8" x14ac:dyDescent="0.25">
      <c r="A93" s="198"/>
      <c r="B93" s="411" t="s">
        <v>128</v>
      </c>
      <c r="C93" s="44">
        <v>1353</v>
      </c>
      <c r="D93" s="412"/>
      <c r="E93" s="198"/>
      <c r="F93" s="426" t="s">
        <v>151</v>
      </c>
      <c r="G93" s="409"/>
      <c r="H93" s="410">
        <f>SUM(H94:H95)</f>
        <v>0</v>
      </c>
    </row>
    <row r="94" spans="1:8" x14ac:dyDescent="0.25">
      <c r="A94" s="198"/>
      <c r="B94" s="408" t="s">
        <v>166</v>
      </c>
      <c r="C94" s="409"/>
      <c r="D94" s="410">
        <f>SUM(D95:D101)</f>
        <v>0</v>
      </c>
      <c r="E94" s="198"/>
      <c r="F94" s="417" t="s">
        <v>152</v>
      </c>
      <c r="G94" s="44">
        <v>2541</v>
      </c>
      <c r="H94" s="412"/>
    </row>
    <row r="95" spans="1:8" x14ac:dyDescent="0.25">
      <c r="A95" s="198"/>
      <c r="B95" s="411" t="s">
        <v>116</v>
      </c>
      <c r="C95" s="44">
        <v>1342</v>
      </c>
      <c r="D95" s="412"/>
      <c r="E95" s="198"/>
      <c r="F95" s="417" t="s">
        <v>153</v>
      </c>
      <c r="G95" s="44">
        <v>2542</v>
      </c>
      <c r="H95" s="412"/>
    </row>
    <row r="96" spans="1:8" x14ac:dyDescent="0.25">
      <c r="A96" s="198"/>
      <c r="B96" s="411" t="s">
        <v>118</v>
      </c>
      <c r="C96" s="44">
        <v>1344</v>
      </c>
      <c r="D96" s="412"/>
      <c r="E96" s="198"/>
      <c r="F96" s="426" t="s">
        <v>154</v>
      </c>
      <c r="G96" s="409"/>
      <c r="H96" s="410">
        <f>SUM(H97:H98)</f>
        <v>0</v>
      </c>
    </row>
    <row r="97" spans="1:8" x14ac:dyDescent="0.25">
      <c r="A97" s="198"/>
      <c r="B97" s="411" t="s">
        <v>150</v>
      </c>
      <c r="C97" s="44">
        <v>1346</v>
      </c>
      <c r="D97" s="412"/>
      <c r="E97" s="198"/>
      <c r="F97" s="417" t="s">
        <v>155</v>
      </c>
      <c r="G97" s="44">
        <v>2551</v>
      </c>
      <c r="H97" s="412"/>
    </row>
    <row r="98" spans="1:8" x14ac:dyDescent="0.25">
      <c r="A98" s="198"/>
      <c r="B98" s="411" t="s">
        <v>122</v>
      </c>
      <c r="C98" s="44">
        <v>1348</v>
      </c>
      <c r="D98" s="412"/>
      <c r="E98" s="198"/>
      <c r="F98" s="417" t="s">
        <v>157</v>
      </c>
      <c r="G98" s="44">
        <v>2552</v>
      </c>
      <c r="H98" s="412"/>
    </row>
    <row r="99" spans="1:8" x14ac:dyDescent="0.25">
      <c r="A99" s="198"/>
      <c r="B99" s="411" t="s">
        <v>124</v>
      </c>
      <c r="C99" s="44">
        <v>1350</v>
      </c>
      <c r="D99" s="412"/>
      <c r="E99" s="198"/>
      <c r="F99" s="426" t="s">
        <v>159</v>
      </c>
      <c r="G99" s="409"/>
      <c r="H99" s="410">
        <f>SUM(H100:H101)</f>
        <v>0</v>
      </c>
    </row>
    <row r="100" spans="1:8" x14ac:dyDescent="0.25">
      <c r="A100" s="198"/>
      <c r="B100" s="411" t="s">
        <v>126</v>
      </c>
      <c r="C100" s="44">
        <v>1352</v>
      </c>
      <c r="D100" s="412"/>
      <c r="E100" s="198"/>
      <c r="F100" s="417" t="s">
        <v>160</v>
      </c>
      <c r="G100" s="44">
        <v>2561</v>
      </c>
      <c r="H100" s="412"/>
    </row>
    <row r="101" spans="1:8" x14ac:dyDescent="0.25">
      <c r="A101" s="198"/>
      <c r="B101" s="411" t="s">
        <v>128</v>
      </c>
      <c r="C101" s="44">
        <v>1354</v>
      </c>
      <c r="D101" s="412"/>
      <c r="E101" s="198"/>
      <c r="F101" s="417" t="s">
        <v>161</v>
      </c>
      <c r="G101" s="44">
        <v>2562</v>
      </c>
      <c r="H101" s="412"/>
    </row>
    <row r="102" spans="1:8" x14ac:dyDescent="0.25">
      <c r="A102" s="198"/>
      <c r="B102" s="408" t="s">
        <v>167</v>
      </c>
      <c r="C102" s="409"/>
      <c r="D102" s="410">
        <f>SUM(D103:D109)</f>
        <v>0</v>
      </c>
      <c r="E102" s="198"/>
      <c r="F102" s="426" t="s">
        <v>162</v>
      </c>
      <c r="G102" s="409"/>
      <c r="H102" s="410">
        <f>SUM(H103:H104)</f>
        <v>0</v>
      </c>
    </row>
    <row r="103" spans="1:8" x14ac:dyDescent="0.25">
      <c r="A103" s="198"/>
      <c r="B103" s="411" t="s">
        <v>116</v>
      </c>
      <c r="C103" s="44">
        <v>1361</v>
      </c>
      <c r="D103" s="412"/>
      <c r="E103" s="198"/>
      <c r="F103" s="417" t="s">
        <v>163</v>
      </c>
      <c r="G103" s="44">
        <v>2571</v>
      </c>
      <c r="H103" s="412"/>
    </row>
    <row r="104" spans="1:8" x14ac:dyDescent="0.25">
      <c r="A104" s="198"/>
      <c r="B104" s="411" t="s">
        <v>118</v>
      </c>
      <c r="C104" s="44">
        <v>1363</v>
      </c>
      <c r="D104" s="412"/>
      <c r="E104" s="198"/>
      <c r="F104" s="417" t="s">
        <v>164</v>
      </c>
      <c r="G104" s="44">
        <v>2572</v>
      </c>
      <c r="H104" s="412"/>
    </row>
    <row r="105" spans="1:8" x14ac:dyDescent="0.25">
      <c r="A105" s="198"/>
      <c r="B105" s="411" t="s">
        <v>150</v>
      </c>
      <c r="C105" s="44">
        <v>1365</v>
      </c>
      <c r="D105" s="412"/>
      <c r="E105" s="709" t="s">
        <v>168</v>
      </c>
      <c r="F105" s="709"/>
      <c r="G105" s="409"/>
      <c r="H105" s="405">
        <f>SUM(H106,H113,H121)</f>
        <v>0</v>
      </c>
    </row>
    <row r="106" spans="1:8" x14ac:dyDescent="0.25">
      <c r="A106" s="198"/>
      <c r="B106" s="411" t="s">
        <v>122</v>
      </c>
      <c r="C106" s="44">
        <v>1367</v>
      </c>
      <c r="D106" s="412"/>
      <c r="E106" s="198"/>
      <c r="F106" s="427" t="s">
        <v>169</v>
      </c>
      <c r="G106" s="409"/>
      <c r="H106" s="405">
        <f>SUM(H107:H112)</f>
        <v>0</v>
      </c>
    </row>
    <row r="107" spans="1:8" x14ac:dyDescent="0.25">
      <c r="A107" s="198"/>
      <c r="B107" s="411" t="s">
        <v>124</v>
      </c>
      <c r="C107" s="44">
        <v>1369</v>
      </c>
      <c r="D107" s="412"/>
      <c r="E107" s="198"/>
      <c r="F107" s="417" t="s">
        <v>170</v>
      </c>
      <c r="G107" s="44">
        <v>2601</v>
      </c>
      <c r="H107" s="412"/>
    </row>
    <row r="108" spans="1:8" x14ac:dyDescent="0.25">
      <c r="A108" s="198"/>
      <c r="B108" s="411" t="s">
        <v>126</v>
      </c>
      <c r="C108" s="44">
        <v>1371</v>
      </c>
      <c r="D108" s="412"/>
      <c r="E108" s="198"/>
      <c r="F108" s="417" t="s">
        <v>171</v>
      </c>
      <c r="G108" s="44">
        <v>2602</v>
      </c>
      <c r="H108" s="412"/>
    </row>
    <row r="109" spans="1:8" x14ac:dyDescent="0.25">
      <c r="A109" s="198"/>
      <c r="B109" s="411" t="s">
        <v>128</v>
      </c>
      <c r="C109" s="44">
        <v>1373</v>
      </c>
      <c r="D109" s="412"/>
      <c r="E109" s="198"/>
      <c r="F109" s="417" t="s">
        <v>172</v>
      </c>
      <c r="G109" s="44">
        <v>2611</v>
      </c>
      <c r="H109" s="412"/>
    </row>
    <row r="110" spans="1:8" x14ac:dyDescent="0.25">
      <c r="A110" s="198"/>
      <c r="B110" s="408" t="s">
        <v>173</v>
      </c>
      <c r="C110" s="409"/>
      <c r="D110" s="410">
        <f>SUM(D111:D117)</f>
        <v>0</v>
      </c>
      <c r="E110" s="198"/>
      <c r="F110" s="417" t="s">
        <v>174</v>
      </c>
      <c r="G110" s="44">
        <v>2612</v>
      </c>
      <c r="H110" s="412"/>
    </row>
    <row r="111" spans="1:8" x14ac:dyDescent="0.25">
      <c r="A111" s="198"/>
      <c r="B111" s="411" t="s">
        <v>116</v>
      </c>
      <c r="C111" s="44">
        <v>1362</v>
      </c>
      <c r="D111" s="412"/>
      <c r="E111" s="198"/>
      <c r="F111" s="417" t="s">
        <v>175</v>
      </c>
      <c r="G111" s="44">
        <v>2621</v>
      </c>
      <c r="H111" s="412"/>
    </row>
    <row r="112" spans="1:8" x14ac:dyDescent="0.25">
      <c r="A112" s="198"/>
      <c r="B112" s="411" t="s">
        <v>118</v>
      </c>
      <c r="C112" s="44">
        <v>1364</v>
      </c>
      <c r="D112" s="412"/>
      <c r="E112" s="198"/>
      <c r="F112" s="417" t="s">
        <v>176</v>
      </c>
      <c r="G112" s="44">
        <v>2622</v>
      </c>
      <c r="H112" s="412"/>
    </row>
    <row r="113" spans="1:8" x14ac:dyDescent="0.25">
      <c r="A113" s="198"/>
      <c r="B113" s="411" t="s">
        <v>150</v>
      </c>
      <c r="C113" s="44">
        <v>1366</v>
      </c>
      <c r="D113" s="412"/>
      <c r="E113" s="198"/>
      <c r="F113" s="427" t="s">
        <v>177</v>
      </c>
      <c r="G113" s="409"/>
      <c r="H113" s="405">
        <f>SUM(H114:H120)</f>
        <v>0</v>
      </c>
    </row>
    <row r="114" spans="1:8" x14ac:dyDescent="0.25">
      <c r="A114" s="198"/>
      <c r="B114" s="411" t="s">
        <v>122</v>
      </c>
      <c r="C114" s="44">
        <v>1368</v>
      </c>
      <c r="D114" s="412"/>
      <c r="E114" s="198"/>
      <c r="F114" s="417" t="s">
        <v>178</v>
      </c>
      <c r="G114" s="44">
        <v>2701</v>
      </c>
      <c r="H114" s="412"/>
    </row>
    <row r="115" spans="1:8" x14ac:dyDescent="0.25">
      <c r="A115" s="198"/>
      <c r="B115" s="411" t="s">
        <v>124</v>
      </c>
      <c r="C115" s="44">
        <v>1370</v>
      </c>
      <c r="D115" s="412"/>
      <c r="E115" s="198"/>
      <c r="F115" s="417" t="s">
        <v>179</v>
      </c>
      <c r="G115" s="44">
        <v>2702</v>
      </c>
      <c r="H115" s="412"/>
    </row>
    <row r="116" spans="1:8" x14ac:dyDescent="0.25">
      <c r="A116" s="198"/>
      <c r="B116" s="411" t="s">
        <v>126</v>
      </c>
      <c r="C116" s="44">
        <v>1372</v>
      </c>
      <c r="D116" s="412"/>
      <c r="E116" s="198"/>
      <c r="F116" s="417" t="s">
        <v>180</v>
      </c>
      <c r="G116" s="44">
        <v>2703</v>
      </c>
      <c r="H116" s="412"/>
    </row>
    <row r="117" spans="1:8" x14ac:dyDescent="0.25">
      <c r="A117" s="198"/>
      <c r="B117" s="411" t="s">
        <v>128</v>
      </c>
      <c r="C117" s="44">
        <v>1374</v>
      </c>
      <c r="D117" s="412"/>
      <c r="E117" s="198"/>
      <c r="F117" s="417" t="s">
        <v>181</v>
      </c>
      <c r="G117" s="44">
        <v>2704</v>
      </c>
      <c r="H117" s="412"/>
    </row>
    <row r="118" spans="1:8" x14ac:dyDescent="0.25">
      <c r="A118" s="198"/>
      <c r="B118" s="408" t="s">
        <v>182</v>
      </c>
      <c r="C118" s="409"/>
      <c r="D118" s="410">
        <f>SUM(D119:D125)</f>
        <v>0</v>
      </c>
      <c r="E118" s="198"/>
      <c r="F118" s="417" t="s">
        <v>183</v>
      </c>
      <c r="G118" s="44">
        <v>2705</v>
      </c>
      <c r="H118" s="412"/>
    </row>
    <row r="119" spans="1:8" x14ac:dyDescent="0.25">
      <c r="A119" s="198"/>
      <c r="B119" s="411" t="s">
        <v>116</v>
      </c>
      <c r="C119" s="44">
        <v>1381</v>
      </c>
      <c r="D119" s="412"/>
      <c r="E119" s="198"/>
      <c r="F119" s="417" t="s">
        <v>184</v>
      </c>
      <c r="G119" s="44">
        <v>2706</v>
      </c>
      <c r="H119" s="412"/>
    </row>
    <row r="120" spans="1:8" x14ac:dyDescent="0.25">
      <c r="A120" s="198"/>
      <c r="B120" s="411" t="s">
        <v>118</v>
      </c>
      <c r="C120" s="44">
        <v>1383</v>
      </c>
      <c r="D120" s="412"/>
      <c r="E120" s="198"/>
      <c r="F120" s="417" t="s">
        <v>185</v>
      </c>
      <c r="G120" s="44">
        <v>2707</v>
      </c>
      <c r="H120" s="412"/>
    </row>
    <row r="121" spans="1:8" x14ac:dyDescent="0.25">
      <c r="A121" s="198"/>
      <c r="B121" s="411" t="s">
        <v>150</v>
      </c>
      <c r="C121" s="44">
        <v>1385</v>
      </c>
      <c r="D121" s="412"/>
      <c r="E121" s="198"/>
      <c r="F121" s="427" t="s">
        <v>186</v>
      </c>
      <c r="G121" s="409"/>
      <c r="H121" s="405">
        <f>SUM(H122,H127)</f>
        <v>0</v>
      </c>
    </row>
    <row r="122" spans="1:8" x14ac:dyDescent="0.25">
      <c r="A122" s="198"/>
      <c r="B122" s="411" t="s">
        <v>122</v>
      </c>
      <c r="C122" s="44">
        <v>1387</v>
      </c>
      <c r="D122" s="412"/>
      <c r="E122" s="198"/>
      <c r="F122" s="426" t="s">
        <v>187</v>
      </c>
      <c r="G122" s="409"/>
      <c r="H122" s="410">
        <f>SUM(H123:H126)</f>
        <v>0</v>
      </c>
    </row>
    <row r="123" spans="1:8" x14ac:dyDescent="0.25">
      <c r="A123" s="198"/>
      <c r="B123" s="411" t="s">
        <v>124</v>
      </c>
      <c r="C123" s="44">
        <v>1389</v>
      </c>
      <c r="D123" s="412"/>
      <c r="E123" s="198"/>
      <c r="F123" s="417" t="s">
        <v>188</v>
      </c>
      <c r="G123" s="44">
        <v>2801</v>
      </c>
      <c r="H123" s="412"/>
    </row>
    <row r="124" spans="1:8" x14ac:dyDescent="0.25">
      <c r="A124" s="198"/>
      <c r="B124" s="411" t="s">
        <v>126</v>
      </c>
      <c r="C124" s="44">
        <v>1391</v>
      </c>
      <c r="D124" s="412"/>
      <c r="E124" s="198"/>
      <c r="F124" s="417" t="s">
        <v>189</v>
      </c>
      <c r="G124" s="44">
        <v>2802</v>
      </c>
      <c r="H124" s="412"/>
    </row>
    <row r="125" spans="1:8" x14ac:dyDescent="0.25">
      <c r="A125" s="198"/>
      <c r="B125" s="411" t="s">
        <v>128</v>
      </c>
      <c r="C125" s="44">
        <v>1393</v>
      </c>
      <c r="D125" s="412"/>
      <c r="E125" s="198"/>
      <c r="F125" s="417" t="s">
        <v>190</v>
      </c>
      <c r="G125" s="44">
        <v>2803</v>
      </c>
      <c r="H125" s="412"/>
    </row>
    <row r="126" spans="1:8" x14ac:dyDescent="0.25">
      <c r="A126" s="198"/>
      <c r="B126" s="408" t="s">
        <v>191</v>
      </c>
      <c r="C126" s="409"/>
      <c r="D126" s="410">
        <f>SUM(D127:D133)</f>
        <v>0</v>
      </c>
      <c r="E126" s="198"/>
      <c r="F126" s="417" t="s">
        <v>192</v>
      </c>
      <c r="G126" s="44">
        <v>2804</v>
      </c>
      <c r="H126" s="412"/>
    </row>
    <row r="127" spans="1:8" x14ac:dyDescent="0.25">
      <c r="A127" s="198"/>
      <c r="B127" s="411" t="s">
        <v>116</v>
      </c>
      <c r="C127" s="44">
        <v>1382</v>
      </c>
      <c r="D127" s="412"/>
      <c r="E127" s="198"/>
      <c r="F127" s="426" t="s">
        <v>193</v>
      </c>
      <c r="G127" s="409"/>
      <c r="H127" s="410">
        <f>SUM(H128:H131)</f>
        <v>0</v>
      </c>
    </row>
    <row r="128" spans="1:8" x14ac:dyDescent="0.25">
      <c r="A128" s="198"/>
      <c r="B128" s="411" t="s">
        <v>118</v>
      </c>
      <c r="C128" s="44">
        <v>1384</v>
      </c>
      <c r="D128" s="412"/>
      <c r="E128" s="198"/>
      <c r="F128" s="417" t="s">
        <v>188</v>
      </c>
      <c r="G128" s="44">
        <v>2811</v>
      </c>
      <c r="H128" s="412"/>
    </row>
    <row r="129" spans="1:8" x14ac:dyDescent="0.25">
      <c r="A129" s="198"/>
      <c r="B129" s="411" t="s">
        <v>150</v>
      </c>
      <c r="C129" s="44">
        <v>1386</v>
      </c>
      <c r="D129" s="412"/>
      <c r="E129" s="198"/>
      <c r="F129" s="417" t="s">
        <v>189</v>
      </c>
      <c r="G129" s="44">
        <v>2812</v>
      </c>
      <c r="H129" s="412"/>
    </row>
    <row r="130" spans="1:8" x14ac:dyDescent="0.25">
      <c r="A130" s="198"/>
      <c r="B130" s="411" t="s">
        <v>122</v>
      </c>
      <c r="C130" s="44">
        <v>1388</v>
      </c>
      <c r="D130" s="412"/>
      <c r="E130" s="198"/>
      <c r="F130" s="417" t="s">
        <v>190</v>
      </c>
      <c r="G130" s="44">
        <v>2813</v>
      </c>
      <c r="H130" s="412"/>
    </row>
    <row r="131" spans="1:8" x14ac:dyDescent="0.25">
      <c r="A131" s="198"/>
      <c r="B131" s="411" t="s">
        <v>124</v>
      </c>
      <c r="C131" s="44">
        <v>1390</v>
      </c>
      <c r="D131" s="412"/>
      <c r="E131" s="198"/>
      <c r="F131" s="417" t="s">
        <v>192</v>
      </c>
      <c r="G131" s="44">
        <v>2814</v>
      </c>
      <c r="H131" s="412"/>
    </row>
    <row r="132" spans="1:8" x14ac:dyDescent="0.25">
      <c r="A132" s="198"/>
      <c r="B132" s="411" t="s">
        <v>126</v>
      </c>
      <c r="C132" s="44">
        <v>1392</v>
      </c>
      <c r="D132" s="412"/>
      <c r="E132" s="672" t="s">
        <v>194</v>
      </c>
      <c r="F132" s="672"/>
      <c r="G132" s="672"/>
      <c r="H132" s="405">
        <f>SUM(H133,H137,H141,H144,H149)</f>
        <v>0</v>
      </c>
    </row>
    <row r="133" spans="1:8" x14ac:dyDescent="0.25">
      <c r="A133" s="198"/>
      <c r="B133" s="411" t="s">
        <v>128</v>
      </c>
      <c r="C133" s="44">
        <v>1394</v>
      </c>
      <c r="D133" s="412"/>
      <c r="E133" s="198"/>
      <c r="F133" s="427" t="s">
        <v>195</v>
      </c>
      <c r="G133" s="406"/>
      <c r="H133" s="405">
        <f>H134+H135-H136</f>
        <v>0</v>
      </c>
    </row>
    <row r="134" spans="1:8" x14ac:dyDescent="0.25">
      <c r="A134" s="198"/>
      <c r="B134" s="413" t="s">
        <v>196</v>
      </c>
      <c r="C134" s="409"/>
      <c r="D134" s="414">
        <f>D135</f>
        <v>0</v>
      </c>
      <c r="E134" s="198"/>
      <c r="F134" s="417" t="s">
        <v>197</v>
      </c>
      <c r="G134" s="44">
        <v>3101</v>
      </c>
      <c r="H134" s="412"/>
    </row>
    <row r="135" spans="1:8" x14ac:dyDescent="0.25">
      <c r="A135" s="198"/>
      <c r="B135" s="199" t="s">
        <v>196</v>
      </c>
      <c r="C135" s="415">
        <v>1399</v>
      </c>
      <c r="D135" s="412"/>
      <c r="E135" s="198"/>
      <c r="F135" s="417" t="s">
        <v>198</v>
      </c>
      <c r="G135" s="44">
        <v>3102</v>
      </c>
      <c r="H135" s="412"/>
    </row>
    <row r="136" spans="1:8" x14ac:dyDescent="0.25">
      <c r="A136" s="710" t="s">
        <v>199</v>
      </c>
      <c r="B136" s="710"/>
      <c r="C136" s="406"/>
      <c r="D136" s="405">
        <f>SUM(D137,D140,D143,-D153)</f>
        <v>0</v>
      </c>
      <c r="E136" s="198"/>
      <c r="F136" s="417" t="s">
        <v>200</v>
      </c>
      <c r="G136" s="44">
        <v>3103</v>
      </c>
      <c r="H136" s="412"/>
    </row>
    <row r="137" spans="1:8" x14ac:dyDescent="0.25">
      <c r="A137" s="198"/>
      <c r="B137" s="408" t="s">
        <v>201</v>
      </c>
      <c r="C137" s="409"/>
      <c r="D137" s="410">
        <f>SUM(D138:D139)</f>
        <v>0</v>
      </c>
      <c r="E137" s="198"/>
      <c r="F137" s="427" t="s">
        <v>202</v>
      </c>
      <c r="G137" s="409"/>
      <c r="H137" s="405">
        <f>SUM(H138:H140)</f>
        <v>0</v>
      </c>
    </row>
    <row r="138" spans="1:8" x14ac:dyDescent="0.25">
      <c r="A138" s="198"/>
      <c r="B138" s="411" t="s">
        <v>203</v>
      </c>
      <c r="C138" s="44">
        <v>1401</v>
      </c>
      <c r="D138" s="416"/>
      <c r="E138" s="198"/>
      <c r="F138" s="417" t="s">
        <v>204</v>
      </c>
      <c r="G138" s="44">
        <v>3104</v>
      </c>
      <c r="H138" s="412"/>
    </row>
    <row r="139" spans="1:8" x14ac:dyDescent="0.25">
      <c r="A139" s="198"/>
      <c r="B139" s="411" t="s">
        <v>205</v>
      </c>
      <c r="C139" s="44">
        <v>1402</v>
      </c>
      <c r="D139" s="416"/>
      <c r="E139" s="198"/>
      <c r="F139" s="417" t="s">
        <v>206</v>
      </c>
      <c r="G139" s="44">
        <v>3105</v>
      </c>
      <c r="H139" s="412"/>
    </row>
    <row r="140" spans="1:8" x14ac:dyDescent="0.25">
      <c r="A140" s="198"/>
      <c r="B140" s="408" t="s">
        <v>1168</v>
      </c>
      <c r="C140" s="409"/>
      <c r="D140" s="410">
        <f>SUM(D141:D142)</f>
        <v>0</v>
      </c>
      <c r="E140" s="198"/>
      <c r="F140" s="417" t="s">
        <v>207</v>
      </c>
      <c r="G140" s="44">
        <v>3106</v>
      </c>
      <c r="H140" s="412"/>
    </row>
    <row r="141" spans="1:8" x14ac:dyDescent="0.25">
      <c r="A141" s="198"/>
      <c r="B141" s="411" t="s">
        <v>203</v>
      </c>
      <c r="C141" s="44">
        <v>1421</v>
      </c>
      <c r="D141" s="416"/>
      <c r="E141" s="198"/>
      <c r="F141" s="427" t="s">
        <v>208</v>
      </c>
      <c r="G141" s="409"/>
      <c r="H141" s="405">
        <f>SUM(H142:H143)</f>
        <v>0</v>
      </c>
    </row>
    <row r="142" spans="1:8" x14ac:dyDescent="0.25">
      <c r="A142" s="198"/>
      <c r="B142" s="411" t="s">
        <v>205</v>
      </c>
      <c r="C142" s="44">
        <v>1422</v>
      </c>
      <c r="D142" s="416"/>
      <c r="E142" s="198"/>
      <c r="F142" s="417" t="s">
        <v>209</v>
      </c>
      <c r="G142" s="44">
        <v>3107</v>
      </c>
      <c r="H142" s="412"/>
    </row>
    <row r="143" spans="1:8" x14ac:dyDescent="0.25">
      <c r="A143" s="198"/>
      <c r="B143" s="408" t="s">
        <v>210</v>
      </c>
      <c r="C143" s="406"/>
      <c r="D143" s="410">
        <f>SUM(D144,D147,D150)</f>
        <v>0</v>
      </c>
      <c r="E143" s="198"/>
      <c r="F143" s="417" t="s">
        <v>211</v>
      </c>
      <c r="G143" s="44">
        <v>3108</v>
      </c>
      <c r="H143" s="412"/>
    </row>
    <row r="144" spans="1:8" x14ac:dyDescent="0.25">
      <c r="A144" s="198"/>
      <c r="B144" s="408" t="s">
        <v>212</v>
      </c>
      <c r="C144" s="409"/>
      <c r="D144" s="410">
        <f>SUM(D145:D146)</f>
        <v>0</v>
      </c>
      <c r="E144" s="198"/>
      <c r="F144" s="427" t="s">
        <v>213</v>
      </c>
      <c r="G144" s="409"/>
      <c r="H144" s="405">
        <f>+SUM(H147,-H148)</f>
        <v>0</v>
      </c>
    </row>
    <row r="145" spans="1:9" x14ac:dyDescent="0.25">
      <c r="A145" s="198"/>
      <c r="B145" s="411" t="s">
        <v>203</v>
      </c>
      <c r="C145" s="44">
        <v>1441</v>
      </c>
      <c r="D145" s="416"/>
      <c r="E145" s="198"/>
      <c r="F145" s="417" t="s">
        <v>214</v>
      </c>
      <c r="G145" s="44">
        <v>3111</v>
      </c>
      <c r="H145" s="416"/>
      <c r="I145" s="593"/>
    </row>
    <row r="146" spans="1:9" x14ac:dyDescent="0.25">
      <c r="A146" s="198"/>
      <c r="B146" s="411" t="s">
        <v>205</v>
      </c>
      <c r="C146" s="44">
        <v>1442</v>
      </c>
      <c r="D146" s="416"/>
      <c r="E146" s="198"/>
      <c r="F146" s="417" t="s">
        <v>215</v>
      </c>
      <c r="G146" s="44">
        <v>3112</v>
      </c>
      <c r="H146" s="416"/>
    </row>
    <row r="147" spans="1:9" x14ac:dyDescent="0.25">
      <c r="A147" s="417"/>
      <c r="B147" s="408" t="s">
        <v>216</v>
      </c>
      <c r="C147" s="409"/>
      <c r="D147" s="410">
        <f>SUM(D148:D149)</f>
        <v>0</v>
      </c>
      <c r="E147" s="198"/>
      <c r="F147" s="417" t="s">
        <v>217</v>
      </c>
      <c r="G147" s="44">
        <v>3113</v>
      </c>
      <c r="H147" s="412"/>
      <c r="I147" s="593"/>
    </row>
    <row r="148" spans="1:9" x14ac:dyDescent="0.25">
      <c r="A148" s="417"/>
      <c r="B148" s="411" t="s">
        <v>203</v>
      </c>
      <c r="C148" s="44">
        <v>1461</v>
      </c>
      <c r="D148" s="416"/>
      <c r="E148" s="198"/>
      <c r="F148" s="417" t="s">
        <v>218</v>
      </c>
      <c r="G148" s="44">
        <v>3114</v>
      </c>
      <c r="H148" s="412"/>
    </row>
    <row r="149" spans="1:9" x14ac:dyDescent="0.25">
      <c r="A149" s="417"/>
      <c r="B149" s="411" t="s">
        <v>205</v>
      </c>
      <c r="C149" s="44">
        <v>1462</v>
      </c>
      <c r="D149" s="416"/>
      <c r="E149" s="198"/>
      <c r="F149" s="427" t="s">
        <v>219</v>
      </c>
      <c r="G149" s="409"/>
      <c r="H149" s="410">
        <f>H150</f>
        <v>0</v>
      </c>
    </row>
    <row r="150" spans="1:9" x14ac:dyDescent="0.25">
      <c r="A150" s="417"/>
      <c r="B150" s="408" t="s">
        <v>220</v>
      </c>
      <c r="C150" s="409"/>
      <c r="D150" s="410">
        <f>SUM(D151:D152)</f>
        <v>0</v>
      </c>
      <c r="E150" s="198"/>
      <c r="F150" s="417" t="s">
        <v>221</v>
      </c>
      <c r="G150" s="44">
        <v>3115</v>
      </c>
      <c r="H150" s="412"/>
    </row>
    <row r="151" spans="1:9" x14ac:dyDescent="0.25">
      <c r="A151" s="417"/>
      <c r="B151" s="411" t="s">
        <v>203</v>
      </c>
      <c r="C151" s="44">
        <v>1481</v>
      </c>
      <c r="D151" s="416"/>
      <c r="E151" s="672" t="s">
        <v>222</v>
      </c>
      <c r="F151" s="672"/>
      <c r="G151" s="672"/>
      <c r="H151" s="405">
        <f>SUM(H152,H200,H207)</f>
        <v>0</v>
      </c>
    </row>
    <row r="152" spans="1:9" x14ac:dyDescent="0.25">
      <c r="A152" s="417"/>
      <c r="B152" s="411" t="s">
        <v>205</v>
      </c>
      <c r="C152" s="44">
        <v>1482</v>
      </c>
      <c r="D152" s="416"/>
      <c r="E152" s="198"/>
      <c r="F152" s="427" t="s">
        <v>223</v>
      </c>
      <c r="G152" s="409"/>
      <c r="H152" s="410">
        <f>SUM(H153,H185)</f>
        <v>0</v>
      </c>
    </row>
    <row r="153" spans="1:9" x14ac:dyDescent="0.25">
      <c r="A153" s="417"/>
      <c r="B153" s="413" t="s">
        <v>224</v>
      </c>
      <c r="C153" s="418"/>
      <c r="D153" s="414">
        <f>D154</f>
        <v>0</v>
      </c>
      <c r="E153" s="198"/>
      <c r="F153" s="426" t="s">
        <v>225</v>
      </c>
      <c r="G153" s="409"/>
      <c r="H153" s="410">
        <f>SUM(H154,H162,H170,H176,-H183)</f>
        <v>0</v>
      </c>
    </row>
    <row r="154" spans="1:9" x14ac:dyDescent="0.25">
      <c r="A154" s="417"/>
      <c r="B154" s="411" t="s">
        <v>224</v>
      </c>
      <c r="C154" s="44">
        <v>1499</v>
      </c>
      <c r="D154" s="416"/>
      <c r="E154" s="198"/>
      <c r="F154" s="426" t="s">
        <v>226</v>
      </c>
      <c r="G154" s="409"/>
      <c r="H154" s="410">
        <f>SUM(H155:H161)</f>
        <v>0</v>
      </c>
    </row>
    <row r="155" spans="1:9" x14ac:dyDescent="0.25">
      <c r="A155" s="710" t="s">
        <v>227</v>
      </c>
      <c r="B155" s="710"/>
      <c r="C155" s="409"/>
      <c r="D155" s="405">
        <f>SUM(D156,D159,D162-D172)</f>
        <v>0</v>
      </c>
      <c r="E155" s="198"/>
      <c r="F155" s="417" t="s">
        <v>116</v>
      </c>
      <c r="G155" s="44">
        <v>4101</v>
      </c>
      <c r="H155" s="412"/>
    </row>
    <row r="156" spans="1:9" x14ac:dyDescent="0.25">
      <c r="A156" s="417"/>
      <c r="B156" s="408" t="s">
        <v>228</v>
      </c>
      <c r="C156" s="409"/>
      <c r="D156" s="410">
        <f>SUM(D157:D158)</f>
        <v>0</v>
      </c>
      <c r="E156" s="198"/>
      <c r="F156" s="417" t="s">
        <v>118</v>
      </c>
      <c r="G156" s="44">
        <v>4102</v>
      </c>
      <c r="H156" s="412"/>
    </row>
    <row r="157" spans="1:9" x14ac:dyDescent="0.25">
      <c r="A157" s="417"/>
      <c r="B157" s="411" t="s">
        <v>229</v>
      </c>
      <c r="C157" s="44">
        <v>1501</v>
      </c>
      <c r="D157" s="412"/>
      <c r="E157" s="198"/>
      <c r="F157" s="417" t="s">
        <v>230</v>
      </c>
      <c r="G157" s="44">
        <v>4103</v>
      </c>
      <c r="H157" s="412"/>
    </row>
    <row r="158" spans="1:9" x14ac:dyDescent="0.25">
      <c r="A158" s="417"/>
      <c r="B158" s="411" t="s">
        <v>231</v>
      </c>
      <c r="C158" s="44">
        <v>1502</v>
      </c>
      <c r="D158" s="412"/>
      <c r="E158" s="198"/>
      <c r="F158" s="417" t="s">
        <v>120</v>
      </c>
      <c r="G158" s="44">
        <v>4104</v>
      </c>
      <c r="H158" s="412"/>
    </row>
    <row r="159" spans="1:9" x14ac:dyDescent="0.25">
      <c r="A159" s="417"/>
      <c r="B159" s="408" t="s">
        <v>1169</v>
      </c>
      <c r="C159" s="409"/>
      <c r="D159" s="410">
        <f>SUM(D160:D161)</f>
        <v>0</v>
      </c>
      <c r="E159" s="198"/>
      <c r="F159" s="417" t="s">
        <v>124</v>
      </c>
      <c r="G159" s="44">
        <v>4105</v>
      </c>
      <c r="H159" s="412"/>
    </row>
    <row r="160" spans="1:9" x14ac:dyDescent="0.25">
      <c r="A160" s="417"/>
      <c r="B160" s="411" t="s">
        <v>229</v>
      </c>
      <c r="C160" s="44">
        <v>1521</v>
      </c>
      <c r="D160" s="412"/>
      <c r="E160" s="198"/>
      <c r="F160" s="417" t="s">
        <v>126</v>
      </c>
      <c r="G160" s="44">
        <v>4106</v>
      </c>
      <c r="H160" s="412"/>
    </row>
    <row r="161" spans="1:8" x14ac:dyDescent="0.25">
      <c r="A161" s="417"/>
      <c r="B161" s="411" t="s">
        <v>231</v>
      </c>
      <c r="C161" s="44">
        <v>1522</v>
      </c>
      <c r="D161" s="412"/>
      <c r="E161" s="198"/>
      <c r="F161" s="417" t="s">
        <v>128</v>
      </c>
      <c r="G161" s="44">
        <v>4107</v>
      </c>
      <c r="H161" s="412"/>
    </row>
    <row r="162" spans="1:8" x14ac:dyDescent="0.25">
      <c r="A162" s="417"/>
      <c r="B162" s="408" t="s">
        <v>232</v>
      </c>
      <c r="C162" s="406"/>
      <c r="D162" s="410">
        <f>SUM(D163,D166,D169)</f>
        <v>0</v>
      </c>
      <c r="E162" s="198"/>
      <c r="F162" s="426" t="s">
        <v>233</v>
      </c>
      <c r="G162" s="409"/>
      <c r="H162" s="410">
        <f>SUM(H163:H169)</f>
        <v>0</v>
      </c>
    </row>
    <row r="163" spans="1:8" x14ac:dyDescent="0.25">
      <c r="A163" s="417"/>
      <c r="B163" s="408" t="s">
        <v>234</v>
      </c>
      <c r="C163" s="409"/>
      <c r="D163" s="410">
        <f>SUM(D164:D165)</f>
        <v>0</v>
      </c>
      <c r="E163" s="198"/>
      <c r="F163" s="417" t="s">
        <v>116</v>
      </c>
      <c r="G163" s="44">
        <v>4111</v>
      </c>
      <c r="H163" s="412"/>
    </row>
    <row r="164" spans="1:8" x14ac:dyDescent="0.25">
      <c r="A164" s="417"/>
      <c r="B164" s="411" t="s">
        <v>229</v>
      </c>
      <c r="C164" s="44">
        <v>1541</v>
      </c>
      <c r="D164" s="412"/>
      <c r="E164" s="198"/>
      <c r="F164" s="417" t="s">
        <v>118</v>
      </c>
      <c r="G164" s="44">
        <v>4112</v>
      </c>
      <c r="H164" s="412"/>
    </row>
    <row r="165" spans="1:8" x14ac:dyDescent="0.25">
      <c r="A165" s="417"/>
      <c r="B165" s="411" t="s">
        <v>231</v>
      </c>
      <c r="C165" s="44">
        <v>1542</v>
      </c>
      <c r="D165" s="412"/>
      <c r="E165" s="198"/>
      <c r="F165" s="417" t="s">
        <v>230</v>
      </c>
      <c r="G165" s="44">
        <v>4113</v>
      </c>
      <c r="H165" s="412"/>
    </row>
    <row r="166" spans="1:8" x14ac:dyDescent="0.25">
      <c r="A166" s="417"/>
      <c r="B166" s="408" t="s">
        <v>235</v>
      </c>
      <c r="C166" s="409"/>
      <c r="D166" s="410">
        <f>SUM(D167:D168)</f>
        <v>0</v>
      </c>
      <c r="E166" s="198"/>
      <c r="F166" s="417" t="s">
        <v>120</v>
      </c>
      <c r="G166" s="44">
        <v>4114</v>
      </c>
      <c r="H166" s="412"/>
    </row>
    <row r="167" spans="1:8" x14ac:dyDescent="0.25">
      <c r="A167" s="417"/>
      <c r="B167" s="411" t="s">
        <v>229</v>
      </c>
      <c r="C167" s="44">
        <v>1561</v>
      </c>
      <c r="D167" s="412"/>
      <c r="E167" s="198"/>
      <c r="F167" s="417" t="s">
        <v>124</v>
      </c>
      <c r="G167" s="44">
        <v>4115</v>
      </c>
      <c r="H167" s="412"/>
    </row>
    <row r="168" spans="1:8" x14ac:dyDescent="0.25">
      <c r="A168" s="417"/>
      <c r="B168" s="411" t="s">
        <v>231</v>
      </c>
      <c r="C168" s="44">
        <v>1562</v>
      </c>
      <c r="D168" s="412"/>
      <c r="E168" s="198"/>
      <c r="F168" s="417" t="s">
        <v>126</v>
      </c>
      <c r="G168" s="44">
        <v>4116</v>
      </c>
      <c r="H168" s="412"/>
    </row>
    <row r="169" spans="1:8" x14ac:dyDescent="0.25">
      <c r="A169" s="417"/>
      <c r="B169" s="408" t="s">
        <v>236</v>
      </c>
      <c r="C169" s="409"/>
      <c r="D169" s="410">
        <f>SUM(D170:D171)</f>
        <v>0</v>
      </c>
      <c r="E169" s="198"/>
      <c r="F169" s="417" t="s">
        <v>128</v>
      </c>
      <c r="G169" s="44">
        <v>4117</v>
      </c>
      <c r="H169" s="412"/>
    </row>
    <row r="170" spans="1:8" x14ac:dyDescent="0.25">
      <c r="A170" s="417"/>
      <c r="B170" s="411" t="s">
        <v>229</v>
      </c>
      <c r="C170" s="44">
        <v>1581</v>
      </c>
      <c r="D170" s="412"/>
      <c r="E170" s="198"/>
      <c r="F170" s="426" t="s">
        <v>237</v>
      </c>
      <c r="G170" s="409"/>
      <c r="H170" s="410">
        <f>SUM(H171:H175)</f>
        <v>0</v>
      </c>
    </row>
    <row r="171" spans="1:8" x14ac:dyDescent="0.25">
      <c r="A171" s="417"/>
      <c r="B171" s="411" t="s">
        <v>231</v>
      </c>
      <c r="C171" s="44">
        <v>1582</v>
      </c>
      <c r="D171" s="412"/>
      <c r="E171" s="198"/>
      <c r="F171" s="417" t="s">
        <v>96</v>
      </c>
      <c r="G171" s="44">
        <v>4201</v>
      </c>
      <c r="H171" s="412"/>
    </row>
    <row r="172" spans="1:8" x14ac:dyDescent="0.25">
      <c r="A172" s="417"/>
      <c r="B172" s="413" t="s">
        <v>238</v>
      </c>
      <c r="C172" s="418"/>
      <c r="D172" s="414">
        <f>D173</f>
        <v>0</v>
      </c>
      <c r="E172" s="198"/>
      <c r="F172" s="417" t="s">
        <v>97</v>
      </c>
      <c r="G172" s="44">
        <v>4202</v>
      </c>
      <c r="H172" s="412"/>
    </row>
    <row r="173" spans="1:8" x14ac:dyDescent="0.25">
      <c r="A173" s="417"/>
      <c r="B173" s="419" t="s">
        <v>238</v>
      </c>
      <c r="C173" s="44">
        <v>1599</v>
      </c>
      <c r="D173" s="412"/>
      <c r="E173" s="198"/>
      <c r="F173" s="417" t="s">
        <v>99</v>
      </c>
      <c r="G173" s="44">
        <v>4203</v>
      </c>
      <c r="H173" s="412"/>
    </row>
    <row r="174" spans="1:8" x14ac:dyDescent="0.25">
      <c r="A174" s="710" t="s">
        <v>239</v>
      </c>
      <c r="B174" s="710"/>
      <c r="C174" s="409"/>
      <c r="D174" s="405">
        <f>SUM(D175,D182)</f>
        <v>0</v>
      </c>
      <c r="E174" s="198"/>
      <c r="F174" s="417" t="s">
        <v>101</v>
      </c>
      <c r="G174" s="44">
        <v>4204</v>
      </c>
      <c r="H174" s="412"/>
    </row>
    <row r="175" spans="1:8" x14ac:dyDescent="0.25">
      <c r="A175" s="420"/>
      <c r="B175" s="408" t="s">
        <v>240</v>
      </c>
      <c r="C175" s="409"/>
      <c r="D175" s="410">
        <f>SUM(D176,D177,D178,-D184)</f>
        <v>0</v>
      </c>
      <c r="E175" s="198"/>
      <c r="F175" s="417" t="s">
        <v>102</v>
      </c>
      <c r="G175" s="44">
        <v>4205</v>
      </c>
      <c r="H175" s="412"/>
    </row>
    <row r="176" spans="1:8" x14ac:dyDescent="0.25">
      <c r="A176" s="417"/>
      <c r="B176" s="411" t="s">
        <v>241</v>
      </c>
      <c r="C176" s="44">
        <v>1601</v>
      </c>
      <c r="D176" s="412"/>
      <c r="E176" s="198"/>
      <c r="F176" s="426" t="s">
        <v>242</v>
      </c>
      <c r="G176" s="409"/>
      <c r="H176" s="410">
        <f>SUM(H177:H182)</f>
        <v>0</v>
      </c>
    </row>
    <row r="177" spans="1:8" x14ac:dyDescent="0.25">
      <c r="A177" s="417"/>
      <c r="B177" s="411" t="s">
        <v>1171</v>
      </c>
      <c r="C177" s="44">
        <v>1621</v>
      </c>
      <c r="D177" s="412"/>
      <c r="E177" s="198"/>
      <c r="F177" s="417" t="s">
        <v>243</v>
      </c>
      <c r="G177" s="44">
        <v>4301</v>
      </c>
      <c r="H177" s="412"/>
    </row>
    <row r="178" spans="1:8" x14ac:dyDescent="0.25">
      <c r="A178" s="417"/>
      <c r="B178" s="408" t="s">
        <v>244</v>
      </c>
      <c r="C178" s="406"/>
      <c r="D178" s="410">
        <f>SUM(D179:D181)</f>
        <v>0</v>
      </c>
      <c r="E178" s="198"/>
      <c r="F178" s="417" t="s">
        <v>245</v>
      </c>
      <c r="G178" s="44">
        <v>4302</v>
      </c>
      <c r="H178" s="412"/>
    </row>
    <row r="179" spans="1:8" x14ac:dyDescent="0.25">
      <c r="A179" s="417"/>
      <c r="B179" s="411" t="s">
        <v>246</v>
      </c>
      <c r="C179" s="44">
        <v>1641</v>
      </c>
      <c r="D179" s="412"/>
      <c r="E179" s="198"/>
      <c r="F179" s="417" t="s">
        <v>247</v>
      </c>
      <c r="G179" s="44">
        <v>4311</v>
      </c>
      <c r="H179" s="412"/>
    </row>
    <row r="180" spans="1:8" x14ac:dyDescent="0.25">
      <c r="A180" s="417"/>
      <c r="B180" s="411" t="s">
        <v>248</v>
      </c>
      <c r="C180" s="44">
        <v>1661</v>
      </c>
      <c r="D180" s="412"/>
      <c r="E180" s="198"/>
      <c r="F180" s="417" t="s">
        <v>249</v>
      </c>
      <c r="G180" s="44">
        <v>4312</v>
      </c>
      <c r="H180" s="412"/>
    </row>
    <row r="181" spans="1:8" x14ac:dyDescent="0.25">
      <c r="A181" s="417"/>
      <c r="B181" s="411" t="s">
        <v>250</v>
      </c>
      <c r="C181" s="44">
        <v>1681</v>
      </c>
      <c r="D181" s="412"/>
      <c r="E181" s="198"/>
      <c r="F181" s="417" t="s">
        <v>251</v>
      </c>
      <c r="G181" s="44">
        <v>4321</v>
      </c>
      <c r="H181" s="412"/>
    </row>
    <row r="182" spans="1:8" x14ac:dyDescent="0.25">
      <c r="A182" s="417"/>
      <c r="B182" s="408" t="s">
        <v>252</v>
      </c>
      <c r="C182" s="409"/>
      <c r="D182" s="410">
        <f>D183</f>
        <v>0</v>
      </c>
      <c r="E182" s="198"/>
      <c r="F182" s="417" t="s">
        <v>253</v>
      </c>
      <c r="G182" s="44">
        <v>4322</v>
      </c>
      <c r="H182" s="412"/>
    </row>
    <row r="183" spans="1:8" x14ac:dyDescent="0.25">
      <c r="A183" s="417"/>
      <c r="B183" s="411" t="s">
        <v>252</v>
      </c>
      <c r="C183" s="44">
        <v>1691</v>
      </c>
      <c r="D183" s="412"/>
      <c r="E183" s="198"/>
      <c r="F183" s="429" t="s">
        <v>254</v>
      </c>
      <c r="G183" s="418"/>
      <c r="H183" s="414">
        <f>H184</f>
        <v>0</v>
      </c>
    </row>
    <row r="184" spans="1:8" x14ac:dyDescent="0.25">
      <c r="A184" s="417"/>
      <c r="B184" s="413" t="s">
        <v>255</v>
      </c>
      <c r="C184" s="418"/>
      <c r="D184" s="414">
        <f>D185</f>
        <v>0</v>
      </c>
      <c r="E184" s="198"/>
      <c r="F184" s="417" t="s">
        <v>254</v>
      </c>
      <c r="G184" s="44">
        <v>4323</v>
      </c>
      <c r="H184" s="412"/>
    </row>
    <row r="185" spans="1:8" x14ac:dyDescent="0.25">
      <c r="A185" s="421"/>
      <c r="B185" s="419" t="s">
        <v>255</v>
      </c>
      <c r="C185" s="422">
        <v>1699</v>
      </c>
      <c r="D185" s="423"/>
      <c r="E185" s="198"/>
      <c r="F185" s="426" t="s">
        <v>256</v>
      </c>
      <c r="G185" s="409"/>
      <c r="H185" s="410">
        <f>SUM(H186,H189,H192)</f>
        <v>0</v>
      </c>
    </row>
    <row r="186" spans="1:8" x14ac:dyDescent="0.25">
      <c r="A186" s="710" t="s">
        <v>257</v>
      </c>
      <c r="B186" s="710"/>
      <c r="C186" s="409"/>
      <c r="D186" s="405">
        <f>SUM(D187,D203,D222)</f>
        <v>0</v>
      </c>
      <c r="E186" s="198"/>
      <c r="F186" s="426" t="s">
        <v>258</v>
      </c>
      <c r="G186" s="409"/>
      <c r="H186" s="410">
        <f>SUM(H187:H188)</f>
        <v>0</v>
      </c>
    </row>
    <row r="187" spans="1:8" x14ac:dyDescent="0.25">
      <c r="A187" s="417"/>
      <c r="B187" s="424" t="s">
        <v>259</v>
      </c>
      <c r="C187" s="409"/>
      <c r="D187" s="405">
        <f>SUM(D188,D191,D194,D197,D200)</f>
        <v>0</v>
      </c>
      <c r="E187" s="198"/>
      <c r="F187" s="417" t="s">
        <v>260</v>
      </c>
      <c r="G187" s="44">
        <v>4401</v>
      </c>
      <c r="H187" s="412"/>
    </row>
    <row r="188" spans="1:8" x14ac:dyDescent="0.25">
      <c r="A188" s="417"/>
      <c r="B188" s="408" t="s">
        <v>261</v>
      </c>
      <c r="C188" s="409"/>
      <c r="D188" s="410">
        <f>SUM(D189:D190)</f>
        <v>0</v>
      </c>
      <c r="E188" s="198"/>
      <c r="F188" s="417" t="s">
        <v>262</v>
      </c>
      <c r="G188" s="44">
        <v>4402</v>
      </c>
      <c r="H188" s="412"/>
    </row>
    <row r="189" spans="1:8" x14ac:dyDescent="0.25">
      <c r="A189" s="417"/>
      <c r="B189" s="411" t="s">
        <v>263</v>
      </c>
      <c r="C189" s="44">
        <v>1701</v>
      </c>
      <c r="D189" s="412"/>
      <c r="E189" s="198"/>
      <c r="F189" s="426" t="s">
        <v>264</v>
      </c>
      <c r="G189" s="409"/>
      <c r="H189" s="410">
        <f>SUM(H190:H191)</f>
        <v>0</v>
      </c>
    </row>
    <row r="190" spans="1:8" x14ac:dyDescent="0.25">
      <c r="A190" s="417"/>
      <c r="B190" s="411" t="s">
        <v>265</v>
      </c>
      <c r="C190" s="44">
        <v>1702</v>
      </c>
      <c r="D190" s="412"/>
      <c r="E190" s="198"/>
      <c r="F190" s="417" t="s">
        <v>266</v>
      </c>
      <c r="G190" s="44">
        <v>4411</v>
      </c>
      <c r="H190" s="412"/>
    </row>
    <row r="191" spans="1:8" x14ac:dyDescent="0.25">
      <c r="A191" s="417"/>
      <c r="B191" s="408" t="s">
        <v>267</v>
      </c>
      <c r="C191" s="409"/>
      <c r="D191" s="410">
        <f>SUM(D192:D193)</f>
        <v>0</v>
      </c>
      <c r="E191" s="198"/>
      <c r="F191" s="417" t="s">
        <v>268</v>
      </c>
      <c r="G191" s="44">
        <v>4412</v>
      </c>
      <c r="H191" s="412"/>
    </row>
    <row r="192" spans="1:8" x14ac:dyDescent="0.25">
      <c r="A192" s="417"/>
      <c r="B192" s="411" t="s">
        <v>269</v>
      </c>
      <c r="C192" s="44">
        <v>1703</v>
      </c>
      <c r="D192" s="412"/>
      <c r="E192" s="198"/>
      <c r="F192" s="426" t="s">
        <v>270</v>
      </c>
      <c r="G192" s="409"/>
      <c r="H192" s="410">
        <f>SUM(H193:H199)</f>
        <v>0</v>
      </c>
    </row>
    <row r="193" spans="1:8" x14ac:dyDescent="0.25">
      <c r="A193" s="417"/>
      <c r="B193" s="411" t="s">
        <v>271</v>
      </c>
      <c r="C193" s="44">
        <v>1704</v>
      </c>
      <c r="D193" s="412"/>
      <c r="E193" s="198"/>
      <c r="F193" s="417" t="s">
        <v>272</v>
      </c>
      <c r="G193" s="44">
        <v>4421</v>
      </c>
      <c r="H193" s="412"/>
    </row>
    <row r="194" spans="1:8" x14ac:dyDescent="0.25">
      <c r="A194" s="417"/>
      <c r="B194" s="408" t="s">
        <v>273</v>
      </c>
      <c r="C194" s="409"/>
      <c r="D194" s="410">
        <f>SUM(D195:D196)</f>
        <v>0</v>
      </c>
      <c r="E194" s="198"/>
      <c r="F194" s="417" t="s">
        <v>274</v>
      </c>
      <c r="G194" s="44">
        <v>4422</v>
      </c>
      <c r="H194" s="412"/>
    </row>
    <row r="195" spans="1:8" x14ac:dyDescent="0.25">
      <c r="A195" s="417"/>
      <c r="B195" s="411" t="s">
        <v>275</v>
      </c>
      <c r="C195" s="44">
        <v>1705</v>
      </c>
      <c r="D195" s="412"/>
      <c r="E195" s="198"/>
      <c r="F195" s="417" t="s">
        <v>276</v>
      </c>
      <c r="G195" s="44">
        <v>4423</v>
      </c>
      <c r="H195" s="412"/>
    </row>
    <row r="196" spans="1:8" ht="25.5" x14ac:dyDescent="0.25">
      <c r="A196" s="417"/>
      <c r="B196" s="411" t="s">
        <v>277</v>
      </c>
      <c r="C196" s="44">
        <v>1706</v>
      </c>
      <c r="D196" s="412"/>
      <c r="E196" s="198"/>
      <c r="F196" s="417" t="s">
        <v>278</v>
      </c>
      <c r="G196" s="44">
        <v>4424</v>
      </c>
      <c r="H196" s="412"/>
    </row>
    <row r="197" spans="1:8" x14ac:dyDescent="0.25">
      <c r="A197" s="417"/>
      <c r="B197" s="408" t="s">
        <v>279</v>
      </c>
      <c r="C197" s="409"/>
      <c r="D197" s="410">
        <f>SUM(D198:D199)</f>
        <v>0</v>
      </c>
      <c r="E197" s="198"/>
      <c r="F197" s="417" t="s">
        <v>280</v>
      </c>
      <c r="G197" s="44">
        <v>4425</v>
      </c>
      <c r="H197" s="412"/>
    </row>
    <row r="198" spans="1:8" x14ac:dyDescent="0.25">
      <c r="A198" s="417"/>
      <c r="B198" s="411" t="s">
        <v>281</v>
      </c>
      <c r="C198" s="44">
        <v>1707</v>
      </c>
      <c r="D198" s="412"/>
      <c r="E198" s="198"/>
      <c r="F198" s="417" t="s">
        <v>282</v>
      </c>
      <c r="G198" s="44">
        <v>4426</v>
      </c>
      <c r="H198" s="412"/>
    </row>
    <row r="199" spans="1:8" ht="25.5" x14ac:dyDescent="0.25">
      <c r="A199" s="417"/>
      <c r="B199" s="411" t="s">
        <v>283</v>
      </c>
      <c r="C199" s="44">
        <v>1708</v>
      </c>
      <c r="D199" s="412"/>
      <c r="E199" s="198"/>
      <c r="F199" s="417" t="s">
        <v>128</v>
      </c>
      <c r="G199" s="44">
        <v>4427</v>
      </c>
      <c r="H199" s="412"/>
    </row>
    <row r="200" spans="1:8" x14ac:dyDescent="0.25">
      <c r="A200" s="417"/>
      <c r="B200" s="408" t="s">
        <v>284</v>
      </c>
      <c r="C200" s="409"/>
      <c r="D200" s="410">
        <f>SUM(D201:D202)</f>
        <v>0</v>
      </c>
      <c r="E200" s="198"/>
      <c r="F200" s="427" t="s">
        <v>285</v>
      </c>
      <c r="G200" s="406"/>
      <c r="H200" s="405">
        <f>SUM(H201:H206)</f>
        <v>0</v>
      </c>
    </row>
    <row r="201" spans="1:8" x14ac:dyDescent="0.25">
      <c r="A201" s="417"/>
      <c r="B201" s="419" t="s">
        <v>286</v>
      </c>
      <c r="C201" s="422">
        <v>1709</v>
      </c>
      <c r="D201" s="423"/>
      <c r="E201" s="198"/>
      <c r="F201" s="417" t="s">
        <v>287</v>
      </c>
      <c r="G201" s="44">
        <v>4501</v>
      </c>
      <c r="H201" s="412"/>
    </row>
    <row r="202" spans="1:8" x14ac:dyDescent="0.25">
      <c r="A202" s="417"/>
      <c r="B202" s="411" t="s">
        <v>288</v>
      </c>
      <c r="C202" s="44">
        <v>1710</v>
      </c>
      <c r="D202" s="412"/>
      <c r="E202" s="198"/>
      <c r="F202" s="417" t="s">
        <v>289</v>
      </c>
      <c r="G202" s="44">
        <v>4502</v>
      </c>
      <c r="H202" s="412"/>
    </row>
    <row r="203" spans="1:8" x14ac:dyDescent="0.25">
      <c r="A203" s="417"/>
      <c r="B203" s="424" t="s">
        <v>290</v>
      </c>
      <c r="C203" s="406"/>
      <c r="D203" s="405">
        <f>SUM(D204,D207,D210,-D220)</f>
        <v>0</v>
      </c>
      <c r="E203" s="198"/>
      <c r="F203" s="417" t="s">
        <v>291</v>
      </c>
      <c r="G203" s="44">
        <v>4503</v>
      </c>
      <c r="H203" s="412"/>
    </row>
    <row r="204" spans="1:8" x14ac:dyDescent="0.25">
      <c r="A204" s="417"/>
      <c r="B204" s="408" t="s">
        <v>292</v>
      </c>
      <c r="C204" s="409"/>
      <c r="D204" s="410">
        <f>SUM(D205:D206)</f>
        <v>0</v>
      </c>
      <c r="E204" s="198"/>
      <c r="F204" s="417" t="s">
        <v>293</v>
      </c>
      <c r="G204" s="44">
        <v>4504</v>
      </c>
      <c r="H204" s="412"/>
    </row>
    <row r="205" spans="1:8" x14ac:dyDescent="0.25">
      <c r="A205" s="417"/>
      <c r="B205" s="411" t="s">
        <v>294</v>
      </c>
      <c r="C205" s="44">
        <v>1711</v>
      </c>
      <c r="D205" s="412"/>
      <c r="E205" s="198"/>
      <c r="F205" s="417" t="s">
        <v>295</v>
      </c>
      <c r="G205" s="44">
        <v>4505</v>
      </c>
      <c r="H205" s="412"/>
    </row>
    <row r="206" spans="1:8" x14ac:dyDescent="0.25">
      <c r="A206" s="417"/>
      <c r="B206" s="411" t="s">
        <v>296</v>
      </c>
      <c r="C206" s="44">
        <v>1712</v>
      </c>
      <c r="D206" s="412"/>
      <c r="E206" s="198"/>
      <c r="F206" s="417" t="s">
        <v>128</v>
      </c>
      <c r="G206" s="44">
        <v>4506</v>
      </c>
      <c r="H206" s="412"/>
    </row>
    <row r="207" spans="1:8" x14ac:dyDescent="0.25">
      <c r="A207" s="417"/>
      <c r="B207" s="408" t="s">
        <v>1170</v>
      </c>
      <c r="C207" s="409"/>
      <c r="D207" s="410">
        <f>SUM(D208:D209)</f>
        <v>0</v>
      </c>
      <c r="E207" s="198"/>
      <c r="F207" s="427" t="s">
        <v>297</v>
      </c>
      <c r="G207" s="409"/>
      <c r="H207" s="410">
        <f>H208</f>
        <v>0</v>
      </c>
    </row>
    <row r="208" spans="1:8" x14ac:dyDescent="0.25">
      <c r="A208" s="417"/>
      <c r="B208" s="411" t="s">
        <v>1172</v>
      </c>
      <c r="C208" s="44">
        <v>1721</v>
      </c>
      <c r="D208" s="412"/>
      <c r="E208" s="198"/>
      <c r="F208" s="417" t="s">
        <v>297</v>
      </c>
      <c r="G208" s="44">
        <v>4601</v>
      </c>
      <c r="H208" s="412"/>
    </row>
    <row r="209" spans="1:8" x14ac:dyDescent="0.25">
      <c r="A209" s="417"/>
      <c r="B209" s="411" t="s">
        <v>1173</v>
      </c>
      <c r="C209" s="44">
        <v>1722</v>
      </c>
      <c r="D209" s="412"/>
      <c r="H209" s="430"/>
    </row>
    <row r="210" spans="1:8" x14ac:dyDescent="0.25">
      <c r="A210" s="417"/>
      <c r="B210" s="408" t="s">
        <v>298</v>
      </c>
      <c r="C210" s="409"/>
      <c r="D210" s="410">
        <f>SUM(D211,D214,D217)</f>
        <v>0</v>
      </c>
      <c r="H210" s="431"/>
    </row>
    <row r="211" spans="1:8" x14ac:dyDescent="0.25">
      <c r="A211" s="417"/>
      <c r="B211" s="408" t="s">
        <v>299</v>
      </c>
      <c r="C211" s="409"/>
      <c r="D211" s="410">
        <f>SUM(D212:D213)</f>
        <v>0</v>
      </c>
      <c r="H211" s="431"/>
    </row>
    <row r="212" spans="1:8" x14ac:dyDescent="0.25">
      <c r="A212" s="417"/>
      <c r="B212" s="411" t="s">
        <v>300</v>
      </c>
      <c r="C212" s="44">
        <v>1741</v>
      </c>
      <c r="D212" s="412"/>
      <c r="H212" s="431"/>
    </row>
    <row r="213" spans="1:8" x14ac:dyDescent="0.25">
      <c r="A213" s="417"/>
      <c r="B213" s="411" t="s">
        <v>301</v>
      </c>
      <c r="C213" s="44">
        <v>1742</v>
      </c>
      <c r="D213" s="412"/>
      <c r="H213" s="431"/>
    </row>
    <row r="214" spans="1:8" x14ac:dyDescent="0.25">
      <c r="A214" s="417"/>
      <c r="B214" s="408" t="s">
        <v>302</v>
      </c>
      <c r="C214" s="409"/>
      <c r="D214" s="410">
        <f>SUM(D215:D216)</f>
        <v>0</v>
      </c>
      <c r="H214" s="431"/>
    </row>
    <row r="215" spans="1:8" x14ac:dyDescent="0.25">
      <c r="A215" s="417"/>
      <c r="B215" s="411" t="s">
        <v>303</v>
      </c>
      <c r="C215" s="44">
        <v>1761</v>
      </c>
      <c r="D215" s="412"/>
      <c r="H215" s="431"/>
    </row>
    <row r="216" spans="1:8" x14ac:dyDescent="0.25">
      <c r="A216" s="417"/>
      <c r="B216" s="411" t="s">
        <v>304</v>
      </c>
      <c r="C216" s="44">
        <v>1762</v>
      </c>
      <c r="D216" s="412"/>
      <c r="H216" s="431"/>
    </row>
    <row r="217" spans="1:8" x14ac:dyDescent="0.25">
      <c r="A217" s="417"/>
      <c r="B217" s="408" t="s">
        <v>305</v>
      </c>
      <c r="C217" s="409"/>
      <c r="D217" s="410">
        <f>SUM(D218:D219)</f>
        <v>0</v>
      </c>
      <c r="H217" s="431"/>
    </row>
    <row r="218" spans="1:8" x14ac:dyDescent="0.25">
      <c r="A218" s="417"/>
      <c r="B218" s="411" t="s">
        <v>306</v>
      </c>
      <c r="C218" s="44">
        <v>1781</v>
      </c>
      <c r="D218" s="412"/>
      <c r="H218" s="431"/>
    </row>
    <row r="219" spans="1:8" x14ac:dyDescent="0.25">
      <c r="A219" s="417"/>
      <c r="B219" s="411" t="s">
        <v>307</v>
      </c>
      <c r="C219" s="44">
        <v>1782</v>
      </c>
      <c r="D219" s="412"/>
      <c r="H219" s="431"/>
    </row>
    <row r="220" spans="1:8" x14ac:dyDescent="0.25">
      <c r="A220" s="417"/>
      <c r="B220" s="413" t="s">
        <v>308</v>
      </c>
      <c r="C220" s="409"/>
      <c r="D220" s="414">
        <f>D221</f>
        <v>0</v>
      </c>
      <c r="H220" s="431"/>
    </row>
    <row r="221" spans="1:8" x14ac:dyDescent="0.25">
      <c r="A221" s="417"/>
      <c r="B221" s="411" t="s">
        <v>308</v>
      </c>
      <c r="C221" s="44">
        <v>1799</v>
      </c>
      <c r="D221" s="412"/>
      <c r="H221" s="431"/>
    </row>
    <row r="222" spans="1:8" x14ac:dyDescent="0.25">
      <c r="A222" s="417"/>
      <c r="B222" s="424" t="s">
        <v>309</v>
      </c>
      <c r="C222" s="406"/>
      <c r="D222" s="405">
        <f>SUM(D223:D229)</f>
        <v>0</v>
      </c>
      <c r="H222" s="431"/>
    </row>
    <row r="223" spans="1:8" x14ac:dyDescent="0.25">
      <c r="A223" s="198"/>
      <c r="B223" s="411" t="s">
        <v>310</v>
      </c>
      <c r="C223" s="44">
        <v>1791</v>
      </c>
      <c r="D223" s="412"/>
      <c r="H223" s="431"/>
    </row>
    <row r="224" spans="1:8" x14ac:dyDescent="0.25">
      <c r="A224" s="198"/>
      <c r="B224" s="411" t="s">
        <v>311</v>
      </c>
      <c r="C224" s="44">
        <v>1792</v>
      </c>
      <c r="D224" s="412"/>
      <c r="H224" s="431"/>
    </row>
    <row r="225" spans="1:8" x14ac:dyDescent="0.25">
      <c r="A225" s="198"/>
      <c r="B225" s="411" t="s">
        <v>312</v>
      </c>
      <c r="C225" s="44">
        <v>1793</v>
      </c>
      <c r="D225" s="412"/>
      <c r="H225" s="431"/>
    </row>
    <row r="226" spans="1:8" x14ac:dyDescent="0.25">
      <c r="A226" s="198"/>
      <c r="B226" s="411" t="s">
        <v>313</v>
      </c>
      <c r="C226" s="44">
        <v>1794</v>
      </c>
      <c r="D226" s="412"/>
      <c r="H226" s="431"/>
    </row>
    <row r="227" spans="1:8" x14ac:dyDescent="0.25">
      <c r="A227" s="198"/>
      <c r="B227" s="411" t="s">
        <v>314</v>
      </c>
      <c r="C227" s="44">
        <v>1795</v>
      </c>
      <c r="D227" s="412"/>
      <c r="H227" s="431"/>
    </row>
    <row r="228" spans="1:8" x14ac:dyDescent="0.25">
      <c r="A228" s="198"/>
      <c r="B228" s="411" t="s">
        <v>315</v>
      </c>
      <c r="C228" s="44">
        <v>1796</v>
      </c>
      <c r="D228" s="412"/>
      <c r="H228" s="431"/>
    </row>
    <row r="229" spans="1:8" x14ac:dyDescent="0.25">
      <c r="A229" s="198"/>
      <c r="B229" s="411" t="s">
        <v>128</v>
      </c>
      <c r="C229" s="44">
        <v>1797</v>
      </c>
      <c r="D229" s="412"/>
      <c r="H229" s="431"/>
    </row>
    <row r="230" spans="1:8" x14ac:dyDescent="0.25">
      <c r="A230" s="710" t="s">
        <v>316</v>
      </c>
      <c r="B230" s="710"/>
      <c r="C230" s="406"/>
      <c r="D230" s="405">
        <f>SUM(D231,D236)</f>
        <v>0</v>
      </c>
      <c r="H230" s="431"/>
    </row>
    <row r="231" spans="1:8" x14ac:dyDescent="0.25">
      <c r="A231" s="425"/>
      <c r="B231" s="408" t="s">
        <v>317</v>
      </c>
      <c r="C231" s="409"/>
      <c r="D231" s="410">
        <f>SUM(D232:D235)</f>
        <v>0</v>
      </c>
      <c r="H231" s="431"/>
    </row>
    <row r="232" spans="1:8" x14ac:dyDescent="0.25">
      <c r="A232" s="198"/>
      <c r="B232" s="411" t="s">
        <v>188</v>
      </c>
      <c r="C232" s="44">
        <v>1801</v>
      </c>
      <c r="D232" s="412"/>
      <c r="H232" s="431"/>
    </row>
    <row r="233" spans="1:8" x14ac:dyDescent="0.25">
      <c r="A233" s="198"/>
      <c r="B233" s="411" t="s">
        <v>189</v>
      </c>
      <c r="C233" s="44">
        <v>1802</v>
      </c>
      <c r="D233" s="412"/>
      <c r="H233" s="431"/>
    </row>
    <row r="234" spans="1:8" x14ac:dyDescent="0.25">
      <c r="A234" s="198"/>
      <c r="B234" s="411" t="s">
        <v>190</v>
      </c>
      <c r="C234" s="44">
        <v>1803</v>
      </c>
      <c r="D234" s="412"/>
      <c r="H234" s="431"/>
    </row>
    <row r="235" spans="1:8" x14ac:dyDescent="0.25">
      <c r="A235" s="198"/>
      <c r="B235" s="411" t="s">
        <v>192</v>
      </c>
      <c r="C235" s="44">
        <v>1804</v>
      </c>
      <c r="D235" s="412"/>
      <c r="H235" s="431"/>
    </row>
    <row r="236" spans="1:8" x14ac:dyDescent="0.25">
      <c r="A236" s="198"/>
      <c r="B236" s="408" t="s">
        <v>318</v>
      </c>
      <c r="C236" s="409"/>
      <c r="D236" s="410">
        <f>SUM(D237:D240)</f>
        <v>0</v>
      </c>
      <c r="H236" s="431"/>
    </row>
    <row r="237" spans="1:8" x14ac:dyDescent="0.25">
      <c r="A237" s="198"/>
      <c r="B237" s="411" t="s">
        <v>188</v>
      </c>
      <c r="C237" s="44">
        <v>1811</v>
      </c>
      <c r="D237" s="412"/>
      <c r="H237" s="431"/>
    </row>
    <row r="238" spans="1:8" x14ac:dyDescent="0.25">
      <c r="A238" s="198"/>
      <c r="B238" s="411" t="s">
        <v>189</v>
      </c>
      <c r="C238" s="44">
        <v>1812</v>
      </c>
      <c r="D238" s="412"/>
      <c r="H238" s="431"/>
    </row>
    <row r="239" spans="1:8" x14ac:dyDescent="0.25">
      <c r="A239" s="198"/>
      <c r="B239" s="411" t="s">
        <v>190</v>
      </c>
      <c r="C239" s="44">
        <v>1813</v>
      </c>
      <c r="D239" s="412"/>
      <c r="H239" s="431"/>
    </row>
    <row r="240" spans="1:8" x14ac:dyDescent="0.25">
      <c r="A240" s="198"/>
      <c r="B240" s="411" t="s">
        <v>192</v>
      </c>
      <c r="C240" s="44">
        <v>1814</v>
      </c>
      <c r="D240" s="412"/>
      <c r="H240" s="431"/>
    </row>
    <row r="241" spans="1:8" x14ac:dyDescent="0.25">
      <c r="A241" s="672" t="s">
        <v>319</v>
      </c>
      <c r="B241" s="672"/>
      <c r="C241" s="672"/>
      <c r="D241" s="405">
        <f>D242</f>
        <v>0</v>
      </c>
      <c r="H241" s="431"/>
    </row>
    <row r="242" spans="1:8" x14ac:dyDescent="0.25">
      <c r="A242" s="709" t="s">
        <v>320</v>
      </c>
      <c r="B242" s="709"/>
      <c r="C242" s="409"/>
      <c r="D242" s="405">
        <f>SUM(D243,-D249)</f>
        <v>0</v>
      </c>
      <c r="H242" s="431"/>
    </row>
    <row r="243" spans="1:8" x14ac:dyDescent="0.25">
      <c r="A243" s="198"/>
      <c r="B243" s="408" t="s">
        <v>321</v>
      </c>
      <c r="C243" s="409"/>
      <c r="D243" s="410">
        <f>SUM(D244:D248)</f>
        <v>0</v>
      </c>
      <c r="H243" s="431"/>
    </row>
    <row r="244" spans="1:8" x14ac:dyDescent="0.25">
      <c r="A244" s="198"/>
      <c r="B244" s="411" t="s">
        <v>322</v>
      </c>
      <c r="C244" s="44">
        <v>1901</v>
      </c>
      <c r="D244" s="412"/>
      <c r="H244" s="431"/>
    </row>
    <row r="245" spans="1:8" x14ac:dyDescent="0.25">
      <c r="A245" s="198"/>
      <c r="B245" s="411" t="s">
        <v>323</v>
      </c>
      <c r="C245" s="44">
        <v>1902</v>
      </c>
      <c r="D245" s="412"/>
      <c r="H245" s="431"/>
    </row>
    <row r="246" spans="1:8" x14ac:dyDescent="0.25">
      <c r="A246" s="198"/>
      <c r="B246" s="411" t="s">
        <v>324</v>
      </c>
      <c r="C246" s="44">
        <v>1903</v>
      </c>
      <c r="D246" s="412"/>
      <c r="H246" s="431"/>
    </row>
    <row r="247" spans="1:8" x14ac:dyDescent="0.25">
      <c r="A247" s="198"/>
      <c r="B247" s="411" t="s">
        <v>325</v>
      </c>
      <c r="C247" s="44">
        <v>1904</v>
      </c>
      <c r="D247" s="412"/>
      <c r="H247" s="431"/>
    </row>
    <row r="248" spans="1:8" x14ac:dyDescent="0.25">
      <c r="A248" s="198"/>
      <c r="B248" s="411" t="s">
        <v>326</v>
      </c>
      <c r="C248" s="44">
        <v>1905</v>
      </c>
      <c r="D248" s="412"/>
      <c r="H248" s="431"/>
    </row>
    <row r="249" spans="1:8" x14ac:dyDescent="0.25">
      <c r="A249" s="198"/>
      <c r="B249" s="408" t="s">
        <v>327</v>
      </c>
      <c r="C249" s="409"/>
      <c r="D249" s="410">
        <f>SUM(D250:D252)</f>
        <v>0</v>
      </c>
      <c r="H249" s="431"/>
    </row>
    <row r="250" spans="1:8" x14ac:dyDescent="0.25">
      <c r="A250" s="198"/>
      <c r="B250" s="411" t="s">
        <v>328</v>
      </c>
      <c r="C250" s="44">
        <v>1911</v>
      </c>
      <c r="D250" s="412"/>
      <c r="H250" s="431"/>
    </row>
    <row r="251" spans="1:8" x14ac:dyDescent="0.25">
      <c r="A251" s="198"/>
      <c r="B251" s="411" t="s">
        <v>329</v>
      </c>
      <c r="C251" s="44">
        <v>1912</v>
      </c>
      <c r="D251" s="412"/>
      <c r="H251" s="431"/>
    </row>
    <row r="252" spans="1:8" x14ac:dyDescent="0.25">
      <c r="A252" s="198"/>
      <c r="B252" s="411" t="s">
        <v>330</v>
      </c>
      <c r="C252" s="44">
        <v>1913</v>
      </c>
      <c r="D252" s="412"/>
      <c r="H252" s="431"/>
    </row>
    <row r="253" spans="1:8" x14ac:dyDescent="0.25">
      <c r="A253" s="672" t="s">
        <v>331</v>
      </c>
      <c r="B253" s="672"/>
      <c r="C253" s="672"/>
      <c r="D253" s="405">
        <f>SUM(D254,D315,D322,D324)</f>
        <v>0</v>
      </c>
      <c r="H253" s="431"/>
    </row>
    <row r="254" spans="1:8" x14ac:dyDescent="0.25">
      <c r="A254" s="198"/>
      <c r="B254" s="424" t="s">
        <v>332</v>
      </c>
      <c r="C254" s="409"/>
      <c r="D254" s="405">
        <f>SUM(D255,-D260,D262)</f>
        <v>0</v>
      </c>
      <c r="H254" s="431"/>
    </row>
    <row r="255" spans="1:8" x14ac:dyDescent="0.25">
      <c r="A255" s="198"/>
      <c r="B255" s="408" t="s">
        <v>333</v>
      </c>
      <c r="C255" s="409"/>
      <c r="D255" s="410">
        <f>SUM(D256:D259)</f>
        <v>0</v>
      </c>
      <c r="H255" s="431"/>
    </row>
    <row r="256" spans="1:8" x14ac:dyDescent="0.25">
      <c r="A256" s="198"/>
      <c r="B256" s="411" t="s">
        <v>334</v>
      </c>
      <c r="C256" s="44">
        <v>5101</v>
      </c>
      <c r="D256" s="412"/>
      <c r="H256" s="431"/>
    </row>
    <row r="257" spans="1:8" x14ac:dyDescent="0.25">
      <c r="A257" s="198"/>
      <c r="B257" s="411" t="s">
        <v>335</v>
      </c>
      <c r="C257" s="44">
        <v>5102</v>
      </c>
      <c r="D257" s="412"/>
      <c r="H257" s="431"/>
    </row>
    <row r="258" spans="1:8" x14ac:dyDescent="0.25">
      <c r="A258" s="198"/>
      <c r="B258" s="411" t="s">
        <v>336</v>
      </c>
      <c r="C258" s="44">
        <v>5103</v>
      </c>
      <c r="D258" s="412"/>
      <c r="H258" s="431"/>
    </row>
    <row r="259" spans="1:8" x14ac:dyDescent="0.25">
      <c r="A259" s="198"/>
      <c r="B259" s="411" t="s">
        <v>337</v>
      </c>
      <c r="C259" s="44">
        <v>5104</v>
      </c>
      <c r="D259" s="412"/>
      <c r="H259" s="431"/>
    </row>
    <row r="260" spans="1:8" x14ac:dyDescent="0.25">
      <c r="A260" s="198"/>
      <c r="B260" s="413" t="s">
        <v>338</v>
      </c>
      <c r="C260" s="418"/>
      <c r="D260" s="414">
        <f>D261</f>
        <v>0</v>
      </c>
      <c r="H260" s="431"/>
    </row>
    <row r="261" spans="1:8" x14ac:dyDescent="0.25">
      <c r="A261" s="198"/>
      <c r="B261" s="411" t="s">
        <v>338</v>
      </c>
      <c r="C261" s="44">
        <v>5105</v>
      </c>
      <c r="D261" s="412"/>
      <c r="H261" s="431"/>
    </row>
    <row r="262" spans="1:8" x14ac:dyDescent="0.25">
      <c r="A262" s="198"/>
      <c r="B262" s="408" t="s">
        <v>339</v>
      </c>
      <c r="C262" s="409"/>
      <c r="D262" s="410">
        <f>SUM(D263,D270,D275,D285)</f>
        <v>0</v>
      </c>
      <c r="H262" s="431"/>
    </row>
    <row r="263" spans="1:8" x14ac:dyDescent="0.25">
      <c r="A263" s="198"/>
      <c r="B263" s="408" t="s">
        <v>340</v>
      </c>
      <c r="C263" s="409"/>
      <c r="D263" s="410">
        <f>SUM(D264:D269)</f>
        <v>0</v>
      </c>
      <c r="H263" s="431"/>
    </row>
    <row r="264" spans="1:8" x14ac:dyDescent="0.25">
      <c r="A264" s="198"/>
      <c r="B264" s="411" t="s">
        <v>341</v>
      </c>
      <c r="C264" s="44">
        <v>5201</v>
      </c>
      <c r="D264" s="412"/>
      <c r="H264" s="431"/>
    </row>
    <row r="265" spans="1:8" x14ac:dyDescent="0.25">
      <c r="A265" s="198"/>
      <c r="B265" s="411" t="s">
        <v>342</v>
      </c>
      <c r="C265" s="44">
        <v>5202</v>
      </c>
      <c r="D265" s="412"/>
      <c r="H265" s="431"/>
    </row>
    <row r="266" spans="1:8" x14ac:dyDescent="0.25">
      <c r="A266" s="198"/>
      <c r="B266" s="411" t="s">
        <v>343</v>
      </c>
      <c r="C266" s="44">
        <v>5203</v>
      </c>
      <c r="D266" s="412"/>
      <c r="H266" s="431"/>
    </row>
    <row r="267" spans="1:8" x14ac:dyDescent="0.25">
      <c r="A267" s="198"/>
      <c r="B267" s="411" t="s">
        <v>344</v>
      </c>
      <c r="C267" s="44">
        <v>5204</v>
      </c>
      <c r="D267" s="412"/>
      <c r="H267" s="431"/>
    </row>
    <row r="268" spans="1:8" x14ac:dyDescent="0.25">
      <c r="A268" s="198"/>
      <c r="B268" s="411" t="s">
        <v>345</v>
      </c>
      <c r="C268" s="44">
        <v>5205</v>
      </c>
      <c r="D268" s="412"/>
      <c r="H268" s="431"/>
    </row>
    <row r="269" spans="1:8" x14ac:dyDescent="0.25">
      <c r="A269" s="198"/>
      <c r="B269" s="411" t="s">
        <v>346</v>
      </c>
      <c r="C269" s="44">
        <v>5206</v>
      </c>
      <c r="D269" s="412"/>
      <c r="H269" s="431"/>
    </row>
    <row r="270" spans="1:8" x14ac:dyDescent="0.25">
      <c r="A270" s="198"/>
      <c r="B270" s="408" t="s">
        <v>347</v>
      </c>
      <c r="C270" s="409"/>
      <c r="D270" s="410">
        <f>SUM(D271:D274)</f>
        <v>0</v>
      </c>
      <c r="H270" s="431"/>
    </row>
    <row r="271" spans="1:8" x14ac:dyDescent="0.25">
      <c r="A271" s="198"/>
      <c r="B271" s="411" t="s">
        <v>348</v>
      </c>
      <c r="C271" s="44">
        <v>5211</v>
      </c>
      <c r="D271" s="412"/>
      <c r="H271" s="431"/>
    </row>
    <row r="272" spans="1:8" x14ac:dyDescent="0.25">
      <c r="A272" s="198"/>
      <c r="B272" s="411" t="s">
        <v>349</v>
      </c>
      <c r="C272" s="44">
        <v>5212</v>
      </c>
      <c r="D272" s="412"/>
      <c r="H272" s="431"/>
    </row>
    <row r="273" spans="1:8" x14ac:dyDescent="0.25">
      <c r="A273" s="198"/>
      <c r="B273" s="411" t="s">
        <v>350</v>
      </c>
      <c r="C273" s="44">
        <v>5213</v>
      </c>
      <c r="D273" s="412"/>
      <c r="H273" s="431"/>
    </row>
    <row r="274" spans="1:8" x14ac:dyDescent="0.25">
      <c r="A274" s="198"/>
      <c r="B274" s="411" t="s">
        <v>351</v>
      </c>
      <c r="C274" s="44">
        <v>5214</v>
      </c>
      <c r="D274" s="412"/>
      <c r="H274" s="431"/>
    </row>
    <row r="275" spans="1:8" x14ac:dyDescent="0.25">
      <c r="A275" s="198"/>
      <c r="B275" s="408" t="s">
        <v>352</v>
      </c>
      <c r="C275" s="409"/>
      <c r="D275" s="410">
        <f>SUM(D276:D284)</f>
        <v>0</v>
      </c>
      <c r="H275" s="431"/>
    </row>
    <row r="276" spans="1:8" x14ac:dyDescent="0.25">
      <c r="A276" s="198"/>
      <c r="B276" s="411" t="s">
        <v>353</v>
      </c>
      <c r="C276" s="44">
        <v>5221</v>
      </c>
      <c r="D276" s="412"/>
      <c r="H276" s="431"/>
    </row>
    <row r="277" spans="1:8" x14ac:dyDescent="0.25">
      <c r="A277" s="198"/>
      <c r="B277" s="411" t="s">
        <v>354</v>
      </c>
      <c r="C277" s="44">
        <v>5222</v>
      </c>
      <c r="D277" s="412"/>
      <c r="H277" s="431"/>
    </row>
    <row r="278" spans="1:8" x14ac:dyDescent="0.25">
      <c r="A278" s="198"/>
      <c r="B278" s="411" t="s">
        <v>355</v>
      </c>
      <c r="C278" s="44">
        <v>5223</v>
      </c>
      <c r="D278" s="412"/>
      <c r="H278" s="431"/>
    </row>
    <row r="279" spans="1:8" x14ac:dyDescent="0.25">
      <c r="A279" s="198"/>
      <c r="B279" s="411" t="s">
        <v>356</v>
      </c>
      <c r="C279" s="44">
        <v>5224</v>
      </c>
      <c r="D279" s="412"/>
      <c r="H279" s="431"/>
    </row>
    <row r="280" spans="1:8" x14ac:dyDescent="0.25">
      <c r="A280" s="198"/>
      <c r="B280" s="411" t="s">
        <v>357</v>
      </c>
      <c r="C280" s="44">
        <v>5225</v>
      </c>
      <c r="D280" s="412"/>
      <c r="H280" s="431"/>
    </row>
    <row r="281" spans="1:8" x14ac:dyDescent="0.25">
      <c r="A281" s="198"/>
      <c r="B281" s="411" t="s">
        <v>358</v>
      </c>
      <c r="C281" s="44">
        <v>5226</v>
      </c>
      <c r="D281" s="412"/>
      <c r="H281" s="431"/>
    </row>
    <row r="282" spans="1:8" x14ac:dyDescent="0.25">
      <c r="A282" s="198"/>
      <c r="B282" s="411" t="s">
        <v>359</v>
      </c>
      <c r="C282" s="44">
        <v>5227</v>
      </c>
      <c r="D282" s="412"/>
      <c r="H282" s="431"/>
    </row>
    <row r="283" spans="1:8" x14ac:dyDescent="0.25">
      <c r="A283" s="198"/>
      <c r="B283" s="411" t="s">
        <v>360</v>
      </c>
      <c r="C283" s="44">
        <v>5228</v>
      </c>
      <c r="D283" s="412"/>
      <c r="H283" s="431"/>
    </row>
    <row r="284" spans="1:8" x14ac:dyDescent="0.25">
      <c r="A284" s="198"/>
      <c r="B284" s="411" t="s">
        <v>128</v>
      </c>
      <c r="C284" s="44">
        <v>5229</v>
      </c>
      <c r="D284" s="412"/>
      <c r="H284" s="431"/>
    </row>
    <row r="285" spans="1:8" x14ac:dyDescent="0.25">
      <c r="A285" s="198"/>
      <c r="B285" s="408" t="s">
        <v>361</v>
      </c>
      <c r="C285" s="409"/>
      <c r="D285" s="410">
        <f>SUM(D286:D314)</f>
        <v>0</v>
      </c>
      <c r="H285" s="431"/>
    </row>
    <row r="286" spans="1:8" ht="25.5" x14ac:dyDescent="0.25">
      <c r="A286" s="198"/>
      <c r="B286" s="411" t="s">
        <v>362</v>
      </c>
      <c r="C286" s="44">
        <v>5231</v>
      </c>
      <c r="D286" s="412"/>
      <c r="H286" s="431"/>
    </row>
    <row r="287" spans="1:8" ht="25.5" x14ac:dyDescent="0.25">
      <c r="A287" s="198"/>
      <c r="B287" s="411" t="s">
        <v>363</v>
      </c>
      <c r="C287" s="44">
        <v>5232</v>
      </c>
      <c r="D287" s="412"/>
      <c r="H287" s="431"/>
    </row>
    <row r="288" spans="1:8" ht="25.5" x14ac:dyDescent="0.25">
      <c r="A288" s="198"/>
      <c r="B288" s="411" t="s">
        <v>364</v>
      </c>
      <c r="C288" s="44">
        <v>5233</v>
      </c>
      <c r="D288" s="412"/>
      <c r="H288" s="431"/>
    </row>
    <row r="289" spans="1:8" ht="25.5" x14ac:dyDescent="0.25">
      <c r="A289" s="198"/>
      <c r="B289" s="411" t="s">
        <v>365</v>
      </c>
      <c r="C289" s="44">
        <v>5234</v>
      </c>
      <c r="D289" s="412"/>
      <c r="H289" s="431"/>
    </row>
    <row r="290" spans="1:8" x14ac:dyDescent="0.25">
      <c r="A290" s="198"/>
      <c r="B290" s="411" t="s">
        <v>366</v>
      </c>
      <c r="C290" s="44">
        <v>5235</v>
      </c>
      <c r="D290" s="412"/>
      <c r="H290" s="431"/>
    </row>
    <row r="291" spans="1:8" x14ac:dyDescent="0.25">
      <c r="A291" s="198"/>
      <c r="B291" s="411" t="s">
        <v>367</v>
      </c>
      <c r="C291" s="44">
        <v>5236</v>
      </c>
      <c r="D291" s="412"/>
      <c r="H291" s="431"/>
    </row>
    <row r="292" spans="1:8" x14ac:dyDescent="0.25">
      <c r="A292" s="198"/>
      <c r="B292" s="411" t="s">
        <v>368</v>
      </c>
      <c r="C292" s="44">
        <v>5237</v>
      </c>
      <c r="D292" s="412"/>
      <c r="H292" s="431"/>
    </row>
    <row r="293" spans="1:8" x14ac:dyDescent="0.25">
      <c r="A293" s="198"/>
      <c r="B293" s="411" t="s">
        <v>369</v>
      </c>
      <c r="C293" s="44">
        <v>5238</v>
      </c>
      <c r="D293" s="412"/>
      <c r="H293" s="431"/>
    </row>
    <row r="294" spans="1:8" x14ac:dyDescent="0.25">
      <c r="A294" s="198"/>
      <c r="B294" s="411" t="s">
        <v>370</v>
      </c>
      <c r="C294" s="44">
        <v>5239</v>
      </c>
      <c r="D294" s="412"/>
      <c r="H294" s="431"/>
    </row>
    <row r="295" spans="1:8" x14ac:dyDescent="0.25">
      <c r="A295" s="198"/>
      <c r="B295" s="411" t="s">
        <v>371</v>
      </c>
      <c r="C295" s="44">
        <v>5240</v>
      </c>
      <c r="D295" s="412"/>
      <c r="H295" s="431"/>
    </row>
    <row r="296" spans="1:8" x14ac:dyDescent="0.25">
      <c r="A296" s="198"/>
      <c r="B296" s="411" t="s">
        <v>372</v>
      </c>
      <c r="C296" s="44">
        <v>5241</v>
      </c>
      <c r="D296" s="412"/>
      <c r="H296" s="431"/>
    </row>
    <row r="297" spans="1:8" x14ac:dyDescent="0.25">
      <c r="A297" s="198"/>
      <c r="B297" s="411" t="s">
        <v>373</v>
      </c>
      <c r="C297" s="44">
        <v>5242</v>
      </c>
      <c r="D297" s="412"/>
      <c r="H297" s="431"/>
    </row>
    <row r="298" spans="1:8" ht="25.5" x14ac:dyDescent="0.25">
      <c r="A298" s="198"/>
      <c r="B298" s="411" t="s">
        <v>374</v>
      </c>
      <c r="C298" s="44">
        <v>5243</v>
      </c>
      <c r="D298" s="412"/>
      <c r="H298" s="431"/>
    </row>
    <row r="299" spans="1:8" x14ac:dyDescent="0.25">
      <c r="A299" s="198"/>
      <c r="B299" s="411" t="s">
        <v>375</v>
      </c>
      <c r="C299" s="44">
        <v>5244</v>
      </c>
      <c r="D299" s="412"/>
      <c r="H299" s="431"/>
    </row>
    <row r="300" spans="1:8" x14ac:dyDescent="0.25">
      <c r="A300" s="198"/>
      <c r="B300" s="411" t="s">
        <v>376</v>
      </c>
      <c r="C300" s="44">
        <v>5245</v>
      </c>
      <c r="D300" s="412"/>
      <c r="H300" s="431"/>
    </row>
    <row r="301" spans="1:8" x14ac:dyDescent="0.25">
      <c r="A301" s="198"/>
      <c r="B301" s="411" t="s">
        <v>377</v>
      </c>
      <c r="C301" s="44">
        <v>5246</v>
      </c>
      <c r="D301" s="412"/>
      <c r="H301" s="431"/>
    </row>
    <row r="302" spans="1:8" x14ac:dyDescent="0.25">
      <c r="A302" s="198"/>
      <c r="B302" s="411" t="s">
        <v>378</v>
      </c>
      <c r="C302" s="44">
        <v>5247</v>
      </c>
      <c r="D302" s="412"/>
      <c r="H302" s="431"/>
    </row>
    <row r="303" spans="1:8" x14ac:dyDescent="0.25">
      <c r="A303" s="198"/>
      <c r="B303" s="411" t="s">
        <v>379</v>
      </c>
      <c r="C303" s="44">
        <v>5248</v>
      </c>
      <c r="D303" s="412"/>
      <c r="H303" s="431"/>
    </row>
    <row r="304" spans="1:8" x14ac:dyDescent="0.25">
      <c r="A304" s="198"/>
      <c r="B304" s="411" t="s">
        <v>380</v>
      </c>
      <c r="C304" s="44">
        <v>5249</v>
      </c>
      <c r="D304" s="412"/>
      <c r="H304" s="431"/>
    </row>
    <row r="305" spans="1:8" x14ac:dyDescent="0.25">
      <c r="A305" s="198"/>
      <c r="B305" s="411" t="s">
        <v>381</v>
      </c>
      <c r="C305" s="44">
        <v>5250</v>
      </c>
      <c r="D305" s="412"/>
      <c r="H305" s="431"/>
    </row>
    <row r="306" spans="1:8" x14ac:dyDescent="0.25">
      <c r="A306" s="198"/>
      <c r="B306" s="411" t="s">
        <v>382</v>
      </c>
      <c r="C306" s="44">
        <v>5251</v>
      </c>
      <c r="D306" s="412"/>
      <c r="H306" s="431"/>
    </row>
    <row r="307" spans="1:8" x14ac:dyDescent="0.25">
      <c r="A307" s="198"/>
      <c r="B307" s="411" t="s">
        <v>383</v>
      </c>
      <c r="C307" s="44">
        <v>5252</v>
      </c>
      <c r="D307" s="412"/>
      <c r="H307" s="431"/>
    </row>
    <row r="308" spans="1:8" x14ac:dyDescent="0.25">
      <c r="A308" s="198"/>
      <c r="B308" s="411" t="s">
        <v>384</v>
      </c>
      <c r="C308" s="44">
        <v>5253</v>
      </c>
      <c r="D308" s="412"/>
      <c r="H308" s="431"/>
    </row>
    <row r="309" spans="1:8" x14ac:dyDescent="0.25">
      <c r="A309" s="198"/>
      <c r="B309" s="411" t="s">
        <v>385</v>
      </c>
      <c r="C309" s="44">
        <v>5254</v>
      </c>
      <c r="D309" s="412"/>
      <c r="H309" s="431"/>
    </row>
    <row r="310" spans="1:8" x14ac:dyDescent="0.25">
      <c r="A310" s="198"/>
      <c r="B310" s="411" t="s">
        <v>386</v>
      </c>
      <c r="C310" s="44">
        <v>5255</v>
      </c>
      <c r="D310" s="412"/>
      <c r="H310" s="431"/>
    </row>
    <row r="311" spans="1:8" x14ac:dyDescent="0.25">
      <c r="A311" s="198"/>
      <c r="B311" s="411" t="s">
        <v>387</v>
      </c>
      <c r="C311" s="44">
        <v>5256</v>
      </c>
      <c r="D311" s="412"/>
      <c r="H311" s="431"/>
    </row>
    <row r="312" spans="1:8" x14ac:dyDescent="0.25">
      <c r="A312" s="198"/>
      <c r="B312" s="411" t="s">
        <v>388</v>
      </c>
      <c r="C312" s="44">
        <v>5257</v>
      </c>
      <c r="D312" s="412"/>
      <c r="H312" s="431"/>
    </row>
    <row r="313" spans="1:8" x14ac:dyDescent="0.25">
      <c r="A313" s="198"/>
      <c r="B313" s="411" t="s">
        <v>389</v>
      </c>
      <c r="C313" s="44">
        <v>5258</v>
      </c>
      <c r="D313" s="412"/>
      <c r="H313" s="431"/>
    </row>
    <row r="314" spans="1:8" x14ac:dyDescent="0.25">
      <c r="A314" s="198"/>
      <c r="B314" s="411" t="s">
        <v>390</v>
      </c>
      <c r="C314" s="44">
        <v>5259</v>
      </c>
      <c r="D314" s="412"/>
      <c r="H314" s="431"/>
    </row>
    <row r="315" spans="1:8" x14ac:dyDescent="0.25">
      <c r="A315" s="198"/>
      <c r="B315" s="424" t="s">
        <v>391</v>
      </c>
      <c r="C315" s="409"/>
      <c r="D315" s="410">
        <f>SUM(D316:D321)</f>
        <v>0</v>
      </c>
      <c r="H315" s="431"/>
    </row>
    <row r="316" spans="1:8" x14ac:dyDescent="0.25">
      <c r="A316" s="198"/>
      <c r="B316" s="411" t="s">
        <v>392</v>
      </c>
      <c r="C316" s="44">
        <v>5301</v>
      </c>
      <c r="D316" s="412"/>
      <c r="H316" s="431"/>
    </row>
    <row r="317" spans="1:8" x14ac:dyDescent="0.25">
      <c r="A317" s="198"/>
      <c r="B317" s="411" t="s">
        <v>393</v>
      </c>
      <c r="C317" s="44">
        <v>5302</v>
      </c>
      <c r="D317" s="412"/>
      <c r="H317" s="431"/>
    </row>
    <row r="318" spans="1:8" x14ac:dyDescent="0.25">
      <c r="A318" s="198"/>
      <c r="B318" s="411" t="s">
        <v>394</v>
      </c>
      <c r="C318" s="44">
        <v>5303</v>
      </c>
      <c r="D318" s="412"/>
      <c r="H318" s="431"/>
    </row>
    <row r="319" spans="1:8" x14ac:dyDescent="0.25">
      <c r="A319" s="198"/>
      <c r="B319" s="411" t="s">
        <v>293</v>
      </c>
      <c r="C319" s="44">
        <v>5304</v>
      </c>
      <c r="D319" s="412"/>
      <c r="H319" s="431"/>
    </row>
    <row r="320" spans="1:8" x14ac:dyDescent="0.25">
      <c r="A320" s="198"/>
      <c r="B320" s="411" t="s">
        <v>395</v>
      </c>
      <c r="C320" s="44">
        <v>5305</v>
      </c>
      <c r="D320" s="412"/>
      <c r="H320" s="431"/>
    </row>
    <row r="321" spans="1:8" x14ac:dyDescent="0.25">
      <c r="A321" s="198"/>
      <c r="B321" s="411" t="s">
        <v>396</v>
      </c>
      <c r="C321" s="44">
        <v>5306</v>
      </c>
      <c r="D321" s="412"/>
      <c r="H321" s="431"/>
    </row>
    <row r="322" spans="1:8" x14ac:dyDescent="0.25">
      <c r="A322" s="198"/>
      <c r="B322" s="424" t="s">
        <v>397</v>
      </c>
      <c r="C322" s="409"/>
      <c r="D322" s="410">
        <f>D323</f>
        <v>0</v>
      </c>
      <c r="H322" s="431"/>
    </row>
    <row r="323" spans="1:8" x14ac:dyDescent="0.25">
      <c r="A323" s="198"/>
      <c r="B323" s="411" t="s">
        <v>397</v>
      </c>
      <c r="C323" s="44">
        <v>5601</v>
      </c>
      <c r="D323" s="412"/>
      <c r="H323" s="431"/>
    </row>
    <row r="324" spans="1:8" x14ac:dyDescent="0.25">
      <c r="A324" s="198"/>
      <c r="B324" s="424" t="s">
        <v>398</v>
      </c>
      <c r="C324" s="409"/>
      <c r="D324" s="410">
        <f>D325</f>
        <v>0</v>
      </c>
      <c r="H324" s="431"/>
    </row>
    <row r="325" spans="1:8" x14ac:dyDescent="0.25">
      <c r="A325" s="198"/>
      <c r="B325" s="411" t="s">
        <v>399</v>
      </c>
      <c r="C325" s="44">
        <v>5701</v>
      </c>
      <c r="D325" s="412"/>
      <c r="H325" s="431"/>
    </row>
    <row r="326" spans="1:8" x14ac:dyDescent="0.25">
      <c r="A326" s="672" t="s">
        <v>400</v>
      </c>
      <c r="B326" s="672"/>
      <c r="C326" s="672"/>
      <c r="D326" s="405">
        <f>SUM(D9,D241,D253)</f>
        <v>0</v>
      </c>
      <c r="E326" s="672" t="s">
        <v>400</v>
      </c>
      <c r="F326" s="672"/>
      <c r="G326" s="672"/>
      <c r="H326" s="405">
        <f>SUM(H9,H132,H151)</f>
        <v>0</v>
      </c>
    </row>
    <row r="327" spans="1:8" x14ac:dyDescent="0.25">
      <c r="F327" s="55"/>
      <c r="H327" s="341"/>
    </row>
    <row r="328" spans="1:8" x14ac:dyDescent="0.25">
      <c r="F328" s="56" t="str">
        <f>+IF(D326=H326,"","ТЭНЦЛИЙН ДҮН ЗӨРҮҮТЭЙ")</f>
        <v/>
      </c>
      <c r="H328" s="342">
        <f>+D326-H326</f>
        <v>0</v>
      </c>
    </row>
    <row r="329" spans="1:8" ht="15.75" customHeight="1" x14ac:dyDescent="0.25">
      <c r="B329" s="710" t="s">
        <v>401</v>
      </c>
      <c r="C329" s="711" t="s">
        <v>402</v>
      </c>
      <c r="D329" s="712"/>
      <c r="F329" s="713" t="s">
        <v>403</v>
      </c>
      <c r="G329" s="713"/>
      <c r="H329" s="126">
        <f>+H330-H331</f>
        <v>0</v>
      </c>
    </row>
    <row r="330" spans="1:8" ht="15.75" customHeight="1" x14ac:dyDescent="0.25">
      <c r="B330" s="710"/>
      <c r="C330" s="711"/>
      <c r="D330" s="712"/>
      <c r="F330" s="714" t="s">
        <v>404</v>
      </c>
      <c r="G330" s="714"/>
      <c r="H330" s="126">
        <f>+H151</f>
        <v>0</v>
      </c>
    </row>
    <row r="331" spans="1:8" ht="15.75" customHeight="1" x14ac:dyDescent="0.25">
      <c r="B331" s="424" t="s">
        <v>405</v>
      </c>
      <c r="C331" s="406"/>
      <c r="D331" s="432">
        <f>SUM(D332:D333)</f>
        <v>0</v>
      </c>
      <c r="F331" s="714" t="s">
        <v>406</v>
      </c>
      <c r="G331" s="714"/>
      <c r="H331" s="126">
        <f>+D253</f>
        <v>0</v>
      </c>
    </row>
    <row r="332" spans="1:8" x14ac:dyDescent="0.25">
      <c r="B332" s="411" t="s">
        <v>407</v>
      </c>
      <c r="C332" s="44">
        <v>9901</v>
      </c>
      <c r="D332" s="433"/>
    </row>
    <row r="333" spans="1:8" x14ac:dyDescent="0.25">
      <c r="B333" s="411" t="s">
        <v>408</v>
      </c>
      <c r="C333" s="44">
        <v>9902</v>
      </c>
      <c r="D333" s="433"/>
      <c r="H333" s="343"/>
    </row>
    <row r="334" spans="1:8" x14ac:dyDescent="0.2">
      <c r="B334" s="424" t="s">
        <v>409</v>
      </c>
      <c r="C334" s="406"/>
      <c r="D334" s="432">
        <f>SUM(D335:D342)</f>
        <v>0</v>
      </c>
      <c r="G334" s="434" t="s">
        <v>410</v>
      </c>
      <c r="H334" s="435" t="s">
        <v>411</v>
      </c>
    </row>
    <row r="335" spans="1:8" x14ac:dyDescent="0.2">
      <c r="B335" s="411" t="s">
        <v>412</v>
      </c>
      <c r="C335" s="44">
        <v>9911</v>
      </c>
      <c r="D335" s="433"/>
      <c r="G335" s="436" t="s">
        <v>413</v>
      </c>
      <c r="H335" s="583">
        <v>3333.02</v>
      </c>
    </row>
    <row r="336" spans="1:8" x14ac:dyDescent="0.2">
      <c r="B336" s="411" t="s">
        <v>414</v>
      </c>
      <c r="C336" s="44">
        <v>9912</v>
      </c>
      <c r="D336" s="433"/>
      <c r="G336" s="436" t="s">
        <v>415</v>
      </c>
      <c r="H336" s="583">
        <v>3218.36</v>
      </c>
    </row>
    <row r="337" spans="2:8" x14ac:dyDescent="0.2">
      <c r="B337" s="411" t="s">
        <v>416</v>
      </c>
      <c r="C337" s="44">
        <v>9913</v>
      </c>
      <c r="D337" s="433"/>
      <c r="G337" s="436" t="s">
        <v>417</v>
      </c>
      <c r="H337" s="583">
        <v>23.04</v>
      </c>
    </row>
    <row r="338" spans="2:8" x14ac:dyDescent="0.2">
      <c r="B338" s="411" t="s">
        <v>418</v>
      </c>
      <c r="C338" s="44">
        <v>9914</v>
      </c>
      <c r="D338" s="433"/>
      <c r="G338" s="436" t="s">
        <v>419</v>
      </c>
      <c r="H338" s="584">
        <v>3385.5</v>
      </c>
    </row>
    <row r="339" spans="2:8" x14ac:dyDescent="0.2">
      <c r="B339" s="411" t="s">
        <v>420</v>
      </c>
      <c r="C339" s="44">
        <v>9915</v>
      </c>
      <c r="D339" s="433"/>
      <c r="G339" s="436" t="s">
        <v>421</v>
      </c>
      <c r="H339" s="583">
        <v>3593.66</v>
      </c>
    </row>
    <row r="340" spans="2:8" x14ac:dyDescent="0.2">
      <c r="B340" s="411" t="s">
        <v>422</v>
      </c>
      <c r="C340" s="44">
        <v>9916</v>
      </c>
      <c r="D340" s="433"/>
      <c r="G340" s="436" t="s">
        <v>423</v>
      </c>
      <c r="H340" s="583">
        <v>462.55</v>
      </c>
    </row>
    <row r="341" spans="2:8" x14ac:dyDescent="0.2">
      <c r="B341" s="411" t="s">
        <v>424</v>
      </c>
      <c r="C341" s="44">
        <v>9917</v>
      </c>
      <c r="D341" s="433"/>
      <c r="G341" s="436" t="s">
        <v>425</v>
      </c>
      <c r="H341" s="583">
        <v>57.34</v>
      </c>
    </row>
    <row r="342" spans="2:8" x14ac:dyDescent="0.2">
      <c r="B342" s="411" t="s">
        <v>128</v>
      </c>
      <c r="C342" s="44">
        <v>9918</v>
      </c>
      <c r="D342" s="433"/>
      <c r="G342" s="436" t="s">
        <v>426</v>
      </c>
      <c r="H342" s="583">
        <v>2.3199999999999998</v>
      </c>
    </row>
    <row r="343" spans="2:8" x14ac:dyDescent="0.2">
      <c r="B343" s="424" t="s">
        <v>427</v>
      </c>
      <c r="C343" s="406"/>
      <c r="D343" s="432">
        <f>SUM(D344:D351)</f>
        <v>0</v>
      </c>
      <c r="G343" s="436" t="s">
        <v>128</v>
      </c>
      <c r="H343" s="585"/>
    </row>
    <row r="344" spans="2:8" x14ac:dyDescent="0.25">
      <c r="B344" s="411" t="s">
        <v>428</v>
      </c>
      <c r="C344" s="44">
        <v>9921</v>
      </c>
      <c r="D344" s="433"/>
      <c r="H344" s="343"/>
    </row>
    <row r="345" spans="2:8" x14ac:dyDescent="0.25">
      <c r="B345" s="411" t="s">
        <v>429</v>
      </c>
      <c r="C345" s="44">
        <v>9922</v>
      </c>
      <c r="D345" s="433"/>
      <c r="H345" s="343"/>
    </row>
    <row r="346" spans="2:8" x14ac:dyDescent="0.25">
      <c r="B346" s="411" t="s">
        <v>430</v>
      </c>
      <c r="C346" s="44">
        <v>9923</v>
      </c>
      <c r="D346" s="433"/>
      <c r="H346" s="343"/>
    </row>
    <row r="347" spans="2:8" x14ac:dyDescent="0.25">
      <c r="B347" s="411" t="s">
        <v>431</v>
      </c>
      <c r="C347" s="44">
        <v>9924</v>
      </c>
      <c r="D347" s="433"/>
      <c r="H347" s="343"/>
    </row>
    <row r="348" spans="2:8" x14ac:dyDescent="0.25">
      <c r="B348" s="411" t="s">
        <v>432</v>
      </c>
      <c r="C348" s="44">
        <v>9925</v>
      </c>
      <c r="D348" s="433"/>
    </row>
    <row r="349" spans="2:8" x14ac:dyDescent="0.25">
      <c r="B349" s="411" t="s">
        <v>433</v>
      </c>
      <c r="C349" s="44">
        <v>9926</v>
      </c>
      <c r="D349" s="433"/>
    </row>
    <row r="350" spans="2:8" x14ac:dyDescent="0.25">
      <c r="B350" s="411" t="s">
        <v>434</v>
      </c>
      <c r="C350" s="44">
        <v>9927</v>
      </c>
      <c r="D350" s="433"/>
    </row>
    <row r="351" spans="2:8" x14ac:dyDescent="0.25">
      <c r="B351" s="411" t="s">
        <v>435</v>
      </c>
      <c r="C351" s="44">
        <v>9928</v>
      </c>
      <c r="D351" s="433"/>
    </row>
    <row r="352" spans="2:8" x14ac:dyDescent="0.25">
      <c r="B352" s="424" t="s">
        <v>128</v>
      </c>
      <c r="C352" s="406"/>
      <c r="D352" s="405">
        <f>D353</f>
        <v>0</v>
      </c>
    </row>
    <row r="353" spans="2:6" x14ac:dyDescent="0.25">
      <c r="B353" s="411" t="s">
        <v>436</v>
      </c>
      <c r="C353" s="44">
        <v>9931</v>
      </c>
      <c r="D353" s="412"/>
    </row>
    <row r="354" spans="2:6" x14ac:dyDescent="0.25">
      <c r="D354" s="339"/>
    </row>
    <row r="355" spans="2:6" x14ac:dyDescent="0.25">
      <c r="D355" s="339"/>
    </row>
    <row r="357" spans="2:6" x14ac:dyDescent="0.25">
      <c r="B357" s="715" t="s">
        <v>36</v>
      </c>
      <c r="C357" s="716"/>
    </row>
    <row r="359" spans="2:6" ht="15" customHeight="1" x14ac:dyDescent="0.25">
      <c r="B359" s="717" t="s">
        <v>437</v>
      </c>
      <c r="C359" s="717"/>
      <c r="D359" s="717"/>
    </row>
    <row r="361" spans="2:6" x14ac:dyDescent="0.25">
      <c r="D361" s="708" t="str">
        <f>+Statistic!B60</f>
        <v>ГҮЙЦЭТГЭХ ЗАХИРАЛ.................................................................//</v>
      </c>
      <c r="E361" s="708"/>
      <c r="F361" s="708"/>
    </row>
    <row r="362" spans="2:6" x14ac:dyDescent="0.25">
      <c r="D362" s="129"/>
      <c r="E362" s="129"/>
      <c r="F362" s="129"/>
    </row>
    <row r="363" spans="2:6" x14ac:dyDescent="0.25">
      <c r="D363" s="708" t="str">
        <f>+Statistic!B62</f>
        <v>ЕРӨНХИЙ НЯГТЛАН БОДОГЧ....................................................//</v>
      </c>
      <c r="E363" s="708"/>
      <c r="F363" s="708"/>
    </row>
    <row r="364" spans="2:6" x14ac:dyDescent="0.25">
      <c r="D364" s="129"/>
      <c r="E364" s="129"/>
      <c r="F364" s="129"/>
    </row>
    <row r="365" spans="2:6" x14ac:dyDescent="0.25">
      <c r="D365" s="708">
        <f>+Statistic!B64</f>
        <v>0</v>
      </c>
      <c r="E365" s="708"/>
      <c r="F365" s="708"/>
    </row>
  </sheetData>
  <sheetProtection algorithmName="SHA-512" hashValue="VbqFoeFLnVEIfSvWQmJzN5z6S6ZhtmJEsmr//3eNsAfzkoVcYyy7A4VqE3MFDiBDu3eDixKYn3vaKgPjtoQZnA==" saltValue="LO2Gzua63fD5n3hEl3V2cA==" spinCount="100000" sheet="1" objects="1" scenarios="1"/>
  <mergeCells count="44">
    <mergeCell ref="A34:B34"/>
    <mergeCell ref="A2:H2"/>
    <mergeCell ref="A3:H3"/>
    <mergeCell ref="A4:H4"/>
    <mergeCell ref="A6:B6"/>
    <mergeCell ref="A7:B8"/>
    <mergeCell ref="C7:C8"/>
    <mergeCell ref="D7:D8"/>
    <mergeCell ref="E14:F14"/>
    <mergeCell ref="E7:F8"/>
    <mergeCell ref="G7:G8"/>
    <mergeCell ref="H7:H8"/>
    <mergeCell ref="A9:C9"/>
    <mergeCell ref="E9:G9"/>
    <mergeCell ref="A10:B10"/>
    <mergeCell ref="E10:F10"/>
    <mergeCell ref="A230:B230"/>
    <mergeCell ref="A52:B52"/>
    <mergeCell ref="E59:F59"/>
    <mergeCell ref="E75:F75"/>
    <mergeCell ref="E78:F78"/>
    <mergeCell ref="E105:F105"/>
    <mergeCell ref="E132:G132"/>
    <mergeCell ref="A136:B136"/>
    <mergeCell ref="E151:G151"/>
    <mergeCell ref="A155:B155"/>
    <mergeCell ref="A174:B174"/>
    <mergeCell ref="A186:B186"/>
    <mergeCell ref="D363:F363"/>
    <mergeCell ref="D365:F365"/>
    <mergeCell ref="A241:C241"/>
    <mergeCell ref="A242:B242"/>
    <mergeCell ref="A253:C253"/>
    <mergeCell ref="A326:C326"/>
    <mergeCell ref="E326:G326"/>
    <mergeCell ref="B329:B330"/>
    <mergeCell ref="C329:C330"/>
    <mergeCell ref="D329:D330"/>
    <mergeCell ref="F329:G329"/>
    <mergeCell ref="F330:G330"/>
    <mergeCell ref="F331:G331"/>
    <mergeCell ref="B357:C357"/>
    <mergeCell ref="B359:D359"/>
    <mergeCell ref="D361:F361"/>
  </mergeCells>
  <conditionalFormatting sqref="C6">
    <cfRule type="containsText" dxfId="1" priority="1" stopIfTrue="1" operator="containsText" text="огноо буруу">
      <formula>NOT(ISERROR(SEARCH("огноо буруу",C6)))</formula>
    </cfRule>
    <cfRule type="timePeriod" dxfId="0" priority="2" stopIfTrue="1" timePeriod="today">
      <formula>FLOOR(C6,1)=TODAY()</formula>
    </cfRule>
  </conditionalFormatting>
  <dataValidations count="3">
    <dataValidation type="textLength" allowBlank="1" showErrorMessage="1" errorTitle="ББСБ нэр нөхөх" error="ББСБ нэр нөхөөгүй" sqref="A3:H3" xr:uid="{00000000-0002-0000-0800-000000000000}">
      <formula1>5</formula1>
      <formula2>50</formula2>
    </dataValidation>
    <dataValidation operator="greaterThanOrEqual" allowBlank="1" showInputMessage="1" showErrorMessage="1" errorTitle="Огноо буруу" promptTitle="Огноог нөхөх" sqref="C6" xr:uid="{00000000-0002-0000-0800-000001000000}"/>
    <dataValidation operator="greaterThanOrEqual" allowBlank="1" showInputMessage="1" showErrorMessage="1" sqref="A6:B6" xr:uid="{00000000-0002-0000-0800-000002000000}"/>
  </dataValidations>
  <pageMargins left="0.78740157480314965" right="0.78740157480314965" top="1.1811023622047243" bottom="0.59055118110236215" header="0.78740157480314965" footer="0.78740157480314965"/>
  <pageSetup paperSize="9" scale="73" fitToHeight="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Тайлан бэлдэх зааварчилгаа</vt:lpstr>
      <vt:lpstr>Statistic</vt:lpstr>
      <vt:lpstr>Application</vt:lpstr>
      <vt:lpstr>iRate</vt:lpstr>
      <vt:lpstr>Wallet</vt:lpstr>
      <vt:lpstr>Gender</vt:lpstr>
      <vt:lpstr>Greenloan</vt:lpstr>
      <vt:lpstr>Greenloan_info</vt:lpstr>
      <vt:lpstr>BALANCE</vt:lpstr>
      <vt:lpstr>BALANCESHEET</vt:lpstr>
      <vt:lpstr>INCOME</vt:lpstr>
      <vt:lpstr>Capital</vt:lpstr>
      <vt:lpstr>Liquidity</vt:lpstr>
      <vt:lpstr>Forex</vt:lpstr>
      <vt:lpstr>Provision</vt:lpstr>
      <vt:lpstr>ALM</vt:lpstr>
      <vt:lpstr>Top40</vt:lpstr>
      <vt:lpstr>Insider</vt:lpstr>
      <vt:lpstr>Source</vt:lpstr>
      <vt:lpstr>Provide</vt:lpstr>
      <vt:lpstr>Ipotec</vt:lpstr>
      <vt:lpstr>Securities</vt:lpstr>
      <vt:lpstr>Bond</vt:lpstr>
      <vt:lpstr>Trust</vt:lpstr>
      <vt:lpstr>Off-balance</vt:lpstr>
      <vt:lpstr>Money transfer</vt:lpstr>
      <vt:lpstr>Ratio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Tungalag B</dc:creator>
  <cp:lastModifiedBy>Tungalag</cp:lastModifiedBy>
  <cp:lastPrinted>2022-03-18T02:55:26Z</cp:lastPrinted>
  <dcterms:created xsi:type="dcterms:W3CDTF">2019-09-09T06:29:41Z</dcterms:created>
  <dcterms:modified xsi:type="dcterms:W3CDTF">2022-09-30T06:02:16Z</dcterms:modified>
</cp:coreProperties>
</file>