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C:\Users\tungalag\Downloads\"/>
    </mc:Choice>
  </mc:AlternateContent>
  <xr:revisionPtr revIDLastSave="0" documentId="13_ncr:1_{A7887DF9-33F9-4554-BDA4-DADC35BF98A4}" xr6:coauthVersionLast="47" xr6:coauthVersionMax="47" xr10:uidLastSave="{00000000-0000-0000-0000-000000000000}"/>
  <workbookProtection workbookAlgorithmName="SHA-512" workbookHashValue="fvS/qJRAXHkt1E8lMVvB+0Hz1ER+IU/ArLEiY1kshDcTDzS6fW20YJs24oFe5KDzw7AylI+zjGMQTuczCgi9MQ==" workbookSaltValue="NM4ITFpRNY7EIDB98JDlxw==" workbookSpinCount="100000" lockStructure="1"/>
  <bookViews>
    <workbookView xWindow="28680" yWindow="-120" windowWidth="29040" windowHeight="15720" tabRatio="821" xr2:uid="{00000000-000D-0000-FFFF-FFFF00000000}"/>
  </bookViews>
  <sheets>
    <sheet name="Тайлан бэлдэх зааварчилгаа" sheetId="25" r:id="rId1"/>
    <sheet name="Statistic" sheetId="1" r:id="rId2"/>
    <sheet name="Application" sheetId="26" state="hidden" r:id="rId3"/>
    <sheet name="iRate" sheetId="30" r:id="rId4"/>
    <sheet name="Wallet" sheetId="27" state="hidden" r:id="rId5"/>
    <sheet name="Gender" sheetId="28" r:id="rId6"/>
    <sheet name="Greenloan" sheetId="29" r:id="rId7"/>
    <sheet name="GB" sheetId="2" r:id="rId8"/>
    <sheet name="BS" sheetId="32" r:id="rId9"/>
    <sheet name="IS" sheetId="35" r:id="rId10"/>
    <sheet name="SCSE" sheetId="34" r:id="rId11"/>
    <sheet name="CFS" sheetId="33" r:id="rId12"/>
    <sheet name="Capital" sheetId="5" r:id="rId13"/>
    <sheet name="Liquidity" sheetId="6" r:id="rId14"/>
    <sheet name="Forex" sheetId="22" r:id="rId15"/>
    <sheet name="Provision" sheetId="8" r:id="rId16"/>
    <sheet name="Top40" sheetId="21" r:id="rId17"/>
    <sheet name="Insider" sheetId="24" r:id="rId18"/>
    <sheet name="Ipotec" sheetId="14" r:id="rId19"/>
    <sheet name="Securities" sheetId="15" r:id="rId20"/>
    <sheet name="Source" sheetId="12" r:id="rId21"/>
    <sheet name="Bond" sheetId="16" r:id="rId22"/>
    <sheet name="ALM" sheetId="23" r:id="rId23"/>
    <sheet name="Off-balance" sheetId="18" r:id="rId24"/>
    <sheet name="Ratio" sheetId="20" r:id="rId25"/>
    <sheet name="Provide" sheetId="13" r:id="rId26"/>
    <sheet name="Trust" sheetId="17" r:id="rId27"/>
    <sheet name="Money transfer" sheetId="19" r:id="rId28"/>
  </sheets>
  <definedNames>
    <definedName name="_xlnm._FilterDatabase" localSheetId="8" hidden="1">BS!$A$6:$J$102</definedName>
    <definedName name="_xlnm._FilterDatabase" localSheetId="11" hidden="1">CFS!$A$6:$C$53</definedName>
    <definedName name="_xlnm._FilterDatabase" localSheetId="7" hidden="1">GB!$A$7:$H$1766</definedName>
    <definedName name="_xlnm._FilterDatabase" localSheetId="9" hidden="1">IS!$B$8:$D$204</definedName>
    <definedName name="тийм">#REF!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5" i="1" l="1"/>
  <c r="D44" i="1"/>
  <c r="D28" i="1"/>
  <c r="H417" i="2" l="1"/>
  <c r="H260" i="2"/>
  <c r="D1189" i="2"/>
  <c r="D1186" i="2"/>
  <c r="D1183" i="2"/>
  <c r="D1180" i="2"/>
  <c r="D1177" i="2"/>
  <c r="D1173" i="2"/>
  <c r="D1169" i="2"/>
  <c r="D1166" i="2"/>
  <c r="D1163" i="2"/>
  <c r="D1160" i="2"/>
  <c r="D1157" i="2"/>
  <c r="D1156" i="2" s="1"/>
  <c r="D1153" i="2"/>
  <c r="D1149" i="2"/>
  <c r="D1146" i="2"/>
  <c r="D1143" i="2"/>
  <c r="D1140" i="2"/>
  <c r="D1137" i="2"/>
  <c r="D1133" i="2"/>
  <c r="D1129" i="2"/>
  <c r="D1126" i="2"/>
  <c r="D1123" i="2"/>
  <c r="D1120" i="2"/>
  <c r="D1117" i="2"/>
  <c r="D1116" i="2" s="1"/>
  <c r="D1113" i="2"/>
  <c r="D1109" i="2"/>
  <c r="D1106" i="2"/>
  <c r="D1103" i="2"/>
  <c r="D1100" i="2"/>
  <c r="D1097" i="2"/>
  <c r="D1093" i="2"/>
  <c r="D20" i="6"/>
  <c r="C20" i="6"/>
  <c r="D19" i="6"/>
  <c r="C19" i="6"/>
  <c r="D16" i="6"/>
  <c r="C16" i="6"/>
  <c r="H22" i="23"/>
  <c r="H35" i="23" s="1"/>
  <c r="C22" i="23"/>
  <c r="J27" i="23"/>
  <c r="J22" i="23" s="1"/>
  <c r="I27" i="23"/>
  <c r="I22" i="23" s="1"/>
  <c r="I35" i="23" s="1"/>
  <c r="H27" i="23"/>
  <c r="G27" i="23"/>
  <c r="F27" i="23"/>
  <c r="E27" i="23"/>
  <c r="D27" i="23"/>
  <c r="C27" i="23"/>
  <c r="J24" i="23"/>
  <c r="I24" i="23"/>
  <c r="H24" i="23"/>
  <c r="G24" i="23"/>
  <c r="G22" i="23" s="1"/>
  <c r="G35" i="23" s="1"/>
  <c r="F24" i="23"/>
  <c r="F22" i="23" s="1"/>
  <c r="F35" i="23" s="1"/>
  <c r="E24" i="23"/>
  <c r="E22" i="23" s="1"/>
  <c r="D24" i="23"/>
  <c r="D22" i="23" s="1"/>
  <c r="C24" i="23"/>
  <c r="K24" i="23" s="1"/>
  <c r="D19" i="23"/>
  <c r="D35" i="23" s="1"/>
  <c r="E19" i="23"/>
  <c r="E35" i="23" s="1"/>
  <c r="F19" i="23"/>
  <c r="G19" i="23"/>
  <c r="H19" i="23"/>
  <c r="I19" i="23"/>
  <c r="J19" i="23"/>
  <c r="C19" i="23"/>
  <c r="K32" i="23"/>
  <c r="K23" i="23"/>
  <c r="K30" i="23"/>
  <c r="K31" i="23"/>
  <c r="K33" i="23"/>
  <c r="K34" i="23"/>
  <c r="C29" i="8"/>
  <c r="J35" i="23" l="1"/>
  <c r="D1136" i="2"/>
  <c r="D1096" i="2"/>
  <c r="D1092" i="2" s="1"/>
  <c r="D1176" i="2"/>
  <c r="D1172" i="2" s="1"/>
  <c r="D1112" i="2"/>
  <c r="D1152" i="2"/>
  <c r="D1132" i="2"/>
  <c r="C35" i="23"/>
  <c r="K27" i="23"/>
  <c r="K19" i="23"/>
  <c r="K22" i="23"/>
  <c r="M10" i="22"/>
  <c r="M19" i="22"/>
  <c r="D15" i="6" l="1"/>
  <c r="C15" i="6"/>
  <c r="K11" i="29" l="1"/>
  <c r="D75" i="32" l="1"/>
  <c r="D76" i="32"/>
  <c r="D77" i="32"/>
  <c r="D78" i="32"/>
  <c r="D81" i="32"/>
  <c r="D72" i="32"/>
  <c r="D53" i="32"/>
  <c r="T8" i="21" l="1"/>
  <c r="F37" i="8"/>
  <c r="D16" i="23"/>
  <c r="E16" i="23"/>
  <c r="F16" i="23"/>
  <c r="G16" i="23"/>
  <c r="H16" i="23"/>
  <c r="I16" i="23"/>
  <c r="J16" i="23"/>
  <c r="D1539" i="2" l="1"/>
  <c r="D1502" i="2"/>
  <c r="D338" i="2"/>
  <c r="D1515" i="2"/>
  <c r="D23" i="5"/>
  <c r="D10" i="6"/>
  <c r="C10" i="6"/>
  <c r="F18" i="29" l="1"/>
  <c r="F28" i="29" s="1"/>
  <c r="K19" i="29"/>
  <c r="O19" i="29" s="1"/>
  <c r="K20" i="29"/>
  <c r="K21" i="29"/>
  <c r="O21" i="29" s="1"/>
  <c r="K22" i="29"/>
  <c r="O22" i="29" s="1"/>
  <c r="K23" i="29"/>
  <c r="M18" i="22" l="1"/>
  <c r="D9" i="6" l="1"/>
  <c r="I28" i="16" l="1"/>
  <c r="F29" i="8" l="1"/>
  <c r="D18" i="6" l="1"/>
  <c r="C9" i="6"/>
  <c r="B43" i="20" l="1"/>
  <c r="B41" i="20"/>
  <c r="D30" i="19"/>
  <c r="D28" i="19"/>
  <c r="E36" i="18"/>
  <c r="E34" i="18"/>
  <c r="E38" i="17"/>
  <c r="E36" i="17"/>
  <c r="D37" i="16"/>
  <c r="D35" i="16"/>
  <c r="D36" i="15"/>
  <c r="D34" i="15"/>
  <c r="C44" i="14"/>
  <c r="C42" i="14"/>
  <c r="D86" i="13"/>
  <c r="D84" i="13"/>
  <c r="E37" i="12"/>
  <c r="E35" i="12"/>
  <c r="H37" i="24"/>
  <c r="H35" i="24"/>
  <c r="H60" i="21"/>
  <c r="H58" i="21"/>
  <c r="D48" i="23"/>
  <c r="D46" i="23"/>
  <c r="B53" i="8"/>
  <c r="B51" i="8"/>
  <c r="D43" i="22"/>
  <c r="D41" i="22"/>
  <c r="K43" i="22"/>
  <c r="J43" i="22"/>
  <c r="I43" i="22"/>
  <c r="H43" i="22"/>
  <c r="G43" i="22"/>
  <c r="F43" i="22"/>
  <c r="E43" i="22"/>
  <c r="K41" i="22"/>
  <c r="J41" i="22"/>
  <c r="I41" i="22"/>
  <c r="H41" i="22"/>
  <c r="G41" i="22"/>
  <c r="F41" i="22"/>
  <c r="E41" i="22"/>
  <c r="C24" i="6"/>
  <c r="E19" i="6"/>
  <c r="E16" i="6"/>
  <c r="E24" i="6"/>
  <c r="D17" i="6"/>
  <c r="D14" i="6" s="1"/>
  <c r="D42" i="1" l="1"/>
  <c r="H515" i="2" l="1"/>
  <c r="H374" i="2"/>
  <c r="D122" i="2"/>
  <c r="C22" i="6" l="1"/>
  <c r="E22" i="6"/>
  <c r="D1447" i="2"/>
  <c r="D1444" i="2"/>
  <c r="D1443" i="2" l="1"/>
  <c r="F1443" i="2"/>
  <c r="D1436" i="2"/>
  <c r="D1433" i="2"/>
  <c r="D1657" i="2" l="1"/>
  <c r="D14" i="5" l="1"/>
  <c r="D20" i="5"/>
  <c r="D21" i="5"/>
  <c r="D16" i="5"/>
  <c r="D12" i="5" l="1"/>
  <c r="D11" i="5"/>
  <c r="D10" i="5"/>
  <c r="D187" i="2"/>
  <c r="D1626" i="2" l="1"/>
  <c r="K27" i="29" l="1"/>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K28" i="29" l="1"/>
  <c r="O28" i="29" s="1"/>
  <c r="K18" i="29"/>
  <c r="O18" i="29" s="1"/>
  <c r="B34" i="6" l="1"/>
  <c r="B36" i="6"/>
  <c r="A65" i="5"/>
  <c r="A63" i="5"/>
  <c r="C215" i="35"/>
  <c r="C213" i="35"/>
  <c r="C211" i="35"/>
  <c r="B210" i="35"/>
  <c r="D23" i="34"/>
  <c r="D21" i="34"/>
  <c r="C19" i="34"/>
  <c r="C17" i="34"/>
  <c r="B60" i="33"/>
  <c r="B58" i="33"/>
  <c r="B56" i="33"/>
  <c r="A55" i="33"/>
  <c r="D1674" i="2" l="1"/>
  <c r="C44" i="8" s="1"/>
  <c r="A5" i="32"/>
  <c r="D1667" i="2"/>
  <c r="D45" i="5" l="1"/>
  <c r="D111" i="32"/>
  <c r="D109" i="32"/>
  <c r="C107" i="32"/>
  <c r="C1775" i="2"/>
  <c r="C1773" i="2"/>
  <c r="B44" i="27"/>
  <c r="B42" i="27"/>
  <c r="A40" i="27"/>
  <c r="E28" i="30"/>
  <c r="E26" i="30"/>
  <c r="D24" i="30"/>
  <c r="A21" i="26"/>
  <c r="B25" i="26"/>
  <c r="B23" i="26"/>
  <c r="B21" i="26"/>
  <c r="D1555" i="2" l="1"/>
  <c r="A4" i="35" l="1"/>
  <c r="K32" i="22" l="1"/>
  <c r="J32" i="22"/>
  <c r="I32" i="22"/>
  <c r="H32" i="22"/>
  <c r="G32" i="22"/>
  <c r="F32" i="22"/>
  <c r="E32" i="22"/>
  <c r="D32" i="22"/>
  <c r="C32" i="22"/>
  <c r="M21" i="22" l="1"/>
  <c r="M22" i="22"/>
  <c r="M15" i="22"/>
  <c r="M24" i="22"/>
  <c r="M25" i="22"/>
  <c r="M32" i="22"/>
  <c r="L22" i="22" s="1"/>
  <c r="D47" i="35"/>
  <c r="D48" i="35"/>
  <c r="D49" i="35"/>
  <c r="D50" i="35"/>
  <c r="D51" i="35"/>
  <c r="D53" i="35"/>
  <c r="D54" i="35"/>
  <c r="D55" i="35"/>
  <c r="D56" i="35"/>
  <c r="D57" i="35"/>
  <c r="D59" i="35"/>
  <c r="D60" i="35"/>
  <c r="D61" i="35"/>
  <c r="D62" i="35"/>
  <c r="D63" i="35"/>
  <c r="D65" i="35"/>
  <c r="D66" i="35"/>
  <c r="D67" i="35"/>
  <c r="D69" i="35"/>
  <c r="D70" i="35"/>
  <c r="D71" i="35"/>
  <c r="D74" i="35"/>
  <c r="D75" i="35"/>
  <c r="D76" i="35"/>
  <c r="D77" i="35"/>
  <c r="D78" i="35"/>
  <c r="D79" i="35"/>
  <c r="D80" i="35"/>
  <c r="D81" i="35"/>
  <c r="D82" i="35"/>
  <c r="D123" i="35"/>
  <c r="D124" i="35"/>
  <c r="D125" i="35"/>
  <c r="D127" i="35"/>
  <c r="D128" i="35"/>
  <c r="D129" i="35"/>
  <c r="D130" i="35"/>
  <c r="D132" i="35"/>
  <c r="D133" i="35"/>
  <c r="D134" i="35"/>
  <c r="D138" i="35"/>
  <c r="D139" i="35"/>
  <c r="D140" i="35"/>
  <c r="D141" i="35"/>
  <c r="D142" i="35"/>
  <c r="D143" i="35"/>
  <c r="D145" i="35"/>
  <c r="D146" i="35"/>
  <c r="D147" i="35"/>
  <c r="D148" i="35"/>
  <c r="D150" i="35"/>
  <c r="D151" i="35"/>
  <c r="D152" i="35"/>
  <c r="D153" i="35"/>
  <c r="D154" i="35"/>
  <c r="D155" i="35"/>
  <c r="D157" i="35"/>
  <c r="D158" i="35"/>
  <c r="D159" i="35"/>
  <c r="D160" i="35"/>
  <c r="D162" i="35"/>
  <c r="D163" i="35"/>
  <c r="D164" i="35"/>
  <c r="D165" i="35"/>
  <c r="D167" i="35"/>
  <c r="D168" i="35"/>
  <c r="D169" i="35"/>
  <c r="D170" i="35"/>
  <c r="D171" i="35"/>
  <c r="D172" i="35"/>
  <c r="D173" i="35"/>
  <c r="D174" i="35"/>
  <c r="D175" i="35"/>
  <c r="D176" i="35"/>
  <c r="D177" i="35"/>
  <c r="D178" i="35"/>
  <c r="D179" i="35"/>
  <c r="D180" i="35"/>
  <c r="D181" i="35"/>
  <c r="D182" i="35"/>
  <c r="D183" i="35"/>
  <c r="D184" i="35"/>
  <c r="D185" i="35"/>
  <c r="D186" i="35"/>
  <c r="D188" i="35"/>
  <c r="D189" i="35"/>
  <c r="D190" i="35"/>
  <c r="D191" i="35"/>
  <c r="D192" i="35"/>
  <c r="D193" i="35"/>
  <c r="D194" i="35"/>
  <c r="D195" i="35"/>
  <c r="D196" i="35"/>
  <c r="D199" i="35"/>
  <c r="D200" i="35"/>
  <c r="D201" i="35"/>
  <c r="D10" i="35"/>
  <c r="D11" i="35"/>
  <c r="D13" i="35"/>
  <c r="D14" i="35"/>
  <c r="D16" i="35"/>
  <c r="D17" i="35"/>
  <c r="D18" i="35"/>
  <c r="D19" i="35"/>
  <c r="D20" i="35"/>
  <c r="D21" i="35"/>
  <c r="D24" i="35"/>
  <c r="D25" i="35"/>
  <c r="D26" i="35"/>
  <c r="D27" i="35"/>
  <c r="D28" i="35"/>
  <c r="D29" i="35"/>
  <c r="D31" i="35"/>
  <c r="D32" i="35"/>
  <c r="D33" i="35"/>
  <c r="D34" i="35"/>
  <c r="D35" i="35"/>
  <c r="D36" i="35"/>
  <c r="D38" i="35"/>
  <c r="D39" i="35"/>
  <c r="D40" i="35"/>
  <c r="D41" i="35"/>
  <c r="D42" i="35"/>
  <c r="D86" i="35"/>
  <c r="D87" i="35"/>
  <c r="D88" i="35"/>
  <c r="D90" i="35"/>
  <c r="D91" i="35"/>
  <c r="D92" i="35"/>
  <c r="D93" i="35"/>
  <c r="D95" i="35"/>
  <c r="D96" i="35"/>
  <c r="D97" i="35"/>
  <c r="D98" i="35"/>
  <c r="D99" i="35"/>
  <c r="D100" i="35"/>
  <c r="D101" i="35"/>
  <c r="D102" i="35"/>
  <c r="D103" i="35"/>
  <c r="D104" i="35"/>
  <c r="D106" i="35"/>
  <c r="D107" i="35"/>
  <c r="D109" i="35"/>
  <c r="D110" i="35"/>
  <c r="D111" i="35"/>
  <c r="D112" i="35"/>
  <c r="D113" i="35"/>
  <c r="D114" i="35"/>
  <c r="D115" i="35"/>
  <c r="D116" i="35"/>
  <c r="D117" i="35"/>
  <c r="D118" i="35"/>
  <c r="D119" i="35"/>
  <c r="D120" i="35"/>
  <c r="L10" i="22" l="1"/>
  <c r="L21" i="22"/>
  <c r="L15" i="22"/>
  <c r="D73" i="35"/>
  <c r="D198" i="35"/>
  <c r="D187" i="35"/>
  <c r="C9" i="34"/>
  <c r="C15" i="34" s="1"/>
  <c r="D9" i="34"/>
  <c r="D15" i="34" s="1"/>
  <c r="C22" i="33"/>
  <c r="C13" i="33"/>
  <c r="C23" i="33" l="1"/>
  <c r="I11" i="34"/>
  <c r="I12" i="34"/>
  <c r="I13" i="34"/>
  <c r="I14" i="34"/>
  <c r="I8" i="34"/>
  <c r="E9" i="34"/>
  <c r="E15" i="34" s="1"/>
  <c r="F9" i="34"/>
  <c r="F15" i="34" s="1"/>
  <c r="F16" i="34" s="1"/>
  <c r="G9" i="34"/>
  <c r="G15" i="34" s="1"/>
  <c r="A5" i="34"/>
  <c r="A3" i="34"/>
  <c r="C48" i="33"/>
  <c r="C43" i="33"/>
  <c r="C36" i="33"/>
  <c r="C30" i="33"/>
  <c r="A5" i="33"/>
  <c r="A3" i="33"/>
  <c r="I93" i="32"/>
  <c r="I78" i="32"/>
  <c r="I79" i="32"/>
  <c r="I80" i="32"/>
  <c r="I81" i="32"/>
  <c r="I82" i="32"/>
  <c r="I83" i="32"/>
  <c r="I84" i="32"/>
  <c r="I85" i="32"/>
  <c r="I77" i="32"/>
  <c r="I75" i="32"/>
  <c r="C37" i="33" l="1"/>
  <c r="C49" i="33"/>
  <c r="C51" i="33" s="1"/>
  <c r="I73" i="32"/>
  <c r="D1479" i="2" l="1"/>
  <c r="D80" i="32" s="1"/>
  <c r="D70" i="32"/>
  <c r="D68" i="32"/>
  <c r="D66" i="32"/>
  <c r="D23" i="32"/>
  <c r="F36" i="8" s="1"/>
  <c r="A3" i="32"/>
  <c r="D13" i="32"/>
  <c r="D1088" i="2"/>
  <c r="D35" i="32" l="1"/>
  <c r="D108" i="35"/>
  <c r="H501" i="2"/>
  <c r="D94" i="35" s="1"/>
  <c r="H512" i="2"/>
  <c r="D105" i="35" s="1"/>
  <c r="H478" i="2"/>
  <c r="D30" i="35" s="1"/>
  <c r="H471" i="2"/>
  <c r="D1636" i="2"/>
  <c r="D166" i="35" s="1"/>
  <c r="D1619" i="2"/>
  <c r="D149" i="35" s="1"/>
  <c r="D1614" i="2"/>
  <c r="D144" i="35" s="1"/>
  <c r="D1607" i="2"/>
  <c r="D1573" i="2"/>
  <c r="D64" i="35" s="1"/>
  <c r="D1567" i="2"/>
  <c r="D1749" i="2"/>
  <c r="D1708" i="2"/>
  <c r="D1700" i="2"/>
  <c r="D1692" i="2" s="1"/>
  <c r="D1686" i="2"/>
  <c r="H496" i="2"/>
  <c r="D89" i="35" s="1"/>
  <c r="H492" i="2"/>
  <c r="H485" i="2"/>
  <c r="D37" i="35" s="1"/>
  <c r="H463" i="2"/>
  <c r="D15" i="35" s="1"/>
  <c r="H460" i="2"/>
  <c r="D12" i="35" s="1"/>
  <c r="H457" i="2"/>
  <c r="D9" i="35" s="1"/>
  <c r="H412" i="2"/>
  <c r="H423" i="2"/>
  <c r="H426" i="2"/>
  <c r="H430" i="2"/>
  <c r="H437" i="2"/>
  <c r="H442" i="2"/>
  <c r="H445" i="2"/>
  <c r="H392" i="2"/>
  <c r="H398" i="2"/>
  <c r="H395" i="2"/>
  <c r="H388" i="2"/>
  <c r="H385" i="2"/>
  <c r="H270" i="2"/>
  <c r="H91" i="2"/>
  <c r="H73" i="2"/>
  <c r="H45" i="2"/>
  <c r="H11" i="2"/>
  <c r="D1475" i="2"/>
  <c r="D79" i="32" s="1"/>
  <c r="D1467" i="2"/>
  <c r="D74" i="32" s="1"/>
  <c r="D1547" i="2"/>
  <c r="D1543" i="2"/>
  <c r="D1535" i="2"/>
  <c r="D1531" i="2"/>
  <c r="D1527" i="2"/>
  <c r="D1523" i="2"/>
  <c r="D1519" i="2"/>
  <c r="D1510" i="2"/>
  <c r="D1506" i="2"/>
  <c r="D1498" i="2"/>
  <c r="D1494" i="2"/>
  <c r="D1490" i="2"/>
  <c r="D1486" i="2"/>
  <c r="D1757" i="2"/>
  <c r="D1741" i="2"/>
  <c r="D1734" i="2"/>
  <c r="D1729" i="2"/>
  <c r="D1718" i="2"/>
  <c r="D1713" i="2"/>
  <c r="D1631" i="2"/>
  <c r="D161" i="35" s="1"/>
  <c r="D156" i="35"/>
  <c r="D1601" i="2"/>
  <c r="D131" i="35" s="1"/>
  <c r="D1596" i="2"/>
  <c r="D126" i="35" s="1"/>
  <c r="D1592" i="2"/>
  <c r="D122" i="35" s="1"/>
  <c r="D1582" i="2"/>
  <c r="D1577" i="2"/>
  <c r="D68" i="35" s="1"/>
  <c r="D1561" i="2"/>
  <c r="D1554" i="2" s="1"/>
  <c r="D1553" i="2" s="1"/>
  <c r="D46" i="35"/>
  <c r="D1461" i="2"/>
  <c r="D73" i="32" s="1"/>
  <c r="D1455" i="2"/>
  <c r="D1439" i="2"/>
  <c r="D1430" i="2"/>
  <c r="D1427" i="2"/>
  <c r="D1424" i="2"/>
  <c r="D1420" i="2"/>
  <c r="D1416" i="2"/>
  <c r="D1413" i="2"/>
  <c r="D1410" i="2"/>
  <c r="D1407" i="2"/>
  <c r="D1404" i="2"/>
  <c r="D1400" i="2"/>
  <c r="D1396" i="2"/>
  <c r="D1393" i="2"/>
  <c r="D1390" i="2"/>
  <c r="D1387" i="2"/>
  <c r="D1384" i="2"/>
  <c r="D1380" i="2"/>
  <c r="D1376" i="2"/>
  <c r="D1373" i="2"/>
  <c r="D1370" i="2"/>
  <c r="D1367" i="2"/>
  <c r="D1364" i="2"/>
  <c r="D1360" i="2"/>
  <c r="D1356" i="2"/>
  <c r="D1353" i="2"/>
  <c r="D1350" i="2"/>
  <c r="D1347" i="2"/>
  <c r="D1344" i="2"/>
  <c r="D1340" i="2"/>
  <c r="D1336" i="2"/>
  <c r="D1333" i="2"/>
  <c r="D1330" i="2"/>
  <c r="D1327" i="2"/>
  <c r="D1324" i="2"/>
  <c r="D1320" i="2"/>
  <c r="D1316" i="2"/>
  <c r="D1313" i="2"/>
  <c r="D1310" i="2"/>
  <c r="D1307" i="2"/>
  <c r="M13" i="22" s="1"/>
  <c r="D1304" i="2"/>
  <c r="D1300" i="2"/>
  <c r="D1232" i="2"/>
  <c r="I7" i="34" l="1"/>
  <c r="I9" i="34" s="1"/>
  <c r="H9" i="34"/>
  <c r="H15" i="34" s="1"/>
  <c r="D69" i="32"/>
  <c r="D98" i="32"/>
  <c r="H402" i="2"/>
  <c r="E25" i="6" s="1"/>
  <c r="D100" i="32"/>
  <c r="D85" i="32"/>
  <c r="D86" i="32"/>
  <c r="D87" i="32"/>
  <c r="D88" i="32"/>
  <c r="D99" i="32"/>
  <c r="I92" i="32"/>
  <c r="D90" i="32"/>
  <c r="I59" i="32"/>
  <c r="D92" i="32"/>
  <c r="D95" i="32"/>
  <c r="D1552" i="2"/>
  <c r="D44" i="35"/>
  <c r="D89" i="32"/>
  <c r="I20" i="32"/>
  <c r="D96" i="32"/>
  <c r="I91" i="32"/>
  <c r="D16" i="34" s="1"/>
  <c r="D93" i="32"/>
  <c r="D94" i="32"/>
  <c r="D97" i="32"/>
  <c r="D63" i="32"/>
  <c r="F15" i="8" s="1"/>
  <c r="D23" i="35"/>
  <c r="H470" i="2"/>
  <c r="H456" i="2" s="1"/>
  <c r="D85" i="35"/>
  <c r="D84" i="35" s="1"/>
  <c r="H491" i="2"/>
  <c r="D41" i="5"/>
  <c r="D58" i="35"/>
  <c r="D137" i="35"/>
  <c r="D1606" i="2"/>
  <c r="D84" i="32"/>
  <c r="D1485" i="2"/>
  <c r="D52" i="35"/>
  <c r="D45" i="35"/>
  <c r="I90" i="32"/>
  <c r="C16" i="34" s="1"/>
  <c r="D1403" i="2"/>
  <c r="D1399" i="2" s="1"/>
  <c r="D1707" i="2"/>
  <c r="D44" i="32"/>
  <c r="F22" i="8" s="1"/>
  <c r="I86" i="32"/>
  <c r="I87" i="32" s="1"/>
  <c r="D1383" i="2"/>
  <c r="D1379" i="2" s="1"/>
  <c r="H441" i="2"/>
  <c r="H436" i="2" s="1"/>
  <c r="H391" i="2"/>
  <c r="H384" i="2" s="1"/>
  <c r="D1514" i="2"/>
  <c r="D1363" i="2"/>
  <c r="D1359" i="2" s="1"/>
  <c r="D1423" i="2"/>
  <c r="D1419" i="2" s="1"/>
  <c r="D1323" i="2"/>
  <c r="D1319" i="2" s="1"/>
  <c r="D1303" i="2"/>
  <c r="D1299" i="2" s="1"/>
  <c r="D1343" i="2"/>
  <c r="D1339" i="2" s="1"/>
  <c r="D672" i="2"/>
  <c r="D579" i="2"/>
  <c r="D483" i="2"/>
  <c r="D478" i="2"/>
  <c r="D473" i="2"/>
  <c r="D467" i="2"/>
  <c r="D452" i="2"/>
  <c r="D564" i="2"/>
  <c r="D445" i="2"/>
  <c r="D416" i="2"/>
  <c r="D408" i="2"/>
  <c r="D405" i="2"/>
  <c r="D394" i="2"/>
  <c r="D388" i="2"/>
  <c r="D381" i="2"/>
  <c r="D375" i="2"/>
  <c r="D368" i="2"/>
  <c r="D363" i="2"/>
  <c r="D357" i="2"/>
  <c r="D352" i="2"/>
  <c r="D344" i="2"/>
  <c r="D332" i="2"/>
  <c r="D327" i="2"/>
  <c r="D321" i="2"/>
  <c r="D201" i="2"/>
  <c r="D170" i="2"/>
  <c r="D155" i="2"/>
  <c r="D135" i="2"/>
  <c r="D32" i="2"/>
  <c r="D24" i="2"/>
  <c r="D12" i="2"/>
  <c r="D438" i="2"/>
  <c r="E16" i="34" l="1"/>
  <c r="I15" i="34"/>
  <c r="D1298" i="2"/>
  <c r="C25" i="6"/>
  <c r="D64" i="32"/>
  <c r="D61" i="32"/>
  <c r="C20" i="8" s="1"/>
  <c r="D91" i="32"/>
  <c r="D43" i="35"/>
  <c r="D57" i="32"/>
  <c r="D60" i="32"/>
  <c r="D58" i="32"/>
  <c r="C17" i="8" s="1"/>
  <c r="D62" i="32"/>
  <c r="C21" i="8" s="1"/>
  <c r="E23" i="6"/>
  <c r="C23" i="6"/>
  <c r="H433" i="2"/>
  <c r="I74" i="32"/>
  <c r="D1605" i="2"/>
  <c r="D1581" i="2" s="1"/>
  <c r="D1551" i="2" s="1"/>
  <c r="D83" i="32"/>
  <c r="D1484" i="2"/>
  <c r="D65" i="32"/>
  <c r="D136" i="35"/>
  <c r="D22" i="35"/>
  <c r="D8" i="35" s="1"/>
  <c r="D206" i="35" s="1"/>
  <c r="H455" i="2"/>
  <c r="H1674" i="2" s="1"/>
  <c r="D374" i="2"/>
  <c r="D387" i="2"/>
  <c r="D472" i="2"/>
  <c r="D362" i="2"/>
  <c r="D326" i="2"/>
  <c r="D448" i="2"/>
  <c r="D444" i="2" s="1"/>
  <c r="D218" i="2"/>
  <c r="D131" i="2"/>
  <c r="D77" i="2"/>
  <c r="D113" i="2"/>
  <c r="D39" i="2"/>
  <c r="D35" i="2"/>
  <c r="D29" i="2"/>
  <c r="D15" i="2"/>
  <c r="H416" i="2" l="1"/>
  <c r="I95" i="32"/>
  <c r="G16" i="34" s="1"/>
  <c r="D17" i="20"/>
  <c r="C16" i="8"/>
  <c r="C19" i="8"/>
  <c r="D59" i="32"/>
  <c r="D1459" i="2"/>
  <c r="D82" i="32"/>
  <c r="D101" i="32" s="1"/>
  <c r="D28" i="5"/>
  <c r="C18" i="8"/>
  <c r="D39" i="5"/>
  <c r="D22" i="5"/>
  <c r="D42" i="5"/>
  <c r="D72" i="35"/>
  <c r="D83" i="35" s="1"/>
  <c r="D135" i="35"/>
  <c r="D121" i="35" s="1"/>
  <c r="D28" i="2"/>
  <c r="D373" i="2"/>
  <c r="D56" i="32" l="1"/>
  <c r="D55" i="32" s="1"/>
  <c r="D207" i="35"/>
  <c r="D208" i="35" s="1"/>
  <c r="D197" i="35"/>
  <c r="D202" i="35" s="1"/>
  <c r="D204" i="35" s="1"/>
  <c r="H172" i="2"/>
  <c r="H169" i="2"/>
  <c r="H166" i="2"/>
  <c r="H163" i="2"/>
  <c r="H160" i="2"/>
  <c r="H157" i="2"/>
  <c r="H153" i="2"/>
  <c r="H150" i="2"/>
  <c r="H146" i="2"/>
  <c r="H143" i="2"/>
  <c r="H140" i="2"/>
  <c r="H137" i="2"/>
  <c r="H134" i="2"/>
  <c r="H131" i="2"/>
  <c r="H127" i="2"/>
  <c r="H124" i="2"/>
  <c r="H120" i="2"/>
  <c r="H117" i="2"/>
  <c r="H114" i="2"/>
  <c r="H111" i="2"/>
  <c r="H108" i="2"/>
  <c r="H105" i="2"/>
  <c r="H102" i="2"/>
  <c r="H98" i="2"/>
  <c r="H95" i="2"/>
  <c r="H88" i="2"/>
  <c r="H85" i="2"/>
  <c r="H82" i="2"/>
  <c r="H79" i="2"/>
  <c r="H76" i="2"/>
  <c r="H69" i="2"/>
  <c r="H66" i="2"/>
  <c r="H61" i="2"/>
  <c r="H58" i="2"/>
  <c r="H55" i="2"/>
  <c r="H52" i="2"/>
  <c r="H48" i="2"/>
  <c r="H42" i="2"/>
  <c r="H39" i="2"/>
  <c r="H35" i="2"/>
  <c r="H32" i="2"/>
  <c r="H28" i="2"/>
  <c r="H25" i="2"/>
  <c r="H21" i="2"/>
  <c r="H18" i="2"/>
  <c r="H14" i="2"/>
  <c r="H195" i="2"/>
  <c r="H192" i="2"/>
  <c r="H188" i="2"/>
  <c r="H185" i="2"/>
  <c r="H181" i="2"/>
  <c r="H178" i="2"/>
  <c r="H217" i="2"/>
  <c r="H214" i="2"/>
  <c r="H210" i="2"/>
  <c r="H207" i="2"/>
  <c r="H203" i="2"/>
  <c r="H200" i="2"/>
  <c r="H240" i="2"/>
  <c r="H237" i="2"/>
  <c r="H234" i="2"/>
  <c r="H231" i="2"/>
  <c r="H228" i="2"/>
  <c r="H225" i="2"/>
  <c r="H222" i="2"/>
  <c r="H266" i="2"/>
  <c r="H263" i="2"/>
  <c r="H257" i="2"/>
  <c r="H256" i="2" s="1"/>
  <c r="H253" i="2"/>
  <c r="H250" i="2"/>
  <c r="H247" i="2"/>
  <c r="H244" i="2"/>
  <c r="H279" i="2"/>
  <c r="H276" i="2"/>
  <c r="H273" i="2"/>
  <c r="H287" i="2"/>
  <c r="H284" i="2"/>
  <c r="H294" i="2"/>
  <c r="H291" i="2"/>
  <c r="H310" i="2"/>
  <c r="H307" i="2"/>
  <c r="H304" i="2"/>
  <c r="H301" i="2"/>
  <c r="H298" i="2"/>
  <c r="H320" i="2"/>
  <c r="H317" i="2"/>
  <c r="H332" i="2"/>
  <c r="H329" i="2"/>
  <c r="H344" i="2"/>
  <c r="H341" i="2"/>
  <c r="H356" i="2"/>
  <c r="H353" i="2"/>
  <c r="H368" i="2"/>
  <c r="H365" i="2"/>
  <c r="D690" i="2"/>
  <c r="D687" i="2"/>
  <c r="D683" i="2"/>
  <c r="D680" i="2"/>
  <c r="D675" i="2"/>
  <c r="D671" i="2" s="1"/>
  <c r="D665" i="2"/>
  <c r="D662" i="2"/>
  <c r="D658" i="2"/>
  <c r="D655" i="2"/>
  <c r="D650" i="2"/>
  <c r="D647" i="2"/>
  <c r="D640" i="2"/>
  <c r="D637" i="2"/>
  <c r="D633" i="2"/>
  <c r="D630" i="2"/>
  <c r="D625" i="2"/>
  <c r="D622" i="2"/>
  <c r="D614" i="2"/>
  <c r="D611" i="2"/>
  <c r="D607" i="2"/>
  <c r="D604" i="2"/>
  <c r="D599" i="2"/>
  <c r="D596" i="2"/>
  <c r="D592" i="2"/>
  <c r="D589" i="2"/>
  <c r="D582" i="2"/>
  <c r="D578" i="2" s="1"/>
  <c r="D575" i="2"/>
  <c r="D572" i="2"/>
  <c r="D567" i="2"/>
  <c r="D563" i="2" s="1"/>
  <c r="D557" i="2"/>
  <c r="D554" i="2"/>
  <c r="D550" i="2"/>
  <c r="D547" i="2"/>
  <c r="D542" i="2"/>
  <c r="D539" i="2"/>
  <c r="D529" i="2"/>
  <c r="D524" i="2"/>
  <c r="D518" i="2"/>
  <c r="D513" i="2"/>
  <c r="D506" i="2"/>
  <c r="D501" i="2"/>
  <c r="D495" i="2"/>
  <c r="D490" i="2"/>
  <c r="D462" i="2"/>
  <c r="D461" i="2" s="1"/>
  <c r="D460" i="2" s="1"/>
  <c r="D456" i="2"/>
  <c r="D441" i="2"/>
  <c r="D437" i="2" s="1"/>
  <c r="D433" i="2"/>
  <c r="D430" i="2"/>
  <c r="D423" i="2"/>
  <c r="D420" i="2"/>
  <c r="D413" i="2"/>
  <c r="D412" i="2" s="1"/>
  <c r="D341" i="2"/>
  <c r="D337" i="2" s="1"/>
  <c r="D316" i="2"/>
  <c r="D315" i="2" s="1"/>
  <c r="D310" i="2"/>
  <c r="D306" i="2"/>
  <c r="H243" i="2" l="1"/>
  <c r="D15" i="5"/>
  <c r="D9" i="5" s="1"/>
  <c r="I10" i="34"/>
  <c r="M20" i="22"/>
  <c r="C13" i="6"/>
  <c r="I57" i="32"/>
  <c r="I25" i="32"/>
  <c r="I27" i="32"/>
  <c r="I45" i="32"/>
  <c r="I18" i="32"/>
  <c r="I28" i="32"/>
  <c r="I48" i="32"/>
  <c r="I61" i="32"/>
  <c r="I49" i="32"/>
  <c r="I54" i="32"/>
  <c r="I46" i="32"/>
  <c r="I47" i="32"/>
  <c r="I62" i="32"/>
  <c r="I52" i="32"/>
  <c r="I23" i="32"/>
  <c r="I31" i="32"/>
  <c r="I56" i="32"/>
  <c r="I53" i="32"/>
  <c r="I32" i="32"/>
  <c r="D35" i="5"/>
  <c r="C12" i="6"/>
  <c r="H314" i="2"/>
  <c r="H283" i="2"/>
  <c r="H290" i="2"/>
  <c r="H10" i="2"/>
  <c r="M17" i="22"/>
  <c r="H350" i="2"/>
  <c r="H72" i="2"/>
  <c r="H65" i="2" s="1"/>
  <c r="H326" i="2"/>
  <c r="H362" i="2"/>
  <c r="I72" i="32" s="1"/>
  <c r="H221" i="2"/>
  <c r="H220" i="2" s="1"/>
  <c r="H338" i="2"/>
  <c r="I51" i="32"/>
  <c r="H297" i="2"/>
  <c r="I22" i="32"/>
  <c r="H101" i="2"/>
  <c r="H94" i="2" s="1"/>
  <c r="D36" i="5"/>
  <c r="H1675" i="2"/>
  <c r="H1673" i="2" s="1"/>
  <c r="H24" i="2"/>
  <c r="H269" i="2"/>
  <c r="I60" i="32"/>
  <c r="I17" i="32"/>
  <c r="H17" i="2"/>
  <c r="D654" i="2"/>
  <c r="H184" i="2"/>
  <c r="H191" i="2"/>
  <c r="H130" i="2"/>
  <c r="H123" i="2" s="1"/>
  <c r="H38" i="2"/>
  <c r="H213" i="2"/>
  <c r="H177" i="2"/>
  <c r="H51" i="2"/>
  <c r="D419" i="2"/>
  <c r="D679" i="2"/>
  <c r="D661" i="2"/>
  <c r="D686" i="2"/>
  <c r="D429" i="2"/>
  <c r="D426" i="2" s="1"/>
  <c r="H206" i="2"/>
  <c r="D621" i="2"/>
  <c r="D571" i="2"/>
  <c r="D560" i="2" s="1"/>
  <c r="D538" i="2"/>
  <c r="D629" i="2"/>
  <c r="D512" i="2"/>
  <c r="D351" i="2"/>
  <c r="D350" i="2" s="1"/>
  <c r="D610" i="2"/>
  <c r="D489" i="2"/>
  <c r="D553" i="2"/>
  <c r="D500" i="2"/>
  <c r="D636" i="2"/>
  <c r="D595" i="2"/>
  <c r="D404" i="2"/>
  <c r="H31" i="2"/>
  <c r="D603" i="2"/>
  <c r="D588" i="2"/>
  <c r="D523" i="2"/>
  <c r="D646" i="2"/>
  <c r="H156" i="2"/>
  <c r="H149" i="2" s="1"/>
  <c r="H199" i="2"/>
  <c r="D546" i="2"/>
  <c r="H64" i="2" l="1"/>
  <c r="H9" i="2"/>
  <c r="I9" i="2" s="1"/>
  <c r="M16" i="22"/>
  <c r="D668" i="2"/>
  <c r="I69" i="32"/>
  <c r="I9" i="32"/>
  <c r="I64" i="32"/>
  <c r="D511" i="2"/>
  <c r="I68" i="32"/>
  <c r="I11" i="32"/>
  <c r="I14" i="32"/>
  <c r="I19" i="32"/>
  <c r="I71" i="32"/>
  <c r="I94" i="32"/>
  <c r="I42" i="32"/>
  <c r="I40" i="32"/>
  <c r="I29" i="32"/>
  <c r="I65" i="32"/>
  <c r="C18" i="6"/>
  <c r="C17" i="6" s="1"/>
  <c r="I37" i="32"/>
  <c r="I10" i="32"/>
  <c r="I70" i="32"/>
  <c r="I41" i="32"/>
  <c r="I12" i="32"/>
  <c r="I58" i="32"/>
  <c r="H282" i="2"/>
  <c r="H313" i="2"/>
  <c r="E21" i="6" s="1"/>
  <c r="I33" i="32"/>
  <c r="I30" i="32" s="1"/>
  <c r="I38" i="32"/>
  <c r="I13" i="32"/>
  <c r="I66" i="32"/>
  <c r="H176" i="2"/>
  <c r="H175" i="2" s="1"/>
  <c r="I24" i="32"/>
  <c r="I55" i="32"/>
  <c r="I36" i="32"/>
  <c r="I44" i="32"/>
  <c r="H198" i="2"/>
  <c r="D401" i="2"/>
  <c r="D400" i="2" s="1"/>
  <c r="D488" i="2"/>
  <c r="D535" i="2"/>
  <c r="D534" i="2" s="1"/>
  <c r="D618" i="2"/>
  <c r="D643" i="2"/>
  <c r="D314" i="2"/>
  <c r="D1242" i="2"/>
  <c r="D1239" i="2"/>
  <c r="D1254" i="2"/>
  <c r="D1251" i="2"/>
  <c r="D1266" i="2"/>
  <c r="D1263" i="2"/>
  <c r="D1278" i="2"/>
  <c r="D1275" i="2"/>
  <c r="D1290" i="2"/>
  <c r="D1287" i="2"/>
  <c r="D1229" i="2"/>
  <c r="D1226" i="2"/>
  <c r="D1223" i="2"/>
  <c r="D1220" i="2"/>
  <c r="D1217" i="2"/>
  <c r="D1213" i="2"/>
  <c r="D1209" i="2"/>
  <c r="D1206" i="2"/>
  <c r="D1203" i="2"/>
  <c r="D1200" i="2"/>
  <c r="D1197" i="2"/>
  <c r="D1193" i="2"/>
  <c r="D1085" i="2"/>
  <c r="D1082" i="2"/>
  <c r="D1079" i="2"/>
  <c r="D1076" i="2"/>
  <c r="D1073" i="2"/>
  <c r="D1070" i="2"/>
  <c r="D1066" i="2"/>
  <c r="D1062" i="2"/>
  <c r="D1059" i="2"/>
  <c r="D1056" i="2"/>
  <c r="D1053" i="2"/>
  <c r="D1050" i="2"/>
  <c r="D1046" i="2"/>
  <c r="I96" i="32" l="1"/>
  <c r="I16" i="34" s="1"/>
  <c r="H16" i="34"/>
  <c r="B28" i="28"/>
  <c r="D28" i="20"/>
  <c r="I50" i="32"/>
  <c r="I43" i="32"/>
  <c r="D617" i="2"/>
  <c r="D585" i="2" s="1"/>
  <c r="D451" i="2"/>
  <c r="D305" i="2"/>
  <c r="I21" i="32"/>
  <c r="D22" i="32"/>
  <c r="I39" i="32"/>
  <c r="I63" i="32"/>
  <c r="C21" i="6"/>
  <c r="C14" i="6" s="1"/>
  <c r="I26" i="32"/>
  <c r="I35" i="32"/>
  <c r="I67" i="32"/>
  <c r="M14" i="22"/>
  <c r="D1236" i="2"/>
  <c r="E17" i="6"/>
  <c r="E18" i="6"/>
  <c r="B30" i="28"/>
  <c r="D1297" i="2"/>
  <c r="I16" i="32"/>
  <c r="D32" i="32"/>
  <c r="F8" i="8" s="1"/>
  <c r="I8" i="32"/>
  <c r="D1248" i="2"/>
  <c r="D49" i="32" s="1"/>
  <c r="D1284" i="2"/>
  <c r="D52" i="32" s="1"/>
  <c r="D1049" i="2"/>
  <c r="D1272" i="2"/>
  <c r="D51" i="32" s="1"/>
  <c r="D1196" i="2"/>
  <c r="D1192" i="2" s="1"/>
  <c r="D1260" i="2"/>
  <c r="D50" i="32" s="1"/>
  <c r="D1216" i="2"/>
  <c r="D1212" i="2" s="1"/>
  <c r="D1069" i="2"/>
  <c r="D1065" i="2" s="1"/>
  <c r="D1042" i="2"/>
  <c r="D1039" i="2"/>
  <c r="D1036" i="2"/>
  <c r="D1033" i="2"/>
  <c r="D1030" i="2"/>
  <c r="D1026" i="2"/>
  <c r="D1022" i="2"/>
  <c r="D1019" i="2"/>
  <c r="D1015" i="2"/>
  <c r="D1012" i="2"/>
  <c r="D1007" i="2"/>
  <c r="D1002" i="2"/>
  <c r="D997" i="2"/>
  <c r="D993" i="2"/>
  <c r="D984" i="2"/>
  <c r="D977" i="2"/>
  <c r="D972" i="2"/>
  <c r="D969" i="2"/>
  <c r="D966" i="2"/>
  <c r="D963" i="2"/>
  <c r="D960" i="2"/>
  <c r="D956" i="2"/>
  <c r="D952" i="2"/>
  <c r="D949" i="2"/>
  <c r="D945" i="2"/>
  <c r="D942" i="2"/>
  <c r="D937" i="2"/>
  <c r="D932" i="2"/>
  <c r="D927" i="2"/>
  <c r="D923" i="2"/>
  <c r="D914" i="2"/>
  <c r="D907" i="2"/>
  <c r="D902" i="2"/>
  <c r="D899" i="2"/>
  <c r="D896" i="2"/>
  <c r="D893" i="2"/>
  <c r="D890" i="2"/>
  <c r="D886" i="2"/>
  <c r="D882" i="2"/>
  <c r="D879" i="2"/>
  <c r="D875" i="2"/>
  <c r="D872" i="2"/>
  <c r="D867" i="2"/>
  <c r="D862" i="2"/>
  <c r="D857" i="2"/>
  <c r="D853" i="2"/>
  <c r="D844" i="2"/>
  <c r="D837" i="2"/>
  <c r="D832" i="2"/>
  <c r="D829" i="2"/>
  <c r="D826" i="2"/>
  <c r="D823" i="2"/>
  <c r="D820" i="2"/>
  <c r="D816" i="2"/>
  <c r="D812" i="2"/>
  <c r="D809" i="2"/>
  <c r="D805" i="2"/>
  <c r="D802" i="2"/>
  <c r="D797" i="2"/>
  <c r="D792" i="2"/>
  <c r="D787" i="2"/>
  <c r="D783" i="2"/>
  <c r="D774" i="2"/>
  <c r="D767" i="2"/>
  <c r="D762" i="2"/>
  <c r="D759" i="2"/>
  <c r="D756" i="2"/>
  <c r="D753" i="2"/>
  <c r="D750" i="2"/>
  <c r="D746" i="2"/>
  <c r="D742" i="2"/>
  <c r="D739" i="2"/>
  <c r="D735" i="2"/>
  <c r="D732" i="2"/>
  <c r="D727" i="2"/>
  <c r="D722" i="2"/>
  <c r="D717" i="2"/>
  <c r="D713" i="2"/>
  <c r="D704" i="2"/>
  <c r="D697" i="2"/>
  <c r="D302" i="2"/>
  <c r="D299" i="2"/>
  <c r="D295" i="2"/>
  <c r="D292" i="2"/>
  <c r="D287" i="2"/>
  <c r="D284" i="2"/>
  <c r="D277" i="2"/>
  <c r="D274" i="2"/>
  <c r="D270" i="2"/>
  <c r="D267" i="2"/>
  <c r="D262" i="2"/>
  <c r="D259" i="2"/>
  <c r="D251" i="2"/>
  <c r="D248" i="2"/>
  <c r="D244" i="2"/>
  <c r="D241" i="2"/>
  <c r="D236" i="2"/>
  <c r="D233" i="2"/>
  <c r="D229" i="2"/>
  <c r="D226" i="2"/>
  <c r="D48" i="32" l="1"/>
  <c r="D1235" i="2"/>
  <c r="D43" i="5" s="1"/>
  <c r="J24" i="16"/>
  <c r="J22" i="16"/>
  <c r="J9" i="16"/>
  <c r="J25" i="16"/>
  <c r="J8" i="16"/>
  <c r="J10" i="16"/>
  <c r="J26" i="16"/>
  <c r="J27" i="16"/>
  <c r="J11" i="16"/>
  <c r="J12" i="16"/>
  <c r="J13" i="16"/>
  <c r="J14" i="16"/>
  <c r="J15" i="16"/>
  <c r="J16" i="16"/>
  <c r="J17" i="16"/>
  <c r="J18" i="16"/>
  <c r="J19" i="16"/>
  <c r="J20" i="16"/>
  <c r="J23" i="16"/>
  <c r="J21" i="16"/>
  <c r="D1091" i="2"/>
  <c r="K19" i="17"/>
  <c r="K23" i="17"/>
  <c r="K26" i="17"/>
  <c r="K27" i="17"/>
  <c r="K12" i="17"/>
  <c r="K14" i="17"/>
  <c r="K18" i="17"/>
  <c r="K20" i="17"/>
  <c r="K24" i="17"/>
  <c r="K25" i="17"/>
  <c r="K11" i="17"/>
  <c r="K13" i="17"/>
  <c r="K17" i="17"/>
  <c r="K21" i="17"/>
  <c r="K10" i="17"/>
  <c r="K8" i="17"/>
  <c r="K22" i="17"/>
  <c r="K16" i="17"/>
  <c r="K9" i="17"/>
  <c r="K15" i="17"/>
  <c r="M8" i="12"/>
  <c r="D29" i="20"/>
  <c r="S27" i="21"/>
  <c r="M29" i="22"/>
  <c r="C29" i="22" s="1"/>
  <c r="I16" i="15"/>
  <c r="P10" i="24"/>
  <c r="M22" i="12"/>
  <c r="I13" i="15"/>
  <c r="O15" i="18"/>
  <c r="P27" i="24"/>
  <c r="S37" i="21"/>
  <c r="C34" i="20"/>
  <c r="P18" i="24"/>
  <c r="I12" i="15"/>
  <c r="I21" i="15"/>
  <c r="P9" i="24"/>
  <c r="O10" i="18"/>
  <c r="M27" i="12"/>
  <c r="S30" i="21"/>
  <c r="P20" i="24"/>
  <c r="S13" i="21"/>
  <c r="M10" i="12"/>
  <c r="M16" i="12"/>
  <c r="P8" i="24"/>
  <c r="I8" i="15"/>
  <c r="S39" i="21"/>
  <c r="S19" i="21"/>
  <c r="I14" i="15"/>
  <c r="M19" i="12"/>
  <c r="S28" i="21"/>
  <c r="P16" i="24"/>
  <c r="S46" i="21"/>
  <c r="I7" i="15"/>
  <c r="S31" i="21"/>
  <c r="M18" i="12"/>
  <c r="S16" i="21"/>
  <c r="S33" i="21"/>
  <c r="S40" i="21"/>
  <c r="S25" i="21"/>
  <c r="M9" i="12"/>
  <c r="I24" i="15"/>
  <c r="M12" i="12"/>
  <c r="M24" i="12"/>
  <c r="P21" i="24"/>
  <c r="O17" i="18"/>
  <c r="P25" i="24"/>
  <c r="S29" i="21"/>
  <c r="S23" i="21"/>
  <c r="S45" i="21"/>
  <c r="S21" i="21"/>
  <c r="P19" i="24"/>
  <c r="M11" i="12"/>
  <c r="O19" i="18"/>
  <c r="O21" i="18"/>
  <c r="S36" i="21"/>
  <c r="S11" i="21"/>
  <c r="I11" i="15"/>
  <c r="S8" i="21"/>
  <c r="S15" i="21"/>
  <c r="M25" i="12"/>
  <c r="O11" i="18"/>
  <c r="O9" i="18"/>
  <c r="P12" i="24"/>
  <c r="I22" i="15"/>
  <c r="S42" i="21"/>
  <c r="P14" i="24"/>
  <c r="S18" i="21"/>
  <c r="S43" i="21"/>
  <c r="S26" i="21"/>
  <c r="P13" i="24"/>
  <c r="O13" i="18"/>
  <c r="S22" i="21"/>
  <c r="I19" i="15"/>
  <c r="M17" i="12"/>
  <c r="S12" i="21"/>
  <c r="O16" i="18"/>
  <c r="P11" i="24"/>
  <c r="P17" i="24"/>
  <c r="S41" i="21"/>
  <c r="M21" i="12"/>
  <c r="M20" i="12"/>
  <c r="M23" i="12"/>
  <c r="I23" i="15"/>
  <c r="M13" i="12"/>
  <c r="I15" i="15"/>
  <c r="S9" i="21"/>
  <c r="M14" i="12"/>
  <c r="S34" i="21"/>
  <c r="O24" i="18"/>
  <c r="S10" i="21"/>
  <c r="P22" i="24"/>
  <c r="O25" i="18"/>
  <c r="I10" i="15"/>
  <c r="M15" i="12"/>
  <c r="S47" i="21"/>
  <c r="S44" i="21"/>
  <c r="O22" i="18"/>
  <c r="S38" i="21"/>
  <c r="O12" i="18"/>
  <c r="S20" i="21"/>
  <c r="P24" i="24"/>
  <c r="I17" i="15"/>
  <c r="O23" i="18"/>
  <c r="I20" i="15"/>
  <c r="I9" i="15"/>
  <c r="I18" i="15"/>
  <c r="S17" i="21"/>
  <c r="P15" i="24"/>
  <c r="S35" i="21"/>
  <c r="I26" i="15"/>
  <c r="P23" i="24"/>
  <c r="S32" i="21"/>
  <c r="S14" i="21"/>
  <c r="P26" i="24"/>
  <c r="O18" i="18"/>
  <c r="M26" i="12"/>
  <c r="I25" i="15"/>
  <c r="S24" i="21"/>
  <c r="D19" i="32"/>
  <c r="D20" i="32"/>
  <c r="D43" i="32"/>
  <c r="C28" i="8" s="1"/>
  <c r="D42" i="32"/>
  <c r="C27" i="8" s="1"/>
  <c r="I34" i="32"/>
  <c r="D45" i="32"/>
  <c r="D41" i="32"/>
  <c r="C26" i="8" s="1"/>
  <c r="D39" i="32"/>
  <c r="C24" i="8" s="1"/>
  <c r="M12" i="22"/>
  <c r="D46" i="32"/>
  <c r="E20" i="6"/>
  <c r="H8" i="2"/>
  <c r="I15" i="32"/>
  <c r="D1045" i="2"/>
  <c r="D47" i="32"/>
  <c r="D266" i="2"/>
  <c r="D38" i="32"/>
  <c r="D67" i="32"/>
  <c r="D738" i="2"/>
  <c r="D225" i="2"/>
  <c r="D291" i="2"/>
  <c r="D852" i="2"/>
  <c r="D298" i="2"/>
  <c r="D889" i="2"/>
  <c r="D885" i="2" s="1"/>
  <c r="D283" i="2"/>
  <c r="D836" i="2"/>
  <c r="D696" i="2"/>
  <c r="D976" i="2"/>
  <c r="D247" i="2"/>
  <c r="D906" i="2"/>
  <c r="D721" i="2"/>
  <c r="D791" i="2"/>
  <c r="D232" i="2"/>
  <c r="D1029" i="2"/>
  <c r="D1025" i="2" s="1"/>
  <c r="D273" i="2"/>
  <c r="D1001" i="2"/>
  <c r="D240" i="2"/>
  <c r="D749" i="2"/>
  <c r="D745" i="2" s="1"/>
  <c r="D959" i="2"/>
  <c r="D955" i="2" s="1"/>
  <c r="D258" i="2"/>
  <c r="D922" i="2"/>
  <c r="D861" i="2"/>
  <c r="D766" i="2"/>
  <c r="D819" i="2"/>
  <c r="D815" i="2" s="1"/>
  <c r="D712" i="2"/>
  <c r="D782" i="2"/>
  <c r="D931" i="2"/>
  <c r="D992" i="2"/>
  <c r="D808" i="2"/>
  <c r="D878" i="2"/>
  <c r="D948" i="2"/>
  <c r="D1018" i="2"/>
  <c r="D73" i="2"/>
  <c r="D21" i="20" l="1"/>
  <c r="D54" i="32"/>
  <c r="D72" i="2"/>
  <c r="D68" i="2" s="1"/>
  <c r="D40" i="32"/>
  <c r="C25" i="8" s="1"/>
  <c r="D33" i="32"/>
  <c r="H1671" i="2"/>
  <c r="E15" i="6"/>
  <c r="E14" i="6" s="1"/>
  <c r="D34" i="32"/>
  <c r="D21" i="32"/>
  <c r="D23" i="20"/>
  <c r="I76" i="32"/>
  <c r="I88" i="32" s="1"/>
  <c r="I102" i="32" s="1"/>
  <c r="D24" i="20"/>
  <c r="B31" i="28"/>
  <c r="D40" i="5"/>
  <c r="D711" i="2"/>
  <c r="D695" i="2" s="1"/>
  <c r="D694" i="2" s="1"/>
  <c r="C23" i="8"/>
  <c r="D280" i="2"/>
  <c r="D255" i="2"/>
  <c r="D991" i="2"/>
  <c r="D975" i="2" s="1"/>
  <c r="D851" i="2"/>
  <c r="D835" i="2" s="1"/>
  <c r="D781" i="2"/>
  <c r="D765" i="2" s="1"/>
  <c r="D921" i="2"/>
  <c r="D905" i="2" s="1"/>
  <c r="D214" i="2"/>
  <c r="D210" i="2"/>
  <c r="D205" i="2"/>
  <c r="D196" i="2"/>
  <c r="D192" i="2"/>
  <c r="D183" i="2"/>
  <c r="D179" i="2"/>
  <c r="D174" i="2"/>
  <c r="D169" i="2" s="1"/>
  <c r="D165" i="2"/>
  <c r="D161" i="2"/>
  <c r="D152" i="2"/>
  <c r="D149" i="2"/>
  <c r="D145" i="2"/>
  <c r="D142" i="2"/>
  <c r="D138" i="2"/>
  <c r="D128" i="2"/>
  <c r="D119" i="2"/>
  <c r="D116" i="2"/>
  <c r="D109" i="2"/>
  <c r="D106" i="2"/>
  <c r="D103" i="2"/>
  <c r="D99" i="2"/>
  <c r="D96" i="2"/>
  <c r="D93" i="2"/>
  <c r="D89" i="2"/>
  <c r="D86" i="2"/>
  <c r="D83" i="2"/>
  <c r="D65" i="2"/>
  <c r="D62" i="2"/>
  <c r="D59" i="2"/>
  <c r="D55" i="2"/>
  <c r="D52" i="2"/>
  <c r="D49" i="2"/>
  <c r="D45" i="2"/>
  <c r="D42" i="2"/>
  <c r="D21" i="2"/>
  <c r="D18" i="2"/>
  <c r="M11" i="22" l="1"/>
  <c r="D37" i="32"/>
  <c r="D36" i="32" s="1"/>
  <c r="J76" i="32"/>
  <c r="D30" i="32"/>
  <c r="C13" i="8" s="1"/>
  <c r="D31" i="32"/>
  <c r="C14" i="8" s="1"/>
  <c r="C11" i="6"/>
  <c r="D29" i="32"/>
  <c r="C12" i="8" s="1"/>
  <c r="D11" i="6"/>
  <c r="M9" i="22"/>
  <c r="D160" i="2"/>
  <c r="D29" i="5"/>
  <c r="D11" i="2"/>
  <c r="D27" i="5"/>
  <c r="D134" i="2"/>
  <c r="D112" i="2"/>
  <c r="D27" i="32"/>
  <c r="B13" i="28" s="1"/>
  <c r="D127" i="2"/>
  <c r="D58" i="2"/>
  <c r="J33" i="32"/>
  <c r="D191" i="2"/>
  <c r="J32" i="32"/>
  <c r="D26" i="32"/>
  <c r="D38" i="2"/>
  <c r="J88" i="32"/>
  <c r="J84" i="32"/>
  <c r="J78" i="32"/>
  <c r="J75" i="32"/>
  <c r="J80" i="32"/>
  <c r="J93" i="32"/>
  <c r="J82" i="32"/>
  <c r="J73" i="32"/>
  <c r="J81" i="32"/>
  <c r="J83" i="32"/>
  <c r="J85" i="32"/>
  <c r="J79" i="32"/>
  <c r="J77" i="32"/>
  <c r="J20" i="32"/>
  <c r="J91" i="32"/>
  <c r="J94" i="32"/>
  <c r="J92" i="32"/>
  <c r="J90" i="32"/>
  <c r="J59" i="32"/>
  <c r="J86" i="32"/>
  <c r="J87" i="32"/>
  <c r="J74" i="32"/>
  <c r="J95" i="32"/>
  <c r="J96" i="32"/>
  <c r="J47" i="32"/>
  <c r="J25" i="32"/>
  <c r="J57" i="32"/>
  <c r="J51" i="32"/>
  <c r="J18" i="32"/>
  <c r="J53" i="32"/>
  <c r="J27" i="32"/>
  <c r="J22" i="32"/>
  <c r="J69" i="32"/>
  <c r="J9" i="32"/>
  <c r="J61" i="32"/>
  <c r="J54" i="32"/>
  <c r="J28" i="32"/>
  <c r="J56" i="32"/>
  <c r="J52" i="32"/>
  <c r="J11" i="32"/>
  <c r="J23" i="32"/>
  <c r="J48" i="32"/>
  <c r="J45" i="32"/>
  <c r="J62" i="32"/>
  <c r="J49" i="32"/>
  <c r="J46" i="32"/>
  <c r="J26" i="32"/>
  <c r="J14" i="32"/>
  <c r="J29" i="32"/>
  <c r="J41" i="32"/>
  <c r="J17" i="32"/>
  <c r="J58" i="32"/>
  <c r="J37" i="32"/>
  <c r="J68" i="32"/>
  <c r="J66" i="32"/>
  <c r="J70" i="32"/>
  <c r="J40" i="32"/>
  <c r="J42" i="32"/>
  <c r="J64" i="32"/>
  <c r="J72" i="32"/>
  <c r="J65" i="32"/>
  <c r="J12" i="32"/>
  <c r="J71" i="32"/>
  <c r="J38" i="32"/>
  <c r="J13" i="32"/>
  <c r="J10" i="32"/>
  <c r="J60" i="32"/>
  <c r="J19" i="32"/>
  <c r="J44" i="32"/>
  <c r="J36" i="32"/>
  <c r="J43" i="32"/>
  <c r="J35" i="32"/>
  <c r="J16" i="32"/>
  <c r="J15" i="32"/>
  <c r="J63" i="32"/>
  <c r="J39" i="32"/>
  <c r="J50" i="32"/>
  <c r="J67" i="32"/>
  <c r="J55" i="32"/>
  <c r="J24" i="32"/>
  <c r="J21" i="32"/>
  <c r="J34" i="32"/>
  <c r="J8" i="32"/>
  <c r="D254" i="2"/>
  <c r="D222" i="2" s="1"/>
  <c r="D82" i="2"/>
  <c r="D48" i="2"/>
  <c r="D178" i="2"/>
  <c r="D200" i="2"/>
  <c r="D209" i="2"/>
  <c r="D141" i="2"/>
  <c r="D102" i="2"/>
  <c r="D92" i="2"/>
  <c r="D148" i="2"/>
  <c r="D31" i="5" l="1"/>
  <c r="D30" i="5"/>
  <c r="D27" i="2"/>
  <c r="D28" i="32"/>
  <c r="D25" i="32" s="1"/>
  <c r="D24" i="32" s="1"/>
  <c r="D221" i="2"/>
  <c r="C10" i="8"/>
  <c r="M71" i="13"/>
  <c r="D81" i="2"/>
  <c r="C9" i="8"/>
  <c r="L71" i="13"/>
  <c r="D126" i="2"/>
  <c r="D38" i="5"/>
  <c r="D34" i="5"/>
  <c r="D33" i="5"/>
  <c r="D32" i="5"/>
  <c r="D190" i="2"/>
  <c r="D159" i="2" s="1"/>
  <c r="D37" i="5" s="1"/>
  <c r="D11" i="32"/>
  <c r="D9" i="32"/>
  <c r="C8" i="23" s="1"/>
  <c r="C16" i="23" s="1"/>
  <c r="B12" i="28"/>
  <c r="D18" i="32"/>
  <c r="J30" i="32"/>
  <c r="J31" i="32"/>
  <c r="D9" i="2" l="1"/>
  <c r="N71" i="13"/>
  <c r="C11" i="8"/>
  <c r="D17" i="32"/>
  <c r="B14" i="28"/>
  <c r="B11" i="28" s="1"/>
  <c r="D10" i="32"/>
  <c r="D14" i="32"/>
  <c r="D158" i="2"/>
  <c r="D16" i="32"/>
  <c r="C36" i="8" s="1"/>
  <c r="D12" i="32"/>
  <c r="C53" i="33" l="1"/>
  <c r="C54" i="33" s="1"/>
  <c r="J71" i="13"/>
  <c r="D15" i="32"/>
  <c r="D8" i="32"/>
  <c r="D71" i="32" l="1"/>
  <c r="D102" i="32" s="1"/>
  <c r="D20" i="20"/>
  <c r="D8" i="2"/>
  <c r="D1671" i="2" s="1"/>
  <c r="G1672" i="2" l="1"/>
  <c r="H1672" i="2"/>
  <c r="D31" i="20"/>
  <c r="E55" i="5"/>
  <c r="E83" i="32"/>
  <c r="E82" i="32"/>
  <c r="E28" i="32"/>
  <c r="E66" i="32"/>
  <c r="E8" i="32"/>
  <c r="E79" i="32"/>
  <c r="E59" i="32"/>
  <c r="E77" i="32"/>
  <c r="E9" i="32"/>
  <c r="E23" i="32"/>
  <c r="E37" i="32"/>
  <c r="E26" i="32"/>
  <c r="E89" i="32"/>
  <c r="E95" i="32"/>
  <c r="E40" i="32"/>
  <c r="E73" i="32"/>
  <c r="E88" i="32"/>
  <c r="E85" i="32"/>
  <c r="E25" i="32"/>
  <c r="E13" i="32"/>
  <c r="E74" i="32"/>
  <c r="E101" i="32"/>
  <c r="E14" i="32"/>
  <c r="E87" i="32"/>
  <c r="E24" i="32"/>
  <c r="E31" i="32"/>
  <c r="E16" i="32"/>
  <c r="E93" i="32"/>
  <c r="E90" i="32"/>
  <c r="E50" i="32"/>
  <c r="E69" i="32"/>
  <c r="E84" i="32"/>
  <c r="E99" i="32"/>
  <c r="E10" i="32"/>
  <c r="E21" i="32"/>
  <c r="E35" i="32"/>
  <c r="E62" i="32"/>
  <c r="E91" i="32"/>
  <c r="E20" i="32"/>
  <c r="E48" i="32"/>
  <c r="E53" i="32"/>
  <c r="E55" i="32"/>
  <c r="E71" i="32"/>
  <c r="E11" i="32"/>
  <c r="E36" i="32"/>
  <c r="E29" i="32"/>
  <c r="E19" i="32"/>
  <c r="E92" i="32"/>
  <c r="E46" i="32"/>
  <c r="E80" i="32"/>
  <c r="E97" i="32"/>
  <c r="E86" i="32"/>
  <c r="E47" i="32"/>
  <c r="E75" i="32"/>
  <c r="E102" i="32"/>
  <c r="E12" i="32"/>
  <c r="E57" i="32"/>
  <c r="E15" i="32"/>
  <c r="E56" i="32"/>
  <c r="E39" i="32"/>
  <c r="E38" i="32"/>
  <c r="J102" i="32"/>
  <c r="E34" i="32"/>
  <c r="E94" i="32"/>
  <c r="E100" i="32"/>
  <c r="E42" i="32"/>
  <c r="E60" i="32"/>
  <c r="E18" i="32"/>
  <c r="E33" i="32"/>
  <c r="E27" i="32"/>
  <c r="C33" i="20"/>
  <c r="E22" i="32"/>
  <c r="E61" i="32"/>
  <c r="E44" i="32"/>
  <c r="E68" i="32"/>
  <c r="E72" i="32"/>
  <c r="E45" i="32"/>
  <c r="E58" i="32"/>
  <c r="E67" i="32"/>
  <c r="E98" i="32"/>
  <c r="E17" i="32"/>
  <c r="E51" i="32"/>
  <c r="E30" i="32"/>
  <c r="E78" i="32"/>
  <c r="E63" i="32"/>
  <c r="E64" i="32"/>
  <c r="E32" i="32"/>
  <c r="E52" i="32"/>
  <c r="E65" i="32"/>
  <c r="E81" i="32"/>
  <c r="E49" i="32"/>
  <c r="E41" i="32"/>
  <c r="E70" i="32"/>
  <c r="E76" i="32"/>
  <c r="E54" i="32"/>
  <c r="E43" i="32"/>
  <c r="E96" i="32"/>
  <c r="A7" i="26"/>
  <c r="A3" i="26"/>
  <c r="C22" i="28" l="1"/>
  <c r="L22" i="28" s="1"/>
  <c r="C23" i="28"/>
  <c r="C24" i="28"/>
  <c r="L24" i="28" s="1"/>
  <c r="C25" i="28"/>
  <c r="L25" i="28" s="1"/>
  <c r="C21" i="28"/>
  <c r="C17" i="28"/>
  <c r="L17" i="28" s="1"/>
  <c r="C18" i="28"/>
  <c r="L18" i="28" s="1"/>
  <c r="C19" i="28"/>
  <c r="L19" i="28" s="1"/>
  <c r="C16" i="28"/>
  <c r="L16" i="28" s="1"/>
  <c r="C12" i="28"/>
  <c r="L12" i="28" s="1"/>
  <c r="C10" i="1"/>
  <c r="A7" i="27"/>
  <c r="A3" i="27"/>
  <c r="B7" i="30"/>
  <c r="B3" i="30"/>
  <c r="C39" i="29"/>
  <c r="C37" i="29"/>
  <c r="C46" i="28"/>
  <c r="C44" i="28"/>
  <c r="C31" i="28"/>
  <c r="L31" i="28" s="1"/>
  <c r="C23" i="27"/>
  <c r="B23" i="27"/>
  <c r="C36" i="28"/>
  <c r="C32" i="28"/>
  <c r="L32" i="28" s="1"/>
  <c r="C29" i="28"/>
  <c r="L29" i="28" s="1"/>
  <c r="C27" i="28"/>
  <c r="L27" i="28" s="1"/>
  <c r="C35" i="28"/>
  <c r="L35" i="28" s="1"/>
  <c r="B34" i="28"/>
  <c r="C34" i="28"/>
  <c r="B35" i="28"/>
  <c r="C33" i="28"/>
  <c r="L33" i="28" s="1"/>
  <c r="B33" i="28"/>
  <c r="B25" i="28"/>
  <c r="B24" i="28"/>
  <c r="B23" i="28"/>
  <c r="B22" i="28"/>
  <c r="B21" i="28"/>
  <c r="B17" i="28"/>
  <c r="B18" i="28"/>
  <c r="B19" i="28"/>
  <c r="B16" i="28"/>
  <c r="E20" i="28"/>
  <c r="F20" i="28"/>
  <c r="G20" i="28"/>
  <c r="D20" i="28"/>
  <c r="E15" i="28"/>
  <c r="F15" i="28"/>
  <c r="G15" i="28"/>
  <c r="D15" i="28"/>
  <c r="E11" i="28"/>
  <c r="F11" i="28"/>
  <c r="G11" i="28"/>
  <c r="H11" i="28"/>
  <c r="I11" i="28"/>
  <c r="J11" i="28"/>
  <c r="K11" i="28"/>
  <c r="D11" i="28"/>
  <c r="C30" i="28"/>
  <c r="L30" i="28" s="1"/>
  <c r="I26" i="28"/>
  <c r="G26" i="28"/>
  <c r="E26" i="28"/>
  <c r="C28" i="28"/>
  <c r="L28" i="28" s="1"/>
  <c r="C13" i="28"/>
  <c r="L13" i="28" s="1"/>
  <c r="L21" i="28"/>
  <c r="A7" i="28"/>
  <c r="A3" i="28"/>
  <c r="A7" i="29"/>
  <c r="A3" i="29"/>
  <c r="A4" i="27"/>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8" i="1"/>
  <c r="D47" i="1"/>
  <c r="D36" i="1"/>
  <c r="D37" i="1"/>
  <c r="K28" i="12"/>
  <c r="F30" i="12" s="1"/>
  <c r="J72" i="13"/>
  <c r="B60" i="13"/>
  <c r="J68" i="13"/>
  <c r="R68" i="13" s="1"/>
  <c r="J69" i="13"/>
  <c r="R69" i="13" s="1"/>
  <c r="J67" i="13"/>
  <c r="R67" i="13" s="1"/>
  <c r="J70" i="13"/>
  <c r="R70" i="13" s="1"/>
  <c r="B66" i="13"/>
  <c r="C66" i="13"/>
  <c r="D66" i="13"/>
  <c r="F66" i="13" s="1"/>
  <c r="E66" i="13"/>
  <c r="G66" i="13"/>
  <c r="H66" i="13"/>
  <c r="I66" i="13"/>
  <c r="K66" i="13"/>
  <c r="L66" i="13"/>
  <c r="M66" i="13"/>
  <c r="N66" i="13"/>
  <c r="O66" i="13"/>
  <c r="P66" i="13" a="1"/>
  <c r="P66" i="13" s="1"/>
  <c r="J40" i="13"/>
  <c r="R40" i="13" s="1"/>
  <c r="D39" i="1"/>
  <c r="D38" i="1"/>
  <c r="D35" i="1"/>
  <c r="Q58" i="13"/>
  <c r="Q57" i="13"/>
  <c r="Q56" i="13"/>
  <c r="Q55" i="13"/>
  <c r="Q54" i="13"/>
  <c r="Q53" i="13"/>
  <c r="Q52" i="13"/>
  <c r="D52" i="1"/>
  <c r="D43" i="1"/>
  <c r="D41" i="1"/>
  <c r="D11" i="1"/>
  <c r="A6" i="2"/>
  <c r="B6" i="35" s="1"/>
  <c r="A3" i="2"/>
  <c r="C9" i="13"/>
  <c r="D9" i="13"/>
  <c r="F9" i="13" s="1"/>
  <c r="E9" i="13"/>
  <c r="G9" i="13"/>
  <c r="H9" i="13"/>
  <c r="I9" i="13"/>
  <c r="K9" i="13"/>
  <c r="K71" i="13" s="1"/>
  <c r="L9" i="13"/>
  <c r="M9" i="13"/>
  <c r="N9" i="13"/>
  <c r="C30" i="13"/>
  <c r="E47" i="5"/>
  <c r="O8" i="21"/>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s="1"/>
  <c r="P9" i="13" a="1"/>
  <c r="P9" i="13" s="1"/>
  <c r="D60" i="13"/>
  <c r="F60" i="13" s="1"/>
  <c r="J50" i="13"/>
  <c r="R50" i="13" s="1"/>
  <c r="J32" i="13"/>
  <c r="R32" i="13" s="1"/>
  <c r="J33" i="13"/>
  <c r="R33" i="13" s="1"/>
  <c r="J42" i="13"/>
  <c r="R42" i="13" s="1"/>
  <c r="J11" i="13"/>
  <c r="R11" i="13" s="1"/>
  <c r="J63" i="13"/>
  <c r="R63" i="13" s="1"/>
  <c r="J64" i="13"/>
  <c r="R64" i="13" s="1"/>
  <c r="J65" i="13"/>
  <c r="R65" i="13" s="1"/>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s="1"/>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15" i="1"/>
  <c r="E34" i="5"/>
  <c r="E30" i="5"/>
  <c r="M28" i="24"/>
  <c r="D18" i="20" s="1"/>
  <c r="L28" i="24"/>
  <c r="E28" i="24"/>
  <c r="A9" i="24"/>
  <c r="A4" i="24"/>
  <c r="D36" i="23"/>
  <c r="K18" i="23"/>
  <c r="K35" i="23" s="1"/>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8" i="1"/>
  <c r="C20" i="28" s="1"/>
  <c r="L20" i="28" s="1"/>
  <c r="L23" i="28"/>
  <c r="N60" i="13"/>
  <c r="M60" i="13"/>
  <c r="L60" i="13"/>
  <c r="K60" i="13"/>
  <c r="I60" i="13"/>
  <c r="H60" i="13"/>
  <c r="G60" i="13"/>
  <c r="E60" i="13"/>
  <c r="C60" i="13"/>
  <c r="C73" i="13" s="1"/>
  <c r="E51" i="13"/>
  <c r="G51" i="13"/>
  <c r="H51" i="13"/>
  <c r="D51" i="13"/>
  <c r="C23" i="1"/>
  <c r="H8" i="15"/>
  <c r="H9" i="15"/>
  <c r="H10" i="15"/>
  <c r="H11" i="15"/>
  <c r="H12" i="15"/>
  <c r="H13" i="15"/>
  <c r="H14" i="15"/>
  <c r="H15" i="15"/>
  <c r="H16" i="15"/>
  <c r="H17" i="15"/>
  <c r="H18" i="15"/>
  <c r="H19" i="15"/>
  <c r="H20" i="15"/>
  <c r="H21" i="15"/>
  <c r="H22" i="15"/>
  <c r="H23" i="15"/>
  <c r="H24" i="15"/>
  <c r="H25" i="15"/>
  <c r="H26" i="15"/>
  <c r="L30" i="13"/>
  <c r="L74" i="13" s="1"/>
  <c r="M30" i="13"/>
  <c r="M74" i="13" s="1"/>
  <c r="N30" i="13"/>
  <c r="N74" i="13" s="1"/>
  <c r="I30" i="13"/>
  <c r="I74" i="13" s="1"/>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A4" i="26" s="1"/>
  <c r="H20" i="19"/>
  <c r="G20" i="19"/>
  <c r="F20" i="19"/>
  <c r="E20" i="19"/>
  <c r="D20" i="19"/>
  <c r="C20" i="19"/>
  <c r="N26" i="18"/>
  <c r="M26" i="18"/>
  <c r="N20" i="18"/>
  <c r="M20" i="18"/>
  <c r="N14" i="18"/>
  <c r="M14" i="18"/>
  <c r="D28" i="17"/>
  <c r="G28" i="15"/>
  <c r="F28" i="15"/>
  <c r="G27" i="15"/>
  <c r="F27" i="15"/>
  <c r="C27" i="15"/>
  <c r="H7" i="15"/>
  <c r="L28" i="12"/>
  <c r="D28" i="12"/>
  <c r="A4" i="8"/>
  <c r="A4" i="5"/>
  <c r="E44" i="8"/>
  <c r="E43" i="8"/>
  <c r="E42" i="8"/>
  <c r="E41" i="8"/>
  <c r="E39" i="8"/>
  <c r="E38" i="8"/>
  <c r="A4" i="6"/>
  <c r="E13" i="6"/>
  <c r="E12" i="6"/>
  <c r="E45" i="5"/>
  <c r="E44" i="5" s="1"/>
  <c r="E29" i="5"/>
  <c r="E28" i="5"/>
  <c r="E27" i="5"/>
  <c r="E35" i="8"/>
  <c r="E17" i="8"/>
  <c r="E21" i="8"/>
  <c r="O30" i="13"/>
  <c r="H30" i="13"/>
  <c r="H74" i="13" s="1"/>
  <c r="G30" i="13"/>
  <c r="G71" i="13" s="1"/>
  <c r="E30" i="13"/>
  <c r="D30" i="13"/>
  <c r="O9" i="13"/>
  <c r="J10" i="13"/>
  <c r="R10" i="13" s="1"/>
  <c r="J12" i="13"/>
  <c r="R12" i="13" s="1"/>
  <c r="J16" i="13"/>
  <c r="R16" i="13" s="1"/>
  <c r="B9" i="13"/>
  <c r="J62" i="13"/>
  <c r="R62" i="13" s="1"/>
  <c r="B30" i="13"/>
  <c r="J31" i="13"/>
  <c r="R31" i="13" s="1"/>
  <c r="C71" i="13"/>
  <c r="E26" i="8"/>
  <c r="E31" i="8"/>
  <c r="E34" i="8"/>
  <c r="E13" i="8"/>
  <c r="E16" i="8"/>
  <c r="D14" i="1"/>
  <c r="D23" i="1" l="1"/>
  <c r="C26" i="28"/>
  <c r="D10" i="1"/>
  <c r="D16" i="1"/>
  <c r="N73" i="13"/>
  <c r="M73" i="13"/>
  <c r="I73" i="13"/>
  <c r="G73" i="13"/>
  <c r="E73" i="13"/>
  <c r="D73" i="13"/>
  <c r="D27" i="22"/>
  <c r="D26" i="22" s="1"/>
  <c r="B73" i="13"/>
  <c r="O71" i="13"/>
  <c r="C11" i="28"/>
  <c r="L11" i="28" s="1"/>
  <c r="N16" i="1"/>
  <c r="K73" i="13"/>
  <c r="E74" i="13"/>
  <c r="D74" i="13"/>
  <c r="C74" i="13"/>
  <c r="F36" i="23"/>
  <c r="G36" i="23"/>
  <c r="O48" i="21"/>
  <c r="F30" i="13"/>
  <c r="G27" i="22"/>
  <c r="G26" i="22" s="1"/>
  <c r="M27" i="18"/>
  <c r="H27" i="22"/>
  <c r="H26" i="22" s="1"/>
  <c r="I27" i="22"/>
  <c r="E36" i="23"/>
  <c r="H36" i="23"/>
  <c r="L17" i="14"/>
  <c r="I13" i="19"/>
  <c r="I14" i="19"/>
  <c r="I12" i="19"/>
  <c r="I21" i="19" s="1"/>
  <c r="I15" i="19"/>
  <c r="I19" i="19"/>
  <c r="I16" i="19"/>
  <c r="I18" i="19"/>
  <c r="I17" i="19"/>
  <c r="I11" i="19"/>
  <c r="J27" i="22"/>
  <c r="J26" i="22" s="1"/>
  <c r="K27" i="22"/>
  <c r="K26" i="22" s="1"/>
  <c r="F27" i="22"/>
  <c r="F26" i="22" s="1"/>
  <c r="I26" i="22"/>
  <c r="I36" i="23"/>
  <c r="C27" i="22"/>
  <c r="C26" i="22" s="1"/>
  <c r="C30" i="22" s="1"/>
  <c r="C14" i="28"/>
  <c r="L14" i="28" s="1"/>
  <c r="B20" i="28"/>
  <c r="E27" i="22"/>
  <c r="E26" i="22" s="1"/>
  <c r="N27" i="18"/>
  <c r="J9" i="13"/>
  <c r="B71" i="13"/>
  <c r="B74" i="13"/>
  <c r="J66" i="13"/>
  <c r="A3" i="6"/>
  <c r="A3" i="35"/>
  <c r="C15" i="28"/>
  <c r="L15" i="28" s="1"/>
  <c r="E16" i="1"/>
  <c r="A5" i="16"/>
  <c r="A5" i="14"/>
  <c r="A5" i="21"/>
  <c r="A6" i="5"/>
  <c r="A6" i="20"/>
  <c r="A5" i="24"/>
  <c r="A5" i="8"/>
  <c r="A5" i="17"/>
  <c r="A5" i="15"/>
  <c r="A4" i="28"/>
  <c r="B4" i="30"/>
  <c r="A4" i="29"/>
  <c r="A3" i="12"/>
  <c r="A3" i="13"/>
  <c r="A3" i="19"/>
  <c r="A3" i="15"/>
  <c r="A3" i="21"/>
  <c r="A3" i="14"/>
  <c r="A3" i="16"/>
  <c r="A3" i="20"/>
  <c r="A3" i="17"/>
  <c r="A3" i="23"/>
  <c r="E11" i="6"/>
  <c r="C37" i="8"/>
  <c r="F1455" i="2" s="1"/>
  <c r="C8" i="6"/>
  <c r="A3" i="22"/>
  <c r="A3" i="18"/>
  <c r="A3" i="5"/>
  <c r="E9" i="6"/>
  <c r="A3" i="8"/>
  <c r="A3" i="24"/>
  <c r="A6" i="19"/>
  <c r="E12" i="8"/>
  <c r="A6" i="6"/>
  <c r="A6" i="23"/>
  <c r="A5" i="12"/>
  <c r="A6" i="13"/>
  <c r="A6" i="18"/>
  <c r="A6" i="22"/>
  <c r="D19" i="5"/>
  <c r="L18" i="22"/>
  <c r="L13" i="22"/>
  <c r="L11" i="22"/>
  <c r="L24" i="22"/>
  <c r="L14" i="22"/>
  <c r="L20" i="22"/>
  <c r="L19" i="22"/>
  <c r="L12" i="22"/>
  <c r="L17" i="22"/>
  <c r="L25" i="22"/>
  <c r="D71" i="13"/>
  <c r="J30" i="13"/>
  <c r="E35" i="5"/>
  <c r="E17" i="20"/>
  <c r="E71" i="13"/>
  <c r="E24" i="8"/>
  <c r="E30" i="8"/>
  <c r="E10" i="6"/>
  <c r="L73" i="13"/>
  <c r="J29" i="16"/>
  <c r="E40" i="8"/>
  <c r="E37" i="8" s="1"/>
  <c r="H27" i="15"/>
  <c r="G74" i="13"/>
  <c r="E28" i="8"/>
  <c r="I71" i="13"/>
  <c r="E14" i="8"/>
  <c r="L26" i="28"/>
  <c r="B15" i="28"/>
  <c r="E36" i="5"/>
  <c r="E20" i="8"/>
  <c r="E23" i="8"/>
  <c r="P71" i="13"/>
  <c r="E36" i="8"/>
  <c r="E41" i="5"/>
  <c r="H28" i="15"/>
  <c r="D22" i="20" s="1"/>
  <c r="E22" i="20" s="1"/>
  <c r="F51" i="13"/>
  <c r="J36" i="23"/>
  <c r="E27" i="8"/>
  <c r="E10" i="8"/>
  <c r="H73" i="13"/>
  <c r="H71" i="13"/>
  <c r="E32" i="5"/>
  <c r="E33" i="5"/>
  <c r="J60" i="13"/>
  <c r="D8" i="6"/>
  <c r="J73" i="13" l="1"/>
  <c r="C27" i="6"/>
  <c r="C28" i="6" s="1"/>
  <c r="D27" i="6"/>
  <c r="D28" i="6" s="1"/>
  <c r="J74" i="13"/>
  <c r="F71" i="13"/>
  <c r="L16" i="22"/>
  <c r="M27" i="22"/>
  <c r="E11" i="8"/>
  <c r="E8" i="6"/>
  <c r="E27" i="6"/>
  <c r="D13" i="20" s="1"/>
  <c r="M23" i="22"/>
  <c r="C8" i="8"/>
  <c r="E25" i="8"/>
  <c r="L23" i="22"/>
  <c r="L9" i="22"/>
  <c r="G37" i="8"/>
  <c r="C22" i="8"/>
  <c r="G36" i="8"/>
  <c r="E37" i="5"/>
  <c r="E33" i="8"/>
  <c r="E32" i="8" s="1"/>
  <c r="C15" i="8"/>
  <c r="E19" i="8"/>
  <c r="E18" i="8" s="1"/>
  <c r="E15" i="8" s="1"/>
  <c r="E31" i="5"/>
  <c r="K8" i="23"/>
  <c r="K16" i="23" s="1"/>
  <c r="K36" i="23" s="1"/>
  <c r="K37" i="23" s="1"/>
  <c r="K38" i="23" s="1"/>
  <c r="C36" i="23"/>
  <c r="E9" i="8"/>
  <c r="E8" i="8" s="1"/>
  <c r="E42" i="5"/>
  <c r="E22" i="8" l="1"/>
  <c r="G22" i="8" s="1"/>
  <c r="E29" i="8"/>
  <c r="G29" i="8" s="1"/>
  <c r="M28" i="22"/>
  <c r="L28" i="22" s="1"/>
  <c r="E45" i="8"/>
  <c r="C15" i="20" s="1"/>
  <c r="E28" i="6"/>
  <c r="E13" i="20" s="1"/>
  <c r="C45" i="8"/>
  <c r="L27" i="22"/>
  <c r="M26" i="22"/>
  <c r="E24" i="20"/>
  <c r="C37" i="23"/>
  <c r="C38" i="23" s="1"/>
  <c r="I37" i="23"/>
  <c r="I38" i="23" s="1"/>
  <c r="H37" i="23"/>
  <c r="H38" i="23" s="1"/>
  <c r="D37" i="23"/>
  <c r="D38" i="23" s="1"/>
  <c r="E37" i="23"/>
  <c r="E38" i="23" s="1"/>
  <c r="F37" i="23"/>
  <c r="F38" i="23" s="1"/>
  <c r="G37" i="23"/>
  <c r="G38" i="23" s="1"/>
  <c r="J37" i="23"/>
  <c r="J38" i="23" s="1"/>
  <c r="E40" i="5"/>
  <c r="D8" i="5"/>
  <c r="D18" i="5"/>
  <c r="F45" i="8"/>
  <c r="D15" i="20" s="1"/>
  <c r="G15" i="8"/>
  <c r="M30" i="22" l="1"/>
  <c r="D26" i="20" s="1"/>
  <c r="E26" i="20" s="1"/>
  <c r="G8" i="8"/>
  <c r="G45" i="8" s="1"/>
  <c r="E15" i="20" s="1"/>
  <c r="E20" i="20"/>
  <c r="K29" i="17"/>
  <c r="P29" i="24"/>
  <c r="D19" i="20" s="1"/>
  <c r="E19" i="20" s="1"/>
  <c r="E21" i="20"/>
  <c r="O28" i="18"/>
  <c r="M29" i="12"/>
  <c r="S49" i="21"/>
  <c r="D16" i="20" s="1"/>
  <c r="E16" i="20" s="1"/>
  <c r="E18" i="20"/>
  <c r="E23" i="20"/>
  <c r="E29" i="20"/>
  <c r="E28" i="20"/>
  <c r="E46" i="5"/>
  <c r="L26" i="22"/>
  <c r="E39" i="5"/>
  <c r="I28" i="15" l="1"/>
  <c r="I27" i="15"/>
  <c r="E43" i="5"/>
  <c r="Q71" i="13"/>
  <c r="I29" i="22"/>
  <c r="I30" i="22" s="1"/>
  <c r="D29" i="22"/>
  <c r="D30" i="22" s="1"/>
  <c r="H29" i="22"/>
  <c r="H30" i="22" s="1"/>
  <c r="K29" i="22"/>
  <c r="K30" i="22" s="1"/>
  <c r="F29" i="22"/>
  <c r="F30" i="22" s="1"/>
  <c r="J29" i="22"/>
  <c r="J30" i="22" s="1"/>
  <c r="E29" i="22"/>
  <c r="E30" i="22" s="1"/>
  <c r="G29" i="22"/>
  <c r="G30" i="22" s="1"/>
  <c r="L29" i="22"/>
  <c r="L30" i="22" s="1"/>
  <c r="E38" i="5" l="1"/>
  <c r="E26" i="5" s="1"/>
  <c r="E24" i="5" s="1"/>
  <c r="E52" i="5" s="1"/>
  <c r="D26" i="5"/>
  <c r="E49" i="5" l="1"/>
  <c r="E31" i="20"/>
  <c r="D11" i="20" l="1"/>
  <c r="E56" i="5"/>
  <c r="E11" i="20" s="1"/>
  <c r="D9" i="20"/>
  <c r="E50" i="5"/>
  <c r="E9" i="20" s="1"/>
  <c r="E53" i="5"/>
  <c r="E10" i="20" s="1"/>
  <c r="D10" i="20"/>
</calcChain>
</file>

<file path=xl/sharedStrings.xml><?xml version="1.0" encoding="utf-8"?>
<sst xmlns="http://schemas.openxmlformats.org/spreadsheetml/2006/main" count="3929" uniqueCount="1498">
  <si>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</si>
  <si>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</si>
  <si>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</si>
  <si>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</si>
  <si>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</si>
  <si>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</si>
  <si>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</si>
  <si>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</si>
  <si>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</si>
  <si>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</si>
  <si>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</si>
  <si>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</si>
  <si>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</si>
  <si>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</si>
  <si>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</si>
  <si>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</si>
  <si>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18-35 насны</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</si>
  <si>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</si>
  <si>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</si>
  <si>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</si>
  <si>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</si>
  <si>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</si>
  <si>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</si>
  <si>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</si>
  <si>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</si>
  <si>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</si>
  <si>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</si>
  <si>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</si>
  <si>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</si>
  <si>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</si>
  <si>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</si>
  <si>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</si>
  <si>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</si>
  <si>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</si>
  <si>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</si>
  <si>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</si>
  <si>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</si>
  <si>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</si>
  <si>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</si>
  <si>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</si>
  <si>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</si>
  <si>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</si>
  <si>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</si>
  <si>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</si>
  <si>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</si>
  <si>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</si>
  <si>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</si>
  <si>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</si>
  <si>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</si>
  <si>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</si>
  <si>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</si>
  <si>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</si>
  <si>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</si>
  <si>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</si>
  <si>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</si>
  <si>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</si>
  <si>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</si>
  <si>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</si>
  <si>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</si>
  <si>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</si>
  <si>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</si>
  <si>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</si>
  <si>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</si>
  <si>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</si>
  <si>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</si>
  <si>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</si>
  <si>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</si>
  <si>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</si>
  <si>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</si>
  <si>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</si>
  <si>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</si>
  <si>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</si>
  <si>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</si>
  <si>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</si>
  <si>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</si>
  <si>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</si>
  <si>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</si>
  <si>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</si>
  <si>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</si>
  <si>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</si>
  <si>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</si>
  <si>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</si>
  <si>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</si>
  <si>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</si>
  <si>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</si>
  <si>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</si>
  <si>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</si>
  <si>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</si>
  <si>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</si>
  <si>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</si>
  <si>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</si>
  <si>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</si>
  <si>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</si>
  <si>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</si>
  <si>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</si>
  <si>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</si>
  <si>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</si>
  <si>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</si>
  <si>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</si>
  <si>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</si>
  <si>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</si>
  <si>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</si>
  <si>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</si>
  <si>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</si>
  <si>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</si>
  <si>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</si>
  <si>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</si>
  <si>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</si>
  <si>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</si>
  <si>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</si>
  <si>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</si>
  <si>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</si>
  <si>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</si>
  <si>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</si>
  <si>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</si>
  <si>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</si>
  <si>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</si>
  <si>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</si>
  <si>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</si>
  <si>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</si>
  <si>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</si>
  <si>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</si>
  <si>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</si>
  <si>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</si>
  <si>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</si>
  <si>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</si>
  <si>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</si>
  <si>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</si>
  <si>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</si>
  <si>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</si>
  <si>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</si>
  <si>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</si>
  <si>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</si>
  <si>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</si>
  <si>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</si>
  <si>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</si>
  <si>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</si>
  <si>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</si>
  <si>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</si>
  <si>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</si>
  <si>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</si>
  <si>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</si>
  <si>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</si>
  <si>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</si>
  <si>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</si>
  <si>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</si>
  <si>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</si>
  <si>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</si>
  <si>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</si>
  <si>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</si>
  <si>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</si>
  <si>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</si>
  <si>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</si>
  <si>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</si>
  <si>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</si>
  <si>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</si>
  <si>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</si>
  <si>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</si>
  <si>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</si>
  <si>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</si>
  <si>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</si>
  <si>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</si>
  <si>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</si>
  <si>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</si>
  <si>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</si>
  <si>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</si>
  <si>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</si>
  <si>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</si>
  <si>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</si>
  <si>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</si>
  <si>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</si>
  <si>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</si>
  <si>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</si>
  <si>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</si>
  <si>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</si>
  <si>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</si>
  <si>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</si>
  <si>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</si>
  <si>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</si>
  <si>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</si>
  <si>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</si>
  <si>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</si>
  <si>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</si>
  <si>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</si>
  <si>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</si>
  <si>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</si>
  <si>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</si>
  <si>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</si>
  <si>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</si>
  <si>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</si>
  <si>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</si>
  <si>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</si>
  <si>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</si>
  <si>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</si>
  <si>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</si>
  <si>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</si>
  <si>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</si>
  <si>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</si>
  <si>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</si>
  <si>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</si>
  <si>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</si>
  <si>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</si>
  <si>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</si>
  <si>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</si>
  <si>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</si>
  <si>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</si>
  <si>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</si>
  <si>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</si>
  <si>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</si>
  <si>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</si>
  <si>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</si>
  <si>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</si>
  <si>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</si>
  <si>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</si>
  <si>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</si>
  <si>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</si>
  <si>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</si>
  <si>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</si>
  <si>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</si>
  <si>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</si>
  <si>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</si>
  <si>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</si>
  <si>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</si>
  <si>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</si>
  <si>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</si>
  <si>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</si>
  <si>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</si>
  <si>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</si>
  <si>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</si>
  <si>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</si>
  <si>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</si>
  <si>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</si>
  <si>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</si>
  <si>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</si>
  <si>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</si>
  <si>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</si>
  <si>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</si>
  <si>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</si>
  <si>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</si>
  <si>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</si>
  <si>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</si>
  <si>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</si>
  <si>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</si>
  <si>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</si>
  <si>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</si>
  <si>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</si>
  <si>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</si>
  <si>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</si>
  <si>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</si>
  <si>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</si>
  <si>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</si>
  <si>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</si>
  <si>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</si>
  <si>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</si>
  <si>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</si>
  <si>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</si>
  <si>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</si>
  <si>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</si>
  <si>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</si>
  <si>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</si>
  <si>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</si>
  <si>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</si>
  <si>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</si>
  <si>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</si>
  <si>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</si>
  <si>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</si>
  <si>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</si>
  <si>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</si>
  <si>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</si>
  <si>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</si>
  <si>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</si>
  <si>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</si>
  <si>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</si>
  <si>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</si>
  <si>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</si>
  <si>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</si>
  <si>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</si>
  <si>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</si>
  <si>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</si>
  <si>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</si>
  <si>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</si>
  <si>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</si>
  <si>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</si>
  <si>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</si>
  <si>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</si>
  <si>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</si>
  <si>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</si>
  <si>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</si>
  <si>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</si>
  <si>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</si>
  <si>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</si>
  <si>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</si>
  <si>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</si>
  <si>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</si>
  <si>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</si>
  <si>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</si>
  <si>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</si>
  <si>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</si>
  <si>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</si>
  <si>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</si>
  <si>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</si>
  <si>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</si>
  <si>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</si>
  <si>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</si>
  <si>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</si>
  <si>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</si>
  <si>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</si>
  <si>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</si>
  <si>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</si>
  <si>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</si>
  <si>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</si>
  <si>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</si>
  <si>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</si>
  <si>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</si>
  <si>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</si>
  <si>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</si>
  <si>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</si>
  <si>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</si>
  <si>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</si>
  <si>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</si>
  <si>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</si>
  <si>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</si>
  <si>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</si>
  <si>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</si>
  <si>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</si>
  <si>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</si>
  <si>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</si>
  <si>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</si>
  <si>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</si>
  <si>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</si>
  <si>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</si>
  <si>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</si>
  <si>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</si>
  <si>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</si>
  <si>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</si>
  <si>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</si>
  <si>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</si>
  <si>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</si>
  <si>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</si>
  <si>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</si>
  <si>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</si>
  <si>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</si>
  <si>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</si>
  <si>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</si>
  <si>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</si>
  <si>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</si>
  <si>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</si>
  <si>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</si>
  <si>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</si>
  <si>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</si>
  <si>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</si>
  <si>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</si>
  <si>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</si>
  <si>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</si>
  <si>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</si>
  <si>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</si>
  <si>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</si>
  <si>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</si>
  <si>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</si>
  <si>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</si>
  <si>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</si>
  <si>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</si>
  <si>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</si>
  <si>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</si>
  <si>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</si>
  <si>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</si>
  <si>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</si>
  <si>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</si>
  <si>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</si>
  <si>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</si>
  <si>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</si>
  <si>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</si>
  <si>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</si>
  <si>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</si>
  <si>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</si>
  <si>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</si>
  <si>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</si>
  <si>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</si>
  <si>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</si>
  <si>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</si>
  <si>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</si>
  <si>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</si>
  <si>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</si>
  <si>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</si>
  <si>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</si>
  <si>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</si>
  <si>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</si>
  <si>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</si>
  <si>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</si>
  <si>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</si>
  <si>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</si>
  <si>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</si>
  <si>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</si>
  <si>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</si>
  <si>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</si>
  <si>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</si>
  <si>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</si>
  <si>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</si>
  <si>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</si>
  <si>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</si>
  <si>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</si>
  <si>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</si>
  <si>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</si>
  <si>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</si>
  <si>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</si>
  <si>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</si>
  <si>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</si>
  <si>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</si>
  <si>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</si>
  <si>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</si>
  <si>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</si>
  <si>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</si>
  <si>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</si>
  <si>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</si>
  <si>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</si>
  <si>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</si>
  <si>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</si>
  <si>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</si>
  <si>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</si>
  <si>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</si>
  <si>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</si>
  <si>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</si>
  <si>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</si>
  <si>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</si>
  <si>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</si>
  <si>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</si>
  <si>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</si>
  <si>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</si>
  <si>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</si>
  <si>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</si>
  <si>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</si>
  <si>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</si>
  <si>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</si>
  <si>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</si>
  <si>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</si>
  <si>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</si>
  <si>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</si>
  <si>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</si>
  <si>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</si>
  <si>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</si>
  <si>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</si>
  <si>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</si>
  <si>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</si>
  <si>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</si>
  <si>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</si>
  <si>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</si>
  <si>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</si>
  <si>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</si>
  <si>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</si>
  <si>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</si>
  <si>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</si>
  <si>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</si>
  <si>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</si>
  <si>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</si>
  <si>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</si>
  <si>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</si>
  <si>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</si>
  <si>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</si>
  <si>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</si>
  <si>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</si>
  <si>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</si>
  <si>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</si>
  <si>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</si>
  <si>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</si>
  <si>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</si>
  <si>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</si>
  <si>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</si>
  <si>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</si>
  <si>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</si>
  <si>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</si>
  <si>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</si>
  <si>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</si>
  <si>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</si>
  <si>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</si>
  <si>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</si>
  <si>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</si>
  <si>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</si>
  <si>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</si>
  <si>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</si>
  <si>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</si>
  <si>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</si>
  <si>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</si>
  <si>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</si>
  <si>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</si>
  <si>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</si>
  <si>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</si>
  <si>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</si>
  <si>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</si>
  <si>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</si>
  <si>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</si>
  <si>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</si>
  <si>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</si>
  <si>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</si>
  <si>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</si>
  <si>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</si>
  <si>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</si>
  <si>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</si>
  <si>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</si>
  <si>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</si>
  <si>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</si>
  <si>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</si>
  <si>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</si>
  <si>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</si>
  <si>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</si>
  <si>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</si>
  <si>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</si>
  <si>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</si>
  <si>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</si>
  <si>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</si>
  <si>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</si>
  <si>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</si>
  <si>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</si>
  <si>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</si>
  <si>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</si>
  <si>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</si>
  <si>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</si>
  <si>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</si>
  <si>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</si>
  <si>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</si>
  <si>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</si>
  <si>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</si>
  <si>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</si>
  <si>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</si>
  <si>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</si>
  <si>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</si>
  <si>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</si>
  <si>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</si>
  <si>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</si>
  <si>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</si>
  <si>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</si>
  <si>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</si>
  <si>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</si>
  <si>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</si>
  <si>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</si>
  <si>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</si>
  <si>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</si>
  <si>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</si>
  <si>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</si>
  <si>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</si>
  <si>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</si>
  <si>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</si>
  <si>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</si>
  <si>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</si>
  <si>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</si>
  <si>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</si>
  <si>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</si>
  <si>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</si>
  <si>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</si>
  <si>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</si>
  <si>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</si>
  <si>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</si>
  <si>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</si>
  <si>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</si>
  <si>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</si>
  <si>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</si>
  <si>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</si>
  <si>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</si>
  <si>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</si>
  <si>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</si>
  <si>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</si>
  <si>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</si>
  <si>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</si>
  <si>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</si>
  <si>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</si>
  <si>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</si>
  <si>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</si>
  <si>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</si>
  <si>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</si>
  <si>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</si>
  <si>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</si>
  <si>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</si>
  <si>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</si>
  <si>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</si>
  <si>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</si>
  <si>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</si>
  <si>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</si>
  <si>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</si>
  <si>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</si>
  <si>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</si>
  <si>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</si>
  <si>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</si>
  <si>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</si>
  <si>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</si>
  <si>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</si>
  <si>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</si>
  <si>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</si>
  <si>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</si>
  <si>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</si>
  <si>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</si>
  <si>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</si>
  <si>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</si>
  <si>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</si>
  <si>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</si>
  <si>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</si>
  <si>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</si>
  <si>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</si>
  <si>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</si>
  <si>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</si>
  <si>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</si>
  <si>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</si>
  <si>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</si>
  <si>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</si>
  <si>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</si>
  <si>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</si>
  <si>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</si>
  <si>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</si>
  <si>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4. Нүдэнд оруулах тоон утгын нарийвчлал нь зуу (0.99)-ны нарийвчлалаас хэтрэхгүй. Жишээ: зөв 200,265.23 | буруу 200,265.234</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</si>
  <si>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</si>
  <si>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</si>
  <si>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</si>
  <si>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</si>
  <si>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</si>
  <si>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</si>
  <si>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</si>
  <si>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</si>
  <si>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</si>
  <si>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</si>
  <si>
    <t>Аппликэйшний нэр</t>
  </si>
  <si>
    <t>Аппликэйшнээр үзүүлдэг үйлчилгээнүүд</t>
  </si>
  <si>
    <t>Өөр аппликэйшн, вэбтэй холбогдсон эсэх</t>
  </si>
  <si>
    <t>Цахим хэтэвчтэй эсэх</t>
  </si>
  <si>
    <t>АППЛИКЭЙШНИЙ МЭДЭЭЛЭЛ</t>
  </si>
  <si>
    <t>Төрөл</t>
  </si>
  <si>
    <t>Тоо</t>
  </si>
  <si>
    <t>Шинэ хэрэглэгч</t>
  </si>
  <si>
    <t>Нийт бүртгэлтэй хэрэглэгч</t>
  </si>
  <si>
    <t>Нийт бүртгэлгүй хэрэглэгч</t>
  </si>
  <si>
    <t>Идэвхтэй хэрэглэгч</t>
  </si>
  <si>
    <t>Нийт хэрэглэгч</t>
  </si>
  <si>
    <t>Төлөөлөгч</t>
  </si>
  <si>
    <t>Цахим мөнгө хүлээн авагч</t>
  </si>
  <si>
    <t>Гүйлгээний дүн</t>
  </si>
  <si>
    <t>Цахим мөнгөн хүлээн авагч</t>
  </si>
  <si>
    <t>Бараа, үйлчилгээний төлбөр хүлээн авах</t>
  </si>
  <si>
    <t>Цахим мөнгө шилжүүлэх</t>
  </si>
  <si>
    <t>Цахим мөнгийг мөнгөн хөрөнгөнд хөрвүүлэх</t>
  </si>
  <si>
    <t>Мөнгөн хөрөнгийг цахим мөнгөнд хөрвүүлэх</t>
  </si>
  <si>
    <t>Хэрэглэгч</t>
  </si>
  <si>
    <t>Цахим мөнгийг бусад оролцогчийн данс руу шилжүүлэх</t>
  </si>
  <si>
    <t>Бусад оролцогчийн данснаас цахим мөнгөний данс руу шилжүүлэх</t>
  </si>
  <si>
    <t>Цахим мөнгийг бэлэн мөнгөнд хөрвүүлэх</t>
  </si>
  <si>
    <t>Бэлэн мөнгийг цахим мөнгөнд хөрвүүлэх</t>
  </si>
  <si>
    <t>Эргэлтэнд гарсан нийт цахим мөнгө</t>
  </si>
  <si>
    <t>Баталгааны дансны үлдэгдэл</t>
  </si>
  <si>
    <t>Сар</t>
  </si>
  <si>
    <t>ББСБ-ын оролцогчдийн жендерийн судалгаа</t>
  </si>
  <si>
    <t xml:space="preserve">Нийт </t>
  </si>
  <si>
    <t>Эр</t>
  </si>
  <si>
    <t>Эм</t>
  </si>
  <si>
    <t>Зээлдэгчдийн тоо</t>
  </si>
  <si>
    <t>18-35 насны</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</si>
  <si>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</si>
  <si>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</si>
  <si>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</si>
  <si>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</si>
  <si>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</si>
  <si>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</si>
  <si>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</si>
  <si>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</si>
  <si>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</si>
  <si>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</si>
  <si>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</si>
  <si>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</si>
  <si>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</si>
  <si>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</si>
  <si>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</si>
  <si>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</si>
  <si>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</si>
  <si>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</si>
  <si>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ЦАХИМ МӨНГӨНИЙ ТАЙЛАН</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</si>
  <si>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</si>
  <si>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</si>
  <si>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</si>
  <si>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</si>
  <si>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</si>
  <si>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</si>
  <si>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</si>
  <si>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</si>
  <si>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</si>
  <si>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</si>
  <si>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</si>
  <si>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</si>
  <si>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</si>
  <si>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</si>
  <si>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</si>
  <si>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</si>
  <si>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</si>
  <si>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</si>
  <si>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</si>
  <si>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Улирлын нийт дүн</t>
  </si>
  <si>
    <t>Аппликэйшнтэй эсэх</t>
  </si>
  <si>
    <t>Онлайн үйлчилгээний мэдээлэл</t>
  </si>
  <si>
    <t>Вэб хуудас /web page/-тай эсэх</t>
  </si>
  <si>
    <t>Вэб хуудсаар дамжуулан зээл олгодог эсэх</t>
  </si>
  <si>
    <t>Вэб хуудас /web page/-ны URL</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</si>
  <si>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</si>
  <si>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</si>
  <si>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</si>
  <si>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</si>
  <si>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</si>
  <si>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</si>
  <si>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</si>
  <si>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</si>
  <si>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</si>
  <si>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</si>
  <si>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</si>
  <si>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</si>
  <si>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</si>
  <si>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</si>
  <si>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</si>
  <si>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</si>
  <si>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</si>
  <si>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</si>
  <si>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</si>
  <si>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</si>
  <si>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</si>
  <si>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</si>
  <si>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</si>
  <si>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</si>
  <si>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</si>
  <si>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</si>
  <si>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</si>
  <si>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</si>
  <si>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</si>
  <si>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</si>
  <si>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</si>
  <si>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</si>
  <si>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</si>
  <si>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</si>
  <si>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</si>
  <si>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</si>
  <si>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</si>
  <si>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</si>
  <si>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</si>
  <si>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</si>
  <si>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</si>
  <si>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</si>
  <si>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</si>
  <si>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</si>
  <si>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</si>
  <si>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</si>
  <si>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</si>
  <si>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</si>
  <si>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</si>
  <si>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</si>
  <si>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</si>
  <si>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</si>
  <si>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</si>
  <si>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</si>
  <si>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</si>
  <si>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</si>
  <si>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</si>
  <si>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</si>
  <si>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</si>
  <si>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</si>
  <si>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</si>
  <si>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</si>
  <si>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</si>
  <si>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</si>
  <si>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</si>
  <si>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</si>
  <si>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</si>
  <si>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</si>
  <si>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</si>
  <si>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</si>
  <si>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</si>
  <si>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</si>
  <si>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</si>
  <si>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</si>
  <si>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</si>
  <si>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</si>
  <si>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</si>
  <si>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</si>
  <si>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</si>
  <si>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</si>
  <si>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</si>
  <si>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</si>
  <si>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</si>
  <si>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</si>
  <si>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</si>
  <si>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</si>
  <si>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</si>
  <si>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</si>
  <si>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</si>
  <si>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</si>
  <si>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</si>
  <si>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</si>
  <si>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</si>
  <si>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</si>
  <si>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</si>
  <si>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</si>
  <si>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</si>
  <si>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</si>
  <si>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</si>
  <si>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</si>
  <si>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</si>
  <si>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</si>
  <si>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</si>
  <si>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</si>
  <si>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</si>
  <si>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</si>
  <si>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</si>
  <si>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</si>
  <si>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</si>
  <si>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</si>
  <si>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</si>
  <si>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</si>
  <si>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</si>
  <si>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</si>
  <si>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</si>
  <si>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</si>
  <si>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</si>
  <si>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</si>
  <si>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</si>
  <si>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</si>
  <si>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</si>
  <si>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</si>
  <si>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</si>
  <si>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</si>
  <si>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</si>
  <si>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</si>
  <si>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</si>
  <si>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</si>
  <si>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</si>
  <si>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</si>
  <si>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</si>
  <si>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</si>
  <si>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</si>
  <si>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</si>
  <si>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</si>
  <si>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</si>
  <si>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</si>
  <si>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</si>
  <si>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</si>
  <si>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</si>
  <si>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</si>
  <si>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</si>
  <si>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</si>
  <si>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</si>
  <si>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</si>
  <si>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</si>
  <si>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</si>
  <si>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</si>
  <si>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</si>
  <si>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</si>
  <si>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</si>
  <si>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</si>
  <si>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</si>
  <si>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</si>
  <si>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</si>
  <si>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</si>
  <si>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</si>
  <si>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</si>
  <si>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</si>
  <si>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</si>
  <si>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</si>
  <si>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</si>
  <si>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</si>
  <si>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</si>
  <si>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</si>
  <si>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</si>
  <si>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</si>
  <si>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</si>
  <si>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</si>
  <si>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</si>
  <si>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</si>
  <si>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</si>
  <si>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</si>
  <si>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</si>
  <si>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</si>
  <si>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</si>
  <si>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</si>
  <si>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</si>
  <si>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</si>
  <si>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</si>
  <si>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</si>
  <si>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</si>
  <si>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</si>
  <si>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</si>
  <si>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</si>
  <si>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</si>
  <si>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</si>
  <si>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</si>
  <si>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</si>
  <si>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</si>
  <si>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</si>
  <si>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</si>
  <si>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</si>
  <si>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</si>
  <si>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</si>
  <si>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</si>
  <si>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</si>
  <si>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</si>
  <si>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</si>
  <si>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</si>
  <si>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</si>
  <si>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</si>
  <si>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</si>
  <si>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</si>
  <si>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</si>
  <si>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</si>
  <si>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</si>
  <si>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</si>
  <si>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</si>
  <si>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</si>
  <si>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</si>
  <si>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</si>
  <si>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</si>
  <si>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</si>
  <si>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</si>
  <si>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</si>
  <si>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</si>
  <si>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</si>
  <si>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</si>
  <si>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</si>
  <si>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</si>
  <si>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</si>
  <si>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</si>
  <si>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</si>
  <si>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</si>
  <si>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</si>
  <si>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</si>
  <si>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</si>
  <si>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</si>
  <si>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</si>
  <si>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</si>
  <si>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</si>
  <si>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</si>
  <si>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</si>
  <si>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</si>
  <si>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</si>
  <si>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</si>
  <si>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</si>
  <si>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</si>
  <si>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</si>
  <si>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</si>
  <si>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</si>
  <si>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</si>
  <si>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</si>
  <si>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</si>
  <si>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</si>
  <si>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</si>
  <si>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</si>
  <si>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</si>
  <si>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</si>
  <si>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</si>
  <si>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</si>
  <si>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</si>
  <si>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</si>
  <si>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</si>
  <si>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</si>
  <si>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</si>
  <si>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</si>
  <si>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</si>
  <si>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</si>
  <si>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</si>
  <si>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</si>
  <si>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</si>
  <si>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</si>
  <si>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</si>
  <si>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</si>
  <si>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</si>
  <si>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</si>
  <si>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</si>
  <si>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</si>
  <si>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</si>
  <si>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</si>
  <si>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</si>
  <si>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</si>
  <si>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</si>
  <si>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</si>
  <si>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</si>
  <si>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</si>
  <si>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</si>
  <si>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</si>
  <si>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</si>
  <si>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</si>
  <si>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</si>
  <si>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</si>
  <si>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</si>
  <si>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</si>
  <si>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</si>
  <si>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</si>
  <si>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</si>
  <si>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</si>
  <si>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</si>
  <si>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</si>
  <si>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</si>
  <si>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</si>
  <si>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</si>
  <si>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</si>
  <si>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</si>
  <si>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</si>
  <si>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</si>
  <si>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</si>
  <si>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</si>
  <si>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</si>
  <si>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</si>
  <si>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</si>
  <si>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</si>
  <si>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</si>
  <si>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</si>
  <si>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</si>
  <si>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</si>
  <si>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</si>
  <si>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</si>
  <si>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</si>
  <si>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</si>
  <si>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</si>
  <si>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</si>
  <si>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</si>
  <si>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</si>
  <si>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</si>
  <si>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</si>
  <si>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</si>
  <si>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</si>
  <si>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</si>
  <si>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</si>
  <si>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</si>
  <si>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</si>
  <si>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</si>
  <si>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</si>
  <si>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</si>
  <si>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</si>
  <si>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</si>
  <si>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</si>
  <si>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</si>
  <si>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</si>
  <si>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</si>
  <si>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</si>
  <si>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</si>
  <si>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</si>
  <si>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</si>
  <si>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</si>
  <si>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</si>
  <si>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</si>
  <si>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</si>
  <si>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</si>
  <si>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</si>
  <si>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</si>
  <si>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</si>
  <si>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</si>
  <si>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</si>
  <si>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</si>
  <si>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</si>
  <si>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</si>
  <si>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</si>
  <si>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</si>
  <si>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</si>
  <si>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</si>
  <si>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</si>
  <si>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</si>
  <si>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</si>
  <si>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</si>
  <si>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</si>
  <si>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</si>
  <si>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</si>
  <si>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</si>
  <si>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</si>
  <si>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</si>
  <si>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</si>
  <si>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</si>
  <si>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</si>
  <si>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</si>
  <si>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</si>
  <si>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</si>
  <si>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</si>
  <si>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</si>
  <si>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</si>
  <si>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</si>
  <si>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</si>
  <si>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</si>
  <si>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</si>
  <si>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</si>
  <si>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</si>
  <si>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</si>
  <si>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</si>
  <si>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</si>
  <si>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</si>
  <si>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</si>
  <si>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</si>
  <si>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</si>
  <si>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</si>
  <si>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</si>
  <si>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</si>
  <si>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</si>
  <si>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</si>
  <si>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</si>
  <si>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</si>
  <si>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</si>
  <si>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</si>
  <si>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</si>
  <si>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</si>
  <si>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</si>
  <si>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</si>
  <si>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</si>
  <si>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</si>
  <si>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</si>
  <si>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</si>
  <si>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</si>
  <si>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</si>
  <si>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</si>
  <si>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</si>
  <si>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</si>
  <si>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</si>
  <si>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</si>
  <si>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</si>
  <si>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</si>
  <si>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</si>
  <si>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</si>
  <si>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</si>
  <si>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</si>
  <si>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</si>
  <si>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</si>
  <si>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</si>
  <si>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</si>
  <si>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</si>
  <si>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</si>
  <si>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</si>
  <si>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</si>
  <si>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</si>
  <si>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</si>
  <si>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</si>
  <si>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</si>
  <si>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</si>
  <si>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</si>
  <si>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</si>
  <si>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</si>
  <si>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</si>
  <si>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</si>
  <si>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</si>
  <si>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</si>
  <si>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</si>
  <si>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</si>
  <si>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</si>
  <si>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</si>
  <si>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</si>
  <si>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</si>
  <si>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</si>
  <si>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</si>
  <si>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</si>
  <si>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</si>
  <si>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</si>
  <si>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</si>
  <si>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</si>
  <si>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</si>
  <si>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</si>
  <si>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</si>
  <si>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</si>
  <si>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</si>
  <si>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</si>
  <si>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</si>
  <si>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</si>
  <si>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</si>
  <si>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</si>
  <si>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</si>
  <si>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</si>
  <si>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</si>
  <si>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</si>
  <si>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</si>
  <si>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</si>
  <si>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</si>
  <si>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</si>
  <si>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</si>
  <si>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</si>
  <si>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</si>
  <si>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</si>
  <si>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</si>
  <si>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</si>
  <si>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</si>
  <si>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</si>
  <si>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</si>
  <si>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</si>
  <si>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</si>
  <si>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</si>
  <si>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</si>
  <si>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</si>
  <si>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</si>
  <si>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</si>
  <si>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</si>
  <si>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</si>
  <si>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</si>
  <si>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</si>
  <si>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</si>
  <si>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</si>
  <si>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</si>
  <si>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</si>
  <si>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</si>
  <si>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</si>
  <si>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</si>
  <si>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</si>
  <si>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</si>
  <si>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</si>
  <si>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</si>
  <si>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</si>
  <si>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</si>
  <si>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</si>
  <si>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</si>
  <si>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</si>
  <si>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</si>
  <si>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</si>
  <si>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</si>
  <si>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</si>
  <si>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</si>
  <si>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</si>
  <si>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</si>
  <si>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</si>
  <si>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</si>
  <si>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</si>
  <si>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</si>
  <si>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</si>
  <si>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</si>
  <si>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</si>
  <si>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</si>
  <si>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</si>
  <si>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</si>
  <si>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</si>
  <si>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</si>
  <si>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</si>
  <si>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</si>
  <si>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</si>
  <si>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</si>
  <si>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</si>
  <si>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</si>
  <si>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</si>
  <si>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</si>
  <si>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</si>
  <si>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</si>
  <si>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</si>
  <si>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</si>
  <si>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</si>
  <si>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</si>
  <si>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</si>
  <si>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</si>
  <si>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</si>
  <si>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</si>
  <si>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</si>
  <si>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</si>
  <si>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</si>
  <si>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</si>
  <si>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</si>
  <si>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</si>
  <si>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</si>
  <si>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</si>
  <si>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</si>
  <si>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</si>
  <si>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</si>
  <si>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</si>
  <si>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</si>
  <si>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</si>
  <si>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</si>
  <si>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</si>
  <si>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</si>
  <si>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</si>
  <si>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</si>
  <si>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</si>
  <si>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</si>
  <si>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</si>
  <si>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</si>
  <si>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</si>
  <si>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</si>
  <si>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</si>
  <si>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</si>
  <si>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</si>
  <si>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</si>
  <si>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</si>
  <si>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</si>
  <si>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</si>
  <si>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</si>
  <si>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</si>
  <si>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</si>
  <si>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</si>
  <si>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</si>
  <si>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</si>
  <si>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</si>
  <si>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</si>
  <si>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</si>
  <si>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</si>
  <si>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</si>
  <si>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</si>
  <si>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</si>
  <si>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</si>
  <si>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</si>
  <si>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</si>
  <si>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</si>
  <si>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</si>
  <si>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</si>
  <si>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</si>
  <si>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</si>
  <si>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</si>
  <si>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</si>
  <si>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</si>
  <si>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</si>
  <si>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</si>
  <si>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</si>
  <si>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</si>
  <si>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</si>
  <si>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</si>
  <si>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</si>
  <si>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</si>
  <si>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</si>
  <si>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</si>
  <si>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</si>
  <si>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</si>
  <si>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</si>
  <si>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</si>
  <si>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</si>
  <si>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</si>
  <si>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</si>
  <si>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</si>
  <si>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</si>
  <si>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</si>
  <si>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</si>
  <si>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</si>
  <si>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</si>
  <si>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</si>
  <si>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</si>
  <si>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</si>
  <si>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</si>
  <si>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</si>
  <si>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</si>
  <si>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</si>
  <si>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</si>
  <si>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</si>
  <si>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</si>
  <si>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</si>
  <si>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</si>
  <si>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</si>
  <si>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</si>
  <si>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</si>
  <si>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</si>
  <si>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</si>
  <si>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</si>
  <si>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</si>
  <si>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</si>
  <si>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</si>
  <si>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</si>
  <si>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</si>
  <si>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</si>
  <si>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</si>
  <si>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</si>
  <si>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</si>
  <si>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</si>
  <si>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</si>
  <si>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</si>
  <si>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</si>
  <si>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</si>
  <si>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</si>
  <si>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</si>
  <si>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</si>
  <si>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</si>
  <si>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</si>
  <si>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</si>
  <si>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</si>
  <si>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</si>
  <si>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</si>
  <si>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</si>
  <si>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</si>
  <si>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</si>
  <si>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</si>
  <si>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</si>
  <si>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</si>
  <si>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</si>
  <si>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</si>
  <si>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</si>
  <si>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</si>
  <si>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</si>
  <si>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</si>
  <si>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</si>
  <si>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</si>
  <si>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</si>
  <si>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</si>
  <si>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</si>
  <si>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</si>
  <si>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</si>
  <si>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</si>
  <si>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</si>
  <si>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</si>
  <si>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</si>
  <si>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</si>
  <si>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</si>
  <si>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</si>
  <si>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</si>
  <si>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</si>
  <si>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</si>
  <si>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</si>
  <si>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</si>
  <si>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</si>
  <si>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</si>
  <si>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</si>
  <si>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</si>
  <si>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</si>
  <si>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</si>
  <si>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</si>
  <si>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</si>
  <si>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</si>
  <si>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</si>
  <si>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</si>
  <si>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</si>
  <si>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</si>
  <si>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</si>
  <si>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</si>
  <si>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</si>
  <si>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</si>
  <si>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</si>
  <si>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</si>
  <si>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</si>
  <si>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</si>
  <si>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</si>
  <si>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</si>
  <si>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</si>
  <si>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</si>
  <si>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</si>
  <si>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</si>
  <si>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</si>
  <si>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</si>
  <si>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</si>
  <si>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</si>
  <si>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</si>
  <si>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</si>
  <si>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</si>
  <si>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</si>
  <si>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</si>
  <si>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</si>
  <si>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</si>
  <si>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</si>
  <si>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</si>
  <si>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</si>
  <si>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</si>
  <si>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</si>
  <si>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</si>
  <si>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</si>
  <si>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</si>
  <si>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</si>
  <si>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</si>
  <si>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</si>
  <si>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</si>
  <si>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</si>
  <si>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</si>
  <si>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</si>
  <si>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</si>
  <si>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</si>
  <si>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</si>
  <si>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</si>
  <si>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</si>
  <si>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</si>
  <si>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</si>
  <si>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</si>
  <si>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</si>
  <si>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</si>
  <si>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</si>
  <si>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</si>
  <si>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</si>
  <si>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</si>
  <si>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</si>
  <si>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</si>
  <si>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</si>
  <si>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</si>
  <si>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</si>
  <si>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</si>
  <si>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</si>
  <si>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</si>
  <si>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</si>
  <si>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</si>
  <si>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</si>
  <si>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</si>
  <si>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</si>
  <si>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</si>
  <si>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</si>
  <si>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</si>
  <si>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</si>
  <si>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</si>
  <si>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</si>
  <si>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</si>
  <si>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</si>
  <si>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</si>
  <si>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</si>
  <si>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</si>
  <si>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</si>
  <si>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8. Банк бус санхүүгийн үйл ажиллагаа эрхлэх аж ахуйн нэгж байгууллагын дагаж мөрдөх нягтлан бодох бүртгэлийн журмыг энд дарж үзнэ үү.</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</si>
  <si>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</si>
  <si>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</si>
  <si>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</si>
  <si>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</si>
  <si>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</si>
  <si>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</si>
  <si>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</si>
  <si>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5. Тайланд дүнг мянгачилж оруулахгүй, дан төгрөгөөр шивэхийг анхаарна уу!!!</t>
  </si>
  <si>
    <t>1. Мастер файлыг нэрлэхдээ NBFIN-ын араас үсэг тавихгүй. XXXXXXX-ын оронд зөвхөн регистрын дугаар оруулна уу.</t>
  </si>
  <si>
    <t xml:space="preserve">2. Огноо: OOOO-СС-ӨӨ жишээ: 2024-01-01 </t>
  </si>
  <si>
    <t>Өмнөх оны мөн үеийн нийт хөрөнгө /төгрөгөөр/</t>
  </si>
  <si>
    <r>
      <t xml:space="preserve">10. Гүйлгээ үлдэгдлийн тайлан тэнцэл (GB) -д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</si>
  <si>
    <t>Өмнөх оны мөн үеийн өөрийн хөрөнгө /төгрөгөөр/</t>
  </si>
  <si>
    <t>Факторингийн тооцооны өглөг</t>
  </si>
  <si>
    <t>Мөнгө хураалтын зардал (Зохицуулалт үйлчилгээний хөлс)</t>
  </si>
  <si>
    <t>Тэнцлийн гадуурх данснаас орсон орлого</t>
  </si>
  <si>
    <r>
      <t xml:space="preserve">11. Өөрийн хөрөнгө, нийт эрсдэлээр жигнэсэн активын зохистой харьцааны тайлан (CAPITAL), Активын эрсдэлийн сангийн хүрэлцээ, хангамжийн судалгааны тайлан (PROVISION)-д шараар тэмдэглэсэн нүднүүдэд </t>
    </r>
    <r>
      <rPr>
        <b/>
        <sz val="11"/>
        <color theme="1"/>
        <rFont val="Times New Roman"/>
        <family val="1"/>
      </rPr>
      <t>гараас утга оруулахыг</t>
    </r>
    <r>
      <rPr>
        <sz val="10"/>
        <color theme="1"/>
        <rFont val="Times New Roman"/>
        <family val="1"/>
      </rPr>
      <t xml:space="preserve"> анхаарна уу.</t>
    </r>
  </si>
  <si>
    <r>
      <t xml:space="preserve">12. </t>
    </r>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журмын 22.5 дахь хэсгээс харна уу.</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</si>
</sst>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6">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b/>
      <sz val="16"/>
      <color rgb="FFFF0000"/>
      <name val="Times New Roman"/>
      <family val="1"/>
    </font>
    <font>
      <i/>
      <sz val="10"/>
      <color theme="1"/>
      <name val="Times New Roman"/>
      <family val="1"/>
    </font>
    <font>
      <sz val="10"/>
      <color rgb="FFC00000"/>
      <name val="Times New Roman"/>
      <family val="1"/>
    </font>
    <font>
      <b/>
      <i/>
      <sz val="10"/>
      <color theme="1"/>
      <name val="Times New Roman"/>
      <family val="1"/>
    </font>
    <font>
      <sz val="11"/>
      <color theme="10"/>
      <name val="Times New Roman"/>
      <family val="2"/>
    </font>
    <font>
      <b/>
      <sz val="9"/>
      <color rgb="FFFF0000"/>
      <name val="Times New Roman"/>
      <family val="1"/>
    </font>
    <font>
      <sz val="10"/>
      <color rgb="FF0070C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b/>
      <sz val="11"/>
      <color theme="1"/>
      <name val="Times New Roman"/>
      <family val="1"/>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theme="9" tint="0.39997558519241921"/>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style="thin">
        <color theme="1" tint="0.499984740745262"/>
      </top>
      <bottom/>
      <diagonal/>
    </border>
    <border>
      <left/>
      <right style="medium">
        <color theme="1" tint="0.499984740745262"/>
      </right>
      <top/>
      <bottom/>
      <diagonal/>
    </border>
    <border>
      <left/>
      <right style="medium">
        <color theme="1" tint="0.499984740745262"/>
      </right>
      <top/>
      <bottom style="thin">
        <color theme="1" tint="0.499984740745262"/>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241">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18" fillId="0" borderId="1" xfId="0" applyFont="1" applyBorder="1" applyAlignment="1">
      <alignment horizontal="center"/>
    </xf>
    <xf numFmtId="0" fontId="5" fillId="0" borderId="1" xfId="0" applyFont="1" applyBorder="1"/>
    <xf numFmtId="0" fontId="19" fillId="0" borderId="1" xfId="0" applyFont="1" applyBorder="1"/>
    <xf numFmtId="0" fontId="18" fillId="7" borderId="1" xfId="0" applyFont="1" applyFill="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5" fillId="8"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3" xfId="0" applyFont="1" applyBorder="1" applyAlignment="1">
      <alignment horizontal="center" vertical="top" wrapText="1"/>
    </xf>
    <xf numFmtId="0" fontId="5" fillId="0" borderId="6" xfId="0" applyFont="1" applyBorder="1" applyAlignment="1">
      <alignment vertical="top" wrapText="1"/>
    </xf>
    <xf numFmtId="0" fontId="3" fillId="0" borderId="3"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5" xfId="0" applyFont="1" applyBorder="1" applyAlignment="1">
      <alignment horizontal="center" vertical="center" wrapText="1"/>
    </xf>
    <xf numFmtId="0" fontId="3" fillId="0" borderId="6" xfId="0" applyFont="1" applyBorder="1" applyAlignment="1">
      <alignment vertical="top" wrapText="1"/>
    </xf>
    <xf numFmtId="0" fontId="3" fillId="0" borderId="7" xfId="0" applyFont="1" applyBorder="1" applyAlignment="1">
      <alignment horizontal="center" vertical="center" wrapText="1"/>
    </xf>
    <xf numFmtId="0" fontId="3" fillId="0" borderId="1" xfId="0" applyFont="1" applyBorder="1" applyAlignment="1">
      <alignment vertical="center" wrapText="1"/>
    </xf>
    <xf numFmtId="9" fontId="3" fillId="0" borderId="1" xfId="0" applyNumberFormat="1" applyFont="1" applyBorder="1" applyAlignment="1">
      <alignment horizontal="center" vertical="center" wrapText="1"/>
    </xf>
    <xf numFmtId="0" fontId="8" fillId="3" borderId="7" xfId="0" applyFont="1" applyFill="1" applyBorder="1" applyAlignment="1">
      <alignment vertical="center" wrapText="1"/>
    </xf>
    <xf numFmtId="0" fontId="8" fillId="0" borderId="7" xfId="0" applyFont="1" applyBorder="1" applyAlignment="1">
      <alignment vertical="center" wrapText="1"/>
    </xf>
    <xf numFmtId="0" fontId="2" fillId="8"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 fillId="8" borderId="7" xfId="0" applyFont="1" applyFill="1" applyBorder="1" applyAlignment="1">
      <alignment horizontal="center" vertical="center" wrapText="1"/>
    </xf>
    <xf numFmtId="0" fontId="19" fillId="0" borderId="8" xfId="0" applyFont="1" applyBorder="1" applyAlignment="1">
      <alignment horizontal="center" vertical="center"/>
    </xf>
    <xf numFmtId="0" fontId="18" fillId="0" borderId="0" xfId="0" applyFont="1" applyAlignment="1">
      <alignment vertical="center" wrapText="1"/>
    </xf>
    <xf numFmtId="0" fontId="5" fillId="3" borderId="1" xfId="0" applyFont="1" applyFill="1" applyBorder="1" applyAlignment="1">
      <alignment horizontal="justify" vertical="top" wrapText="1"/>
    </xf>
    <xf numFmtId="9" fontId="5" fillId="3" borderId="1" xfId="7" applyNumberFormat="1" applyFont="1" applyFill="1" applyBorder="1" applyAlignment="1">
      <alignment horizontal="center"/>
    </xf>
    <xf numFmtId="0" fontId="5" fillId="3" borderId="1" xfId="0" applyFont="1" applyFill="1" applyBorder="1" applyAlignment="1">
      <alignment horizontal="left" vertical="top" wrapText="1"/>
    </xf>
    <xf numFmtId="9" fontId="5" fillId="3" borderId="1" xfId="0" applyNumberFormat="1" applyFont="1" applyFill="1" applyBorder="1" applyAlignment="1">
      <alignment horizontal="center" vertical="top" wrapText="1"/>
    </xf>
    <xf numFmtId="0" fontId="19" fillId="0" borderId="0" xfId="0" applyFont="1" applyAlignment="1">
      <alignment horizontal="left"/>
    </xf>
    <xf numFmtId="0" fontId="19" fillId="3" borderId="9" xfId="5" applyFont="1" applyFill="1" applyBorder="1" applyAlignment="1">
      <alignment horizontal="left" vertical="center" wrapText="1"/>
    </xf>
    <xf numFmtId="0" fontId="19" fillId="0" borderId="9"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10" xfId="0" applyFont="1" applyFill="1" applyBorder="1" applyAlignment="1">
      <alignment horizontal="left" wrapText="1"/>
    </xf>
    <xf numFmtId="0" fontId="27" fillId="9" borderId="0" xfId="0" applyFont="1" applyFill="1" applyAlignment="1">
      <alignment wrapText="1"/>
    </xf>
    <xf numFmtId="0" fontId="27" fillId="0" borderId="10"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8" borderId="1" xfId="0" applyFont="1" applyFill="1" applyBorder="1" applyAlignment="1">
      <alignment horizontal="center" vertical="center"/>
    </xf>
    <xf numFmtId="0" fontId="19" fillId="5" borderId="1" xfId="0" applyFont="1" applyFill="1" applyBorder="1"/>
    <xf numFmtId="14" fontId="19" fillId="0" borderId="1" xfId="0" applyNumberFormat="1" applyFont="1" applyBorder="1" applyProtection="1">
      <protection locked="0"/>
    </xf>
    <xf numFmtId="0" fontId="18" fillId="8" borderId="1" xfId="0" applyFont="1" applyFill="1" applyBorder="1"/>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8" fillId="8" borderId="11" xfId="2" applyNumberFormat="1" applyFont="1" applyFill="1" applyBorder="1" applyAlignment="1" applyProtection="1">
      <alignment horizontal="right" vertical="center"/>
    </xf>
    <xf numFmtId="165" fontId="5" fillId="0" borderId="12" xfId="2" applyNumberFormat="1" applyFont="1" applyBorder="1" applyAlignment="1">
      <alignment horizontal="center" vertical="center" wrapText="1"/>
    </xf>
    <xf numFmtId="165" fontId="4" fillId="5" borderId="1" xfId="2" applyNumberFormat="1" applyFont="1" applyFill="1" applyBorder="1" applyAlignment="1" applyProtection="1">
      <alignment horizontal="right" vertical="center"/>
    </xf>
    <xf numFmtId="165" fontId="4" fillId="5" borderId="11" xfId="2" applyNumberFormat="1" applyFont="1" applyFill="1" applyBorder="1" applyAlignment="1" applyProtection="1">
      <alignment horizontal="right" vertical="center"/>
    </xf>
    <xf numFmtId="165" fontId="5" fillId="0" borderId="13" xfId="2" applyNumberFormat="1" applyFont="1" applyBorder="1" applyAlignment="1" applyProtection="1">
      <alignment horizontal="right"/>
    </xf>
    <xf numFmtId="165" fontId="5" fillId="0" borderId="14" xfId="2" applyNumberFormat="1" applyFont="1" applyBorder="1" applyAlignment="1" applyProtection="1">
      <alignment horizontal="right"/>
    </xf>
    <xf numFmtId="165" fontId="5" fillId="0" borderId="15" xfId="2" applyNumberFormat="1" applyFont="1" applyBorder="1" applyAlignment="1" applyProtection="1">
      <alignment horizontal="right"/>
    </xf>
    <xf numFmtId="165" fontId="5" fillId="0" borderId="16" xfId="2" applyNumberFormat="1" applyFont="1" applyBorder="1" applyAlignment="1" applyProtection="1">
      <alignment horizontal="right"/>
    </xf>
    <xf numFmtId="165" fontId="5" fillId="0" borderId="15" xfId="2" applyNumberFormat="1" applyFont="1" applyFill="1" applyBorder="1" applyAlignment="1" applyProtection="1">
      <alignment horizontal="right"/>
    </xf>
    <xf numFmtId="165" fontId="5" fillId="0" borderId="16" xfId="2" applyNumberFormat="1" applyFont="1" applyFill="1" applyBorder="1" applyAlignment="1" applyProtection="1">
      <alignment horizontal="right" vertical="center"/>
    </xf>
    <xf numFmtId="165" fontId="5" fillId="0" borderId="16" xfId="2" applyNumberFormat="1" applyFont="1" applyBorder="1" applyAlignment="1" applyProtection="1">
      <alignment horizontal="right" vertical="center"/>
    </xf>
    <xf numFmtId="165" fontId="5" fillId="0" borderId="17" xfId="2" applyNumberFormat="1" applyFont="1" applyBorder="1" applyAlignment="1" applyProtection="1">
      <alignment horizontal="right"/>
    </xf>
    <xf numFmtId="165" fontId="5" fillId="0" borderId="12" xfId="2" applyNumberFormat="1" applyFont="1" applyBorder="1" applyAlignment="1" applyProtection="1">
      <alignment horizontal="right"/>
    </xf>
    <xf numFmtId="165" fontId="4" fillId="5" borderId="18" xfId="2" applyNumberFormat="1" applyFont="1" applyFill="1" applyBorder="1" applyAlignment="1">
      <alignment horizontal="right" vertical="top" wrapText="1"/>
    </xf>
    <xf numFmtId="165" fontId="5" fillId="0" borderId="1" xfId="2" applyNumberFormat="1" applyFont="1" applyBorder="1" applyAlignment="1" applyProtection="1">
      <alignment vertical="center" wrapText="1"/>
    </xf>
    <xf numFmtId="165" fontId="5" fillId="0" borderId="11" xfId="2" applyNumberFormat="1" applyFont="1" applyBorder="1" applyAlignment="1" applyProtection="1">
      <alignment vertical="center" wrapText="1"/>
    </xf>
    <xf numFmtId="165" fontId="5" fillId="3" borderId="11" xfId="2" applyNumberFormat="1" applyFont="1" applyFill="1" applyBorder="1"/>
    <xf numFmtId="165" fontId="5" fillId="0" borderId="16" xfId="2" applyNumberFormat="1" applyFont="1" applyBorder="1"/>
    <xf numFmtId="166" fontId="4" fillId="8" borderId="11" xfId="9" applyNumberFormat="1" applyFont="1" applyFill="1" applyBorder="1" applyAlignment="1" applyProtection="1">
      <alignment horizontal="right" vertical="center" wrapText="1"/>
    </xf>
    <xf numFmtId="166" fontId="4" fillId="3" borderId="11" xfId="9" applyNumberFormat="1" applyFont="1" applyFill="1" applyBorder="1" applyAlignment="1" applyProtection="1">
      <alignment horizontal="right" vertical="center" wrapText="1"/>
    </xf>
    <xf numFmtId="166" fontId="23" fillId="0" borderId="11" xfId="9" applyNumberFormat="1" applyFont="1" applyBorder="1" applyAlignment="1" applyProtection="1">
      <alignment horizontal="right" vertical="center"/>
    </xf>
    <xf numFmtId="165" fontId="4" fillId="8" borderId="11" xfId="2" applyNumberFormat="1" applyFont="1" applyFill="1" applyBorder="1" applyAlignment="1" applyProtection="1">
      <alignment horizontal="right" vertical="center" wrapText="1"/>
    </xf>
    <xf numFmtId="166" fontId="23" fillId="0" borderId="19" xfId="9" applyNumberFormat="1" applyFont="1" applyBorder="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165" fontId="5" fillId="3" borderId="1" xfId="2" applyNumberFormat="1" applyFont="1" applyFill="1" applyBorder="1" applyAlignment="1" applyProtection="1">
      <alignment horizontal="right"/>
    </xf>
    <xf numFmtId="165" fontId="5" fillId="3" borderId="1" xfId="2" applyNumberFormat="1" applyFont="1" applyFill="1" applyBorder="1" applyAlignment="1" applyProtection="1">
      <alignment horizont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6" fontId="23" fillId="10" borderId="0" xfId="9" applyNumberFormat="1" applyFont="1" applyFill="1" applyBorder="1" applyAlignment="1">
      <alignment horizontal="center" vertical="center"/>
    </xf>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165" fontId="19" fillId="8" borderId="1" xfId="2" applyNumberFormat="1" applyFont="1" applyFill="1" applyBorder="1" applyAlignment="1">
      <alignment horizontal="center" vertical="center" wrapText="1"/>
    </xf>
    <xf numFmtId="166" fontId="19" fillId="8" borderId="1" xfId="9" applyNumberFormat="1" applyFont="1" applyFill="1" applyBorder="1" applyAlignment="1">
      <alignment horizontal="center" vertical="center" wrapText="1"/>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165" fontId="18" fillId="8" borderId="1" xfId="2" applyNumberFormat="1" applyFont="1" applyFill="1" applyBorder="1"/>
    <xf numFmtId="165" fontId="4" fillId="8" borderId="1" xfId="2" applyNumberFormat="1" applyFont="1" applyFill="1" applyBorder="1" applyProtection="1"/>
    <xf numFmtId="166" fontId="18" fillId="8" borderId="1" xfId="9"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166" fontId="18" fillId="8" borderId="1" xfId="8" applyNumberFormat="1" applyFont="1" applyFill="1" applyBorder="1"/>
    <xf numFmtId="0" fontId="5" fillId="0" borderId="1" xfId="0" applyFont="1" applyBorder="1" applyAlignment="1">
      <alignment wrapText="1"/>
    </xf>
    <xf numFmtId="165" fontId="18" fillId="5" borderId="1" xfId="2" applyNumberFormat="1" applyFont="1" applyFill="1" applyBorder="1"/>
    <xf numFmtId="165" fontId="19" fillId="5" borderId="1" xfId="2" applyNumberFormat="1" applyFont="1" applyFill="1" applyBorder="1"/>
    <xf numFmtId="0" fontId="5" fillId="0" borderId="1" xfId="0" applyFont="1" applyBorder="1" applyAlignment="1">
      <alignment horizontal="center" vertical="center" wrapText="1"/>
    </xf>
    <xf numFmtId="165" fontId="19" fillId="5" borderId="1" xfId="2" applyNumberFormat="1" applyFont="1" applyFill="1" applyBorder="1" applyProtection="1"/>
    <xf numFmtId="167" fontId="19" fillId="5" borderId="1" xfId="2" applyNumberFormat="1" applyFont="1" applyFill="1" applyBorder="1"/>
    <xf numFmtId="0" fontId="19" fillId="5" borderId="1" xfId="2" applyNumberFormat="1" applyFont="1" applyFill="1" applyBorder="1"/>
    <xf numFmtId="165" fontId="5" fillId="0" borderId="1" xfId="2" applyNumberFormat="1" applyFont="1" applyBorder="1" applyAlignment="1">
      <alignment horizontal="center" vertical="center" wrapText="1"/>
    </xf>
    <xf numFmtId="165" fontId="5" fillId="5" borderId="1" xfId="2" applyNumberFormat="1" applyFont="1" applyFill="1" applyBorder="1" applyAlignment="1">
      <alignment horizontal="left"/>
    </xf>
    <xf numFmtId="0" fontId="5" fillId="3" borderId="1" xfId="0" applyFont="1" applyFill="1" applyBorder="1" applyAlignment="1">
      <alignment horizontal="center" vertical="center" wrapText="1"/>
    </xf>
    <xf numFmtId="165" fontId="5" fillId="3" borderId="1" xfId="2" applyNumberFormat="1" applyFont="1" applyFill="1" applyBorder="1" applyAlignment="1" applyProtection="1">
      <alignment horizontal="center" vertical="center" wrapText="1"/>
    </xf>
    <xf numFmtId="0" fontId="4" fillId="7" borderId="1" xfId="0" applyFont="1" applyFill="1" applyBorder="1" applyAlignment="1">
      <alignment horizontal="center" vertical="center" wrapText="1"/>
    </xf>
    <xf numFmtId="165" fontId="4" fillId="7" borderId="1" xfId="2" applyNumberFormat="1" applyFont="1" applyFill="1" applyBorder="1" applyAlignment="1" applyProtection="1">
      <alignment horizontal="center" vertical="center" wrapText="1"/>
    </xf>
    <xf numFmtId="9" fontId="4" fillId="7" borderId="1" xfId="0" applyNumberFormat="1" applyFont="1" applyFill="1" applyBorder="1" applyAlignment="1">
      <alignment horizontal="center" vertical="center" wrapText="1"/>
    </xf>
    <xf numFmtId="9" fontId="5" fillId="3" borderId="1" xfId="9" applyFont="1" applyFill="1" applyBorder="1" applyAlignment="1" applyProtection="1">
      <alignment horizontal="center"/>
      <protection locked="0"/>
    </xf>
    <xf numFmtId="165" fontId="4" fillId="3" borderId="1" xfId="2" applyNumberFormat="1" applyFont="1" applyFill="1" applyBorder="1" applyAlignment="1" applyProtection="1">
      <alignment horizontal="right"/>
    </xf>
    <xf numFmtId="0" fontId="5" fillId="5" borderId="1" xfId="0" applyFont="1" applyFill="1" applyBorder="1" applyAlignment="1">
      <alignment horizontal="center" vertical="top" wrapText="1"/>
    </xf>
    <xf numFmtId="0" fontId="5" fillId="5" borderId="1" xfId="0" applyFont="1" applyFill="1" applyBorder="1" applyAlignment="1">
      <alignment horizontal="left" vertical="top" wrapText="1"/>
    </xf>
    <xf numFmtId="165" fontId="5" fillId="5" borderId="1" xfId="2" applyNumberFormat="1" applyFont="1" applyFill="1" applyBorder="1" applyAlignment="1" applyProtection="1">
      <alignment horizontal="right"/>
    </xf>
    <xf numFmtId="9" fontId="5" fillId="5" borderId="1" xfId="7" applyNumberFormat="1" applyFont="1" applyFill="1" applyBorder="1" applyAlignment="1">
      <alignment horizontal="center"/>
    </xf>
    <xf numFmtId="165" fontId="4" fillId="5" borderId="1" xfId="2" applyNumberFormat="1" applyFont="1" applyFill="1" applyBorder="1" applyAlignment="1" applyProtection="1">
      <alignment horizontal="right"/>
    </xf>
    <xf numFmtId="0" fontId="5" fillId="3" borderId="1" xfId="0" applyFont="1" applyFill="1" applyBorder="1" applyAlignment="1">
      <alignment horizontal="center" vertical="top" wrapText="1"/>
    </xf>
    <xf numFmtId="0" fontId="4" fillId="7" borderId="1" xfId="0" applyFont="1" applyFill="1" applyBorder="1" applyAlignment="1">
      <alignment horizontal="center" vertical="top" wrapText="1"/>
    </xf>
    <xf numFmtId="165" fontId="4" fillId="7" borderId="1" xfId="2" applyNumberFormat="1" applyFont="1" applyFill="1" applyBorder="1" applyAlignment="1" applyProtection="1">
      <alignment horizontal="center"/>
    </xf>
    <xf numFmtId="9" fontId="4" fillId="7" borderId="1" xfId="7" applyNumberFormat="1" applyFont="1" applyFill="1" applyBorder="1" applyAlignment="1">
      <alignment horizontal="center"/>
    </xf>
    <xf numFmtId="165" fontId="5" fillId="3" borderId="1" xfId="2" applyNumberFormat="1" applyFont="1" applyFill="1" applyBorder="1" applyAlignment="1" applyProtection="1">
      <alignment horizontal="center" vertical="center"/>
    </xf>
    <xf numFmtId="9" fontId="5" fillId="3" borderId="1" xfId="9" applyFont="1" applyFill="1" applyBorder="1" applyAlignment="1" applyProtection="1">
      <alignment horizontal="center" vertical="center"/>
      <protection locked="0"/>
    </xf>
    <xf numFmtId="0" fontId="5" fillId="5" borderId="1" xfId="0" applyFont="1" applyFill="1" applyBorder="1" applyAlignment="1">
      <alignment horizontal="center" vertical="center" wrapText="1"/>
    </xf>
    <xf numFmtId="165" fontId="5" fillId="5" borderId="1" xfId="2" applyNumberFormat="1" applyFont="1" applyFill="1" applyBorder="1" applyAlignment="1" applyProtection="1">
      <alignment horizontal="center"/>
    </xf>
    <xf numFmtId="9" fontId="5" fillId="5" borderId="1" xfId="0" applyNumberFormat="1" applyFont="1" applyFill="1" applyBorder="1" applyAlignment="1">
      <alignment horizontal="center" vertical="top" wrapText="1"/>
    </xf>
    <xf numFmtId="0" fontId="4" fillId="7" borderId="1" xfId="0" applyFont="1" applyFill="1" applyBorder="1" applyAlignment="1">
      <alignment horizontal="justify" vertical="top" wrapText="1"/>
    </xf>
    <xf numFmtId="165" fontId="4" fillId="7" borderId="1" xfId="2" applyNumberFormat="1" applyFont="1" applyFill="1" applyBorder="1" applyAlignment="1" applyProtection="1">
      <alignment horizontal="right"/>
    </xf>
    <xf numFmtId="9" fontId="4" fillId="7" borderId="1" xfId="0" applyNumberFormat="1" applyFont="1" applyFill="1" applyBorder="1" applyAlignment="1">
      <alignment horizontal="center" vertical="top" wrapText="1"/>
    </xf>
    <xf numFmtId="165" fontId="5" fillId="3" borderId="1" xfId="2" applyNumberFormat="1" applyFont="1" applyFill="1" applyBorder="1" applyAlignment="1" applyProtection="1">
      <alignment horizontal="right" vertical="center"/>
    </xf>
    <xf numFmtId="0" fontId="5" fillId="5" borderId="1" xfId="0" applyFont="1" applyFill="1" applyBorder="1" applyAlignment="1">
      <alignment horizontal="justify" vertical="top" wrapText="1"/>
    </xf>
    <xf numFmtId="0" fontId="5" fillId="3" borderId="1" xfId="0" applyFont="1" applyFill="1" applyBorder="1" applyAlignment="1">
      <alignment vertical="center" wrapText="1"/>
    </xf>
    <xf numFmtId="165" fontId="5" fillId="7" borderId="1" xfId="2" applyNumberFormat="1" applyFont="1" applyFill="1" applyBorder="1" applyAlignment="1" applyProtection="1">
      <alignment horizontal="right"/>
    </xf>
    <xf numFmtId="9" fontId="5" fillId="7" borderId="1" xfId="9" applyFont="1" applyFill="1" applyBorder="1" applyAlignment="1" applyProtection="1">
      <alignment horizontal="center"/>
      <protection locked="0"/>
    </xf>
    <xf numFmtId="165" fontId="4" fillId="3" borderId="1" xfId="2" applyNumberFormat="1" applyFont="1" applyFill="1" applyBorder="1" applyAlignment="1" applyProtection="1">
      <alignment vertical="center"/>
    </xf>
    <xf numFmtId="165" fontId="4" fillId="7" borderId="1" xfId="2" applyNumberFormat="1" applyFont="1" applyFill="1" applyBorder="1" applyAlignment="1" applyProtection="1">
      <alignment vertical="center"/>
    </xf>
    <xf numFmtId="9" fontId="4" fillId="7" borderId="1" xfId="9" applyFont="1" applyFill="1" applyBorder="1" applyAlignment="1" applyProtection="1">
      <alignment horizontal="center"/>
      <protection locked="0"/>
    </xf>
    <xf numFmtId="9" fontId="5" fillId="3" borderId="1" xfId="0" applyNumberFormat="1" applyFont="1" applyFill="1" applyBorder="1" applyAlignment="1" applyProtection="1">
      <alignment horizontal="center" vertical="center" wrapText="1"/>
      <protection locked="0"/>
    </xf>
    <xf numFmtId="165" fontId="4" fillId="7" borderId="1" xfId="2" applyNumberFormat="1" applyFont="1" applyFill="1" applyBorder="1" applyAlignment="1" applyProtection="1">
      <alignment horizontal="right" vertical="center"/>
    </xf>
    <xf numFmtId="9" fontId="5" fillId="7" borderId="1" xfId="0" applyNumberFormat="1" applyFont="1" applyFill="1" applyBorder="1" applyAlignment="1" applyProtection="1">
      <alignment horizontal="center" vertical="center" wrapText="1"/>
      <protection locked="0"/>
    </xf>
    <xf numFmtId="165" fontId="4" fillId="3" borderId="1" xfId="2" applyNumberFormat="1" applyFont="1" applyFill="1" applyBorder="1" applyAlignment="1" applyProtection="1">
      <alignment vertical="center"/>
      <protection locked="0"/>
    </xf>
    <xf numFmtId="165" fontId="4" fillId="8" borderId="1" xfId="2" applyNumberFormat="1" applyFont="1" applyFill="1" applyBorder="1" applyAlignment="1" applyProtection="1">
      <alignment horizontal="right" vertical="center"/>
    </xf>
    <xf numFmtId="0" fontId="4" fillId="8" borderId="1" xfId="0" applyFont="1" applyFill="1" applyBorder="1" applyAlignment="1">
      <alignment horizontal="justify" vertical="center" wrapText="1"/>
    </xf>
    <xf numFmtId="165" fontId="4" fillId="8" borderId="1" xfId="2" applyNumberFormat="1" applyFont="1" applyFill="1" applyBorder="1" applyAlignment="1" applyProtection="1">
      <alignment horizontal="center" vertical="center"/>
    </xf>
    <xf numFmtId="165" fontId="22" fillId="8" borderId="1" xfId="2" applyNumberFormat="1" applyFont="1" applyFill="1" applyBorder="1" applyAlignment="1" applyProtection="1">
      <alignment horizontal="center" vertical="center"/>
    </xf>
    <xf numFmtId="165" fontId="19" fillId="3" borderId="1" xfId="2" applyNumberFormat="1" applyFont="1" applyFill="1" applyBorder="1" applyProtection="1">
      <protection locked="0"/>
    </xf>
    <xf numFmtId="166" fontId="18" fillId="8" borderId="1" xfId="9" applyNumberFormat="1" applyFont="1" applyFill="1" applyBorder="1" applyAlignment="1">
      <alignment vertical="center"/>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6" fontId="19" fillId="5" borderId="1" xfId="9" applyNumberFormat="1" applyFont="1" applyFill="1" applyBorder="1"/>
    <xf numFmtId="165" fontId="19" fillId="8" borderId="1" xfId="2" applyNumberFormat="1" applyFont="1" applyFill="1" applyBorder="1" applyAlignment="1">
      <alignment horizontal="center" vertical="center"/>
    </xf>
    <xf numFmtId="166" fontId="19" fillId="5" borderId="1" xfId="9" applyNumberFormat="1" applyFont="1" applyFill="1" applyBorder="1" applyAlignment="1">
      <alignment horizontal="center" vertical="center"/>
    </xf>
    <xf numFmtId="43" fontId="18" fillId="8" borderId="1" xfId="2" applyFont="1" applyFill="1" applyBorder="1"/>
    <xf numFmtId="166" fontId="4" fillId="8" borderId="1" xfId="9" applyNumberFormat="1" applyFont="1" applyFill="1" applyBorder="1" applyAlignment="1">
      <alignment horizontal="center" vertical="center"/>
    </xf>
    <xf numFmtId="43" fontId="4" fillId="8" borderId="1" xfId="2" applyFont="1" applyFill="1" applyBorder="1" applyAlignment="1"/>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166" fontId="22" fillId="10" borderId="0" xfId="9" applyNumberFormat="1" applyFont="1" applyFill="1"/>
    <xf numFmtId="166" fontId="18" fillId="8" borderId="1" xfId="9" applyNumberFormat="1" applyFont="1" applyFill="1" applyBorder="1"/>
    <xf numFmtId="165" fontId="22" fillId="5" borderId="1" xfId="2" applyNumberFormat="1" applyFont="1" applyFill="1" applyBorder="1"/>
    <xf numFmtId="165" fontId="22" fillId="8" borderId="1" xfId="2"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8" fillId="0" borderId="1" xfId="0" applyFont="1" applyBorder="1" applyAlignment="1">
      <alignment horizontal="center" vertical="center"/>
    </xf>
    <xf numFmtId="166" fontId="18" fillId="0" borderId="1" xfId="9" applyNumberFormat="1" applyFont="1" applyBorder="1" applyAlignment="1">
      <alignment horizontal="center" vertical="center"/>
    </xf>
    <xf numFmtId="0" fontId="3" fillId="3" borderId="1" xfId="0" applyFont="1" applyFill="1" applyBorder="1" applyAlignment="1">
      <alignment vertical="center" wrapText="1"/>
    </xf>
    <xf numFmtId="166" fontId="5" fillId="3" borderId="1" xfId="9" applyNumberFormat="1" applyFont="1" applyFill="1" applyBorder="1" applyAlignment="1" applyProtection="1">
      <alignment horizontal="center" vertical="center" wrapText="1"/>
    </xf>
    <xf numFmtId="166" fontId="3" fillId="3" borderId="1" xfId="9" applyNumberFormat="1" applyFont="1" applyFill="1" applyBorder="1" applyAlignment="1">
      <alignment horizontal="center" vertical="center" wrapText="1"/>
    </xf>
    <xf numFmtId="0" fontId="19" fillId="0" borderId="1" xfId="0" applyFont="1" applyBorder="1" applyAlignment="1">
      <alignment wrapText="1"/>
    </xf>
    <xf numFmtId="166" fontId="19" fillId="0" borderId="1" xfId="9" applyNumberFormat="1" applyFont="1" applyBorder="1" applyAlignment="1">
      <alignment horizontal="center" vertical="center"/>
    </xf>
    <xf numFmtId="165" fontId="19" fillId="0" borderId="1" xfId="2" applyNumberFormat="1" applyFont="1" applyBorder="1" applyAlignment="1">
      <alignment horizontal="center" vertical="center"/>
    </xf>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22" fillId="0" borderId="0" xfId="0" applyFont="1" applyAlignment="1">
      <alignment horizontal="center" vertical="center" wrapText="1"/>
    </xf>
    <xf numFmtId="0" fontId="19" fillId="8" borderId="1" xfId="0" applyFont="1" applyFill="1" applyBorder="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9" fontId="19" fillId="8" borderId="1" xfId="9" applyFont="1" applyFill="1" applyBorder="1" applyAlignment="1">
      <alignment horizontal="center" vertical="center"/>
    </xf>
    <xf numFmtId="9" fontId="19" fillId="8" borderId="1" xfId="9" applyFont="1" applyFill="1" applyBorder="1" applyAlignment="1">
      <alignment horizontal="center" vertical="center"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18" fillId="8" borderId="1" xfId="2" applyNumberFormat="1" applyFont="1" applyFill="1" applyBorder="1" applyAlignment="1">
      <alignment horizontal="center"/>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20"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3" borderId="23" xfId="0" applyFont="1" applyFill="1" applyBorder="1" applyAlignment="1">
      <alignment horizontal="center" vertical="center"/>
    </xf>
    <xf numFmtId="9" fontId="19" fillId="0" borderId="0" xfId="8" applyFont="1"/>
    <xf numFmtId="0" fontId="5" fillId="5" borderId="23" xfId="0" applyFont="1" applyFill="1" applyBorder="1" applyAlignment="1">
      <alignment horizontal="center" vertical="center"/>
    </xf>
    <xf numFmtId="165" fontId="18" fillId="0" borderId="1" xfId="2" applyNumberFormat="1" applyFont="1" applyBorder="1" applyAlignment="1">
      <alignment horizontal="center"/>
    </xf>
    <xf numFmtId="0" fontId="28" fillId="8" borderId="1" xfId="5" applyFont="1" applyFill="1" applyBorder="1" applyAlignment="1">
      <alignment vertical="center" wrapText="1"/>
    </xf>
    <xf numFmtId="164" fontId="29" fillId="8" borderId="1" xfId="1" applyNumberFormat="1" applyFont="1" applyFill="1" applyBorder="1" applyAlignment="1" applyProtection="1">
      <alignment horizontal="right" vertical="center"/>
    </xf>
    <xf numFmtId="166" fontId="12" fillId="8" borderId="1" xfId="8" applyNumberFormat="1" applyFont="1" applyFill="1" applyBorder="1" applyAlignment="1" applyProtection="1">
      <alignment horizontal="right" vertical="center"/>
    </xf>
    <xf numFmtId="166" fontId="29" fillId="8" borderId="1" xfId="8" applyNumberFormat="1" applyFont="1" applyFill="1" applyBorder="1" applyProtection="1"/>
    <xf numFmtId="164" fontId="28" fillId="3" borderId="1" xfId="1" applyNumberFormat="1" applyFont="1" applyFill="1" applyBorder="1" applyAlignment="1" applyProtection="1">
      <alignment horizontal="right" vertical="center"/>
      <protection locked="0"/>
    </xf>
    <xf numFmtId="166" fontId="13" fillId="3" borderId="1" xfId="9"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6" fontId="28" fillId="5" borderId="1" xfId="8" applyNumberFormat="1" applyFont="1" applyFill="1" applyBorder="1" applyProtection="1">
      <protection locked="0"/>
    </xf>
    <xf numFmtId="165" fontId="28" fillId="8" borderId="1" xfId="1" applyNumberFormat="1" applyFont="1" applyFill="1" applyBorder="1" applyAlignment="1" applyProtection="1">
      <alignment horizontal="center" vertical="center"/>
    </xf>
    <xf numFmtId="164" fontId="12" fillId="0" borderId="0" xfId="1" applyNumberFormat="1" applyFont="1" applyProtection="1"/>
    <xf numFmtId="0" fontId="29" fillId="8" borderId="1" xfId="5" applyFont="1" applyFill="1" applyBorder="1" applyAlignment="1">
      <alignment vertical="center" wrapText="1"/>
    </xf>
    <xf numFmtId="166" fontId="13" fillId="0" borderId="1" xfId="8" applyNumberFormat="1" applyFont="1" applyFill="1" applyBorder="1" applyAlignment="1" applyProtection="1">
      <alignment horizontal="right" vertical="center"/>
      <protection locked="0"/>
    </xf>
    <xf numFmtId="166" fontId="28" fillId="0" borderId="1" xfId="8" applyNumberFormat="1" applyFont="1" applyFill="1" applyBorder="1" applyProtection="1">
      <protection locked="0"/>
    </xf>
    <xf numFmtId="0" fontId="5" fillId="0" borderId="23" xfId="0" applyFont="1" applyBorder="1" applyAlignment="1" applyProtection="1">
      <alignment horizontal="left"/>
      <protection locked="0"/>
    </xf>
    <xf numFmtId="165" fontId="18" fillId="8" borderId="1" xfId="2" applyNumberFormat="1" applyFont="1" applyFill="1" applyBorder="1" applyAlignment="1">
      <alignment vertical="top" wrapText="1"/>
    </xf>
    <xf numFmtId="165" fontId="18" fillId="8" borderId="1" xfId="2" applyNumberFormat="1" applyFont="1" applyFill="1" applyBorder="1" applyAlignment="1">
      <alignment horizontal="justify" vertical="top" wrapText="1"/>
    </xf>
    <xf numFmtId="166" fontId="19" fillId="8" borderId="1" xfId="9" applyNumberFormat="1" applyFont="1" applyFill="1" applyBorder="1"/>
    <xf numFmtId="0" fontId="5" fillId="8" borderId="1" xfId="0" applyFont="1" applyFill="1" applyBorder="1" applyAlignment="1">
      <alignment vertical="center"/>
    </xf>
    <xf numFmtId="0" fontId="5" fillId="8" borderId="1" xfId="0" applyFont="1" applyFill="1" applyBorder="1" applyAlignment="1">
      <alignment horizontal="center" vertical="center"/>
    </xf>
    <xf numFmtId="165" fontId="18" fillId="8" borderId="1" xfId="2" applyNumberFormat="1" applyFont="1" applyFill="1" applyBorder="1" applyAlignment="1">
      <alignment vertical="center"/>
    </xf>
    <xf numFmtId="0" fontId="18" fillId="8" borderId="1" xfId="0" applyFont="1" applyFill="1" applyBorder="1" applyAlignment="1">
      <alignment vertical="center"/>
    </xf>
    <xf numFmtId="0" fontId="4" fillId="8" borderId="1" xfId="0" applyFont="1" applyFill="1" applyBorder="1" applyAlignment="1">
      <alignment horizontal="center" vertical="center"/>
    </xf>
    <xf numFmtId="0" fontId="19" fillId="8" borderId="13" xfId="0" applyFont="1" applyFill="1" applyBorder="1" applyAlignment="1">
      <alignment horizontal="center" vertical="center"/>
    </xf>
    <xf numFmtId="43" fontId="19" fillId="0" borderId="0" xfId="2" applyFont="1" applyAlignment="1">
      <alignment horizontal="left" vertical="center"/>
    </xf>
    <xf numFmtId="9" fontId="19" fillId="0" borderId="1" xfId="0" applyNumberFormat="1" applyFont="1" applyBorder="1" applyProtection="1">
      <protection locked="0"/>
    </xf>
    <xf numFmtId="0" fontId="18" fillId="8"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left" vertical="center"/>
    </xf>
    <xf numFmtId="0" fontId="19" fillId="0" borderId="1" xfId="0" applyFont="1" applyBorder="1" applyAlignment="1">
      <alignment vertical="center" wrapText="1"/>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20" xfId="8" applyNumberFormat="1" applyFont="1" applyBorder="1" applyAlignment="1" applyProtection="1">
      <alignment horizontal="right"/>
      <protection locked="0"/>
    </xf>
    <xf numFmtId="166" fontId="19" fillId="0" borderId="20" xfId="8" applyNumberFormat="1" applyFont="1" applyBorder="1" applyAlignment="1" applyProtection="1">
      <alignment horizontal="right"/>
      <protection locked="0"/>
    </xf>
    <xf numFmtId="166" fontId="18" fillId="8" borderId="1" xfId="8" applyNumberFormat="1" applyFont="1" applyFill="1" applyBorder="1" applyAlignment="1">
      <alignment horizontal="right"/>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20"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165" fontId="31" fillId="0" borderId="0" xfId="1" applyNumberFormat="1" applyFont="1" applyFill="1" applyBorder="1" applyAlignment="1" applyProtection="1">
      <alignment vertical="center" wrapText="1"/>
    </xf>
    <xf numFmtId="0" fontId="32" fillId="0" borderId="0" xfId="0" applyFont="1" applyAlignment="1">
      <alignment vertical="center"/>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165" fontId="28" fillId="8" borderId="1" xfId="1" applyNumberFormat="1" applyFont="1" applyFill="1" applyBorder="1" applyAlignment="1" applyProtection="1">
      <alignment horizontal="center" vertical="center" wrapText="1"/>
    </xf>
    <xf numFmtId="164" fontId="13" fillId="8" borderId="1" xfId="1" applyNumberFormat="1" applyFont="1" applyFill="1" applyBorder="1" applyAlignment="1" applyProtection="1">
      <alignment horizontal="center" vertical="center"/>
    </xf>
    <xf numFmtId="166" fontId="28" fillId="8" borderId="1" xfId="8" applyNumberFormat="1" applyFont="1" applyFill="1" applyBorder="1" applyAlignment="1" applyProtection="1">
      <alignment horizontal="center" vertical="center" wrapText="1"/>
    </xf>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35" fillId="8"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0" fontId="31" fillId="0" borderId="0" xfId="5" applyFont="1" applyAlignment="1">
      <alignment vertical="center" wrapText="1"/>
    </xf>
    <xf numFmtId="166" fontId="31" fillId="0" borderId="0" xfId="8" applyNumberFormat="1" applyFont="1" applyFill="1" applyBorder="1" applyAlignment="1" applyProtection="1">
      <alignment wrapText="1"/>
    </xf>
    <xf numFmtId="0" fontId="31" fillId="0" borderId="0" xfId="0" applyFont="1" applyAlignment="1">
      <alignment vertical="center" wrapText="1"/>
    </xf>
    <xf numFmtId="0" fontId="31" fillId="0" borderId="0" xfId="0" applyFont="1" applyAlignment="1">
      <alignment wrapText="1"/>
    </xf>
    <xf numFmtId="0" fontId="31" fillId="3" borderId="0" xfId="5" applyFont="1" applyFill="1" applyAlignment="1">
      <alignment horizontal="center" vertical="center" wrapText="1"/>
    </xf>
    <xf numFmtId="165" fontId="31" fillId="3" borderId="0" xfId="1" applyNumberFormat="1" applyFont="1" applyFill="1" applyBorder="1" applyAlignment="1" applyProtection="1">
      <alignment horizontal="center" vertical="center" wrapText="1"/>
    </xf>
    <xf numFmtId="166" fontId="13" fillId="3" borderId="1" xfId="8" applyNumberFormat="1" applyFont="1" applyFill="1" applyBorder="1" applyAlignment="1" applyProtection="1">
      <alignment horizontal="right" vertical="center"/>
      <protection locked="0"/>
    </xf>
    <xf numFmtId="166" fontId="29" fillId="8" borderId="1" xfId="8" applyNumberFormat="1" applyFont="1" applyFill="1" applyBorder="1" applyAlignment="1" applyProtection="1">
      <alignment horizontal="right" vertical="center"/>
    </xf>
    <xf numFmtId="166" fontId="28" fillId="0" borderId="0" xfId="8" applyNumberFormat="1" applyFont="1" applyAlignment="1" applyProtection="1">
      <alignment horizontal="left"/>
    </xf>
    <xf numFmtId="0" fontId="31" fillId="0" borderId="0" xfId="8" applyNumberFormat="1" applyFont="1" applyFill="1" applyBorder="1" applyAlignment="1" applyProtection="1">
      <alignment vertical="center" wrapText="1"/>
    </xf>
    <xf numFmtId="165" fontId="23" fillId="0" borderId="0" xfId="2" applyNumberFormat="1" applyFont="1" applyAlignment="1">
      <alignment horizontal="left"/>
    </xf>
    <xf numFmtId="0" fontId="4" fillId="0" borderId="24" xfId="0" applyFont="1" applyBorder="1" applyAlignment="1">
      <alignment horizontal="center" vertical="center"/>
    </xf>
    <xf numFmtId="165" fontId="18" fillId="0" borderId="24" xfId="2" applyNumberFormat="1" applyFont="1" applyFill="1" applyBorder="1"/>
    <xf numFmtId="166" fontId="18" fillId="0" borderId="24" xfId="8" applyNumberFormat="1" applyFont="1" applyFill="1" applyBorder="1" applyAlignment="1">
      <alignment horizontal="right"/>
    </xf>
    <xf numFmtId="165" fontId="4" fillId="0" borderId="24" xfId="2" applyNumberFormat="1" applyFont="1" applyFill="1" applyBorder="1" applyProtection="1"/>
    <xf numFmtId="0" fontId="18" fillId="0" borderId="24" xfId="0" applyFont="1" applyBorder="1"/>
    <xf numFmtId="166" fontId="18" fillId="0" borderId="24" xfId="8" applyNumberFormat="1" applyFont="1" applyFill="1" applyBorder="1"/>
    <xf numFmtId="166" fontId="22" fillId="0" borderId="24" xfId="9" applyNumberFormat="1" applyFont="1" applyFill="1" applyBorder="1" applyAlignment="1">
      <alignment horizontal="center" vertical="center"/>
    </xf>
    <xf numFmtId="166" fontId="18" fillId="0" borderId="0" xfId="8" applyNumberFormat="1" applyFont="1" applyFill="1" applyBorder="1"/>
    <xf numFmtId="43" fontId="5" fillId="0" borderId="17" xfId="1" applyFont="1" applyBorder="1" applyProtection="1">
      <protection locked="0"/>
    </xf>
    <xf numFmtId="43" fontId="18" fillId="8" borderId="1" xfId="1" applyFont="1" applyFill="1" applyBorder="1"/>
    <xf numFmtId="14" fontId="29" fillId="0" borderId="0" xfId="5" applyNumberFormat="1" applyFont="1" applyAlignment="1">
      <alignment vertical="center"/>
    </xf>
    <xf numFmtId="0" fontId="23" fillId="0" borderId="0" xfId="0" applyFont="1" applyAlignment="1">
      <alignment horizontal="left"/>
    </xf>
    <xf numFmtId="166" fontId="5" fillId="0" borderId="17" xfId="8" applyNumberFormat="1" applyFont="1" applyBorder="1" applyProtection="1"/>
    <xf numFmtId="43" fontId="29" fillId="8" borderId="1" xfId="1" applyFont="1" applyFill="1" applyBorder="1" applyAlignment="1" applyProtection="1">
      <alignment horizontal="right" vertical="center"/>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8" borderId="1" xfId="1" applyFont="1" applyFill="1" applyBorder="1" applyAlignment="1" applyProtection="1">
      <alignment horizontal="center" vertical="center"/>
    </xf>
    <xf numFmtId="43" fontId="28" fillId="0" borderId="1" xfId="1" applyFont="1" applyFill="1" applyBorder="1" applyAlignment="1" applyProtection="1">
      <alignment horizontal="center" vertical="center"/>
      <protection locked="0"/>
    </xf>
    <xf numFmtId="0" fontId="5" fillId="3" borderId="0" xfId="0" applyFont="1" applyFill="1"/>
    <xf numFmtId="165" fontId="19" fillId="0" borderId="1" xfId="2" applyNumberFormat="1" applyFont="1" applyBorder="1" applyProtection="1"/>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43" fontId="29" fillId="8" borderId="1" xfId="1" applyFont="1" applyFill="1" applyBorder="1" applyAlignment="1" applyProtection="1">
      <alignment horizontal="center" vertical="center"/>
    </xf>
    <xf numFmtId="166" fontId="29" fillId="8" borderId="1" xfId="8" applyNumberFormat="1" applyFont="1" applyFill="1" applyBorder="1" applyAlignment="1" applyProtection="1">
      <alignment horizontal="center" vertical="center"/>
    </xf>
    <xf numFmtId="0" fontId="12" fillId="8" borderId="1" xfId="5" applyFont="1" applyFill="1" applyBorder="1" applyAlignment="1">
      <alignment horizontal="left" vertical="center" wrapText="1"/>
    </xf>
    <xf numFmtId="0" fontId="36" fillId="11" borderId="37" xfId="0" applyFont="1" applyFill="1" applyBorder="1" applyAlignment="1">
      <alignment horizontal="justify" vertical="center"/>
    </xf>
    <xf numFmtId="0" fontId="28" fillId="5" borderId="1" xfId="0" applyFont="1" applyFill="1" applyBorder="1"/>
    <xf numFmtId="165" fontId="28" fillId="5" borderId="1" xfId="1" applyNumberFormat="1" applyFont="1" applyFill="1" applyBorder="1" applyProtection="1">
      <protection locked="0"/>
    </xf>
    <xf numFmtId="164" fontId="28" fillId="5" borderId="1" xfId="1" applyNumberFormat="1" applyFont="1" applyFill="1" applyBorder="1" applyProtection="1">
      <protection locked="0"/>
    </xf>
    <xf numFmtId="165" fontId="28" fillId="5" borderId="1" xfId="1" applyNumberFormat="1" applyFont="1" applyFill="1" applyBorder="1" applyProtection="1"/>
    <xf numFmtId="0" fontId="25" fillId="0" borderId="0" xfId="0" quotePrefix="1" applyFont="1" applyAlignment="1">
      <alignment horizontal="justify" vertical="center"/>
    </xf>
    <xf numFmtId="0" fontId="28" fillId="0" borderId="0" xfId="0" applyFont="1" applyAlignment="1">
      <alignment vertical="center"/>
    </xf>
    <xf numFmtId="0" fontId="31" fillId="0" borderId="0" xfId="0" applyFont="1" applyAlignment="1">
      <alignment horizontal="left" vertical="center"/>
    </xf>
    <xf numFmtId="43" fontId="32" fillId="0" borderId="0" xfId="0" applyNumberFormat="1" applyFont="1" applyAlignment="1">
      <alignment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8" fillId="7" borderId="1" xfId="0" applyFont="1" applyFill="1" applyBorder="1" applyAlignment="1">
      <alignment horizontal="center"/>
    </xf>
    <xf numFmtId="0" fontId="19" fillId="0" borderId="1" xfId="0" applyFont="1" applyBorder="1" applyAlignment="1">
      <alignment horizontal="left"/>
    </xf>
    <xf numFmtId="43" fontId="19" fillId="0" borderId="0" xfId="1" applyFont="1" applyAlignment="1" applyProtection="1">
      <alignment horizontal="left" vertical="center"/>
    </xf>
    <xf numFmtId="0" fontId="18" fillId="7" borderId="1" xfId="0" applyFont="1" applyFill="1" applyBorder="1" applyAlignment="1">
      <alignment horizontal="center" wrapText="1"/>
    </xf>
    <xf numFmtId="0" fontId="18" fillId="12" borderId="1" xfId="0" applyFont="1" applyFill="1" applyBorder="1" applyAlignment="1">
      <alignment horizontal="left" indent="1"/>
    </xf>
    <xf numFmtId="43" fontId="19" fillId="12" borderId="1" xfId="1" applyFont="1" applyFill="1" applyBorder="1" applyAlignment="1" applyProtection="1"/>
    <xf numFmtId="0" fontId="19" fillId="0" borderId="1" xfId="0" applyFont="1" applyBorder="1" applyAlignment="1">
      <alignment horizontal="left" indent="1"/>
    </xf>
    <xf numFmtId="0" fontId="18" fillId="0" borderId="1" xfId="0" applyFont="1" applyBorder="1" applyAlignment="1">
      <alignment horizontal="left" indent="1"/>
    </xf>
    <xf numFmtId="43" fontId="19" fillId="0" borderId="1" xfId="1" applyFont="1" applyBorder="1" applyAlignment="1" applyProtection="1">
      <alignment horizontal="left" vertical="center"/>
      <protection locked="0"/>
    </xf>
    <xf numFmtId="164" fontId="19" fillId="0" borderId="1" xfId="1" applyNumberFormat="1" applyFont="1" applyFill="1" applyBorder="1" applyAlignment="1" applyProtection="1">
      <alignment horizontal="left" indent="9"/>
      <protection locked="0"/>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164" fontId="19" fillId="12" borderId="1" xfId="1" applyNumberFormat="1" applyFont="1" applyFill="1" applyBorder="1" applyAlignment="1" applyProtection="1"/>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7" fillId="0" borderId="1" xfId="1" applyNumberFormat="1" applyFont="1" applyFill="1" applyBorder="1" applyAlignment="1" applyProtection="1">
      <alignment horizontal="left" indent="2"/>
    </xf>
    <xf numFmtId="43" fontId="19" fillId="12" borderId="1" xfId="1" applyFont="1" applyFill="1" applyBorder="1" applyAlignment="1" applyProtection="1">
      <alignment horizontal="center"/>
    </xf>
    <xf numFmtId="0" fontId="37" fillId="0" borderId="1" xfId="0" applyFont="1" applyBorder="1" applyAlignment="1">
      <alignment horizontal="left" indent="2"/>
    </xf>
    <xf numFmtId="0" fontId="18" fillId="7" borderId="1" xfId="1" applyNumberFormat="1" applyFont="1" applyFill="1" applyBorder="1" applyAlignment="1" applyProtection="1">
      <alignment horizontal="left"/>
    </xf>
    <xf numFmtId="43" fontId="18" fillId="7" borderId="1" xfId="1" applyFont="1" applyFill="1" applyBorder="1" applyAlignment="1" applyProtection="1"/>
    <xf numFmtId="164" fontId="18" fillId="7" borderId="1" xfId="1" applyNumberFormat="1" applyFont="1" applyFill="1" applyBorder="1" applyAlignment="1" applyProtection="1"/>
    <xf numFmtId="164" fontId="18" fillId="0" borderId="1" xfId="1" applyNumberFormat="1" applyFont="1" applyFill="1" applyBorder="1" applyAlignment="1" applyProtection="1">
      <protection locked="0"/>
    </xf>
    <xf numFmtId="0" fontId="19" fillId="0" borderId="0" xfId="0" applyFont="1" applyAlignment="1">
      <alignment horizontal="right"/>
    </xf>
    <xf numFmtId="164" fontId="5" fillId="0" borderId="0" xfId="1" applyNumberFormat="1" applyFont="1" applyAlignment="1" applyProtection="1">
      <alignment horizontal="right"/>
    </xf>
    <xf numFmtId="0" fontId="4" fillId="0" borderId="0" xfId="0" applyFont="1" applyAlignment="1">
      <alignment vertical="center"/>
    </xf>
    <xf numFmtId="14" fontId="4" fillId="7" borderId="1" xfId="0" applyNumberFormat="1" applyFont="1" applyFill="1" applyBorder="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8" xfId="0" applyFont="1" applyBorder="1" applyAlignment="1">
      <alignment vertical="center" wrapText="1"/>
    </xf>
    <xf numFmtId="43" fontId="24" fillId="0" borderId="38" xfId="1" applyFont="1" applyFill="1" applyBorder="1" applyAlignment="1">
      <alignment vertical="center" wrapText="1"/>
    </xf>
    <xf numFmtId="0" fontId="25" fillId="0" borderId="38" xfId="0" applyFont="1" applyBorder="1" applyAlignment="1">
      <alignment vertical="center" wrapText="1"/>
    </xf>
    <xf numFmtId="1" fontId="19" fillId="0" borderId="38" xfId="0" applyNumberFormat="1" applyFont="1" applyBorder="1" applyAlignment="1">
      <alignment horizontal="right" vertical="center"/>
    </xf>
    <xf numFmtId="43" fontId="25" fillId="0" borderId="38" xfId="1" applyFont="1" applyFill="1" applyBorder="1" applyAlignment="1">
      <alignment vertical="center" wrapText="1"/>
    </xf>
    <xf numFmtId="0" fontId="19" fillId="0" borderId="38" xfId="0" applyFont="1" applyBorder="1" applyAlignment="1">
      <alignment vertical="center" wrapText="1"/>
    </xf>
    <xf numFmtId="43" fontId="19" fillId="0" borderId="38" xfId="1" applyFont="1" applyFill="1" applyBorder="1" applyAlignment="1">
      <alignment vertical="center" wrapText="1"/>
    </xf>
    <xf numFmtId="43" fontId="25" fillId="0" borderId="38" xfId="1" applyFont="1" applyBorder="1" applyAlignment="1">
      <alignmen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5" fillId="0" borderId="38" xfId="0" applyFont="1" applyBorder="1" applyAlignment="1">
      <alignment vertical="center" wrapText="1"/>
    </xf>
    <xf numFmtId="1" fontId="5" fillId="0" borderId="38" xfId="0" applyNumberFormat="1" applyFont="1" applyBorder="1" applyAlignment="1">
      <alignment horizontal="right" vertical="center"/>
    </xf>
    <xf numFmtId="0" fontId="18" fillId="0" borderId="38" xfId="0" applyFont="1" applyBorder="1" applyAlignment="1">
      <alignment vertical="center" wrapText="1"/>
    </xf>
    <xf numFmtId="0" fontId="38" fillId="0" borderId="38" xfId="0" applyFont="1" applyBorder="1" applyAlignment="1">
      <alignment vertical="center" wrapText="1"/>
    </xf>
    <xf numFmtId="43" fontId="38" fillId="0" borderId="38" xfId="1" applyFont="1" applyBorder="1" applyAlignment="1">
      <alignment vertical="center" wrapText="1"/>
    </xf>
    <xf numFmtId="1" fontId="25" fillId="0" borderId="38" xfId="0" applyNumberFormat="1" applyFont="1" applyBorder="1" applyAlignment="1">
      <alignment horizontal="right" vertical="center"/>
    </xf>
    <xf numFmtId="1" fontId="38" fillId="0" borderId="38" xfId="0" applyNumberFormat="1" applyFont="1" applyBorder="1" applyAlignment="1">
      <alignment horizontal="right" vertical="center"/>
    </xf>
    <xf numFmtId="43" fontId="38" fillId="0" borderId="38" xfId="1" applyFont="1" applyFill="1" applyBorder="1" applyAlignment="1">
      <alignment vertical="center" wrapText="1"/>
    </xf>
    <xf numFmtId="0" fontId="25" fillId="0" borderId="38" xfId="0" applyFont="1" applyBorder="1" applyAlignment="1">
      <alignment vertical="center"/>
    </xf>
    <xf numFmtId="43" fontId="25" fillId="0" borderId="38" xfId="1" applyFont="1" applyFill="1" applyBorder="1" applyAlignment="1">
      <alignment vertical="center"/>
    </xf>
    <xf numFmtId="43" fontId="19" fillId="0" borderId="38" xfId="1" applyFont="1" applyFill="1" applyBorder="1" applyAlignment="1">
      <alignment vertical="center"/>
    </xf>
    <xf numFmtId="43" fontId="25" fillId="0" borderId="38" xfId="1" applyFont="1" applyBorder="1" applyAlignment="1">
      <alignment vertical="center"/>
    </xf>
    <xf numFmtId="0" fontId="19" fillId="0" borderId="38" xfId="0" applyFont="1" applyBorder="1" applyAlignment="1">
      <alignment vertical="center"/>
    </xf>
    <xf numFmtId="0" fontId="38" fillId="0" borderId="38" xfId="0" applyFont="1" applyBorder="1" applyAlignment="1">
      <alignment vertical="center"/>
    </xf>
    <xf numFmtId="43" fontId="38" fillId="0" borderId="38" xfId="1" applyFont="1" applyFill="1" applyBorder="1" applyAlignment="1">
      <alignment vertical="center"/>
    </xf>
    <xf numFmtId="0" fontId="25" fillId="0" borderId="38" xfId="0" applyFont="1" applyBorder="1" applyAlignment="1">
      <alignment horizontal="left" vertical="center" wrapText="1" indent="1"/>
    </xf>
    <xf numFmtId="0" fontId="25" fillId="0" borderId="38" xfId="0" applyFont="1" applyBorder="1"/>
    <xf numFmtId="43" fontId="19" fillId="0" borderId="38" xfId="1" applyFont="1" applyBorder="1" applyAlignment="1">
      <alignment vertical="center"/>
    </xf>
    <xf numFmtId="43" fontId="5" fillId="0" borderId="38" xfId="1" applyFont="1" applyBorder="1" applyAlignment="1">
      <alignment vertical="center"/>
    </xf>
    <xf numFmtId="43" fontId="38" fillId="0" borderId="38" xfId="1" applyFont="1" applyBorder="1" applyAlignment="1">
      <alignment vertical="center"/>
    </xf>
    <xf numFmtId="0" fontId="19" fillId="0" borderId="38" xfId="0" applyFont="1" applyBorder="1"/>
    <xf numFmtId="43" fontId="5" fillId="3" borderId="38" xfId="1" applyFont="1" applyFill="1" applyBorder="1" applyAlignment="1" applyProtection="1">
      <alignment horizontal="right" vertical="center"/>
    </xf>
    <xf numFmtId="43" fontId="5" fillId="3" borderId="38" xfId="1" applyFont="1" applyFill="1" applyBorder="1" applyAlignment="1" applyProtection="1">
      <alignment horizontal="right" vertical="center"/>
      <protection locked="0"/>
    </xf>
    <xf numFmtId="43" fontId="19" fillId="12" borderId="1" xfId="1" applyFont="1" applyFill="1" applyBorder="1" applyAlignment="1" applyProtection="1">
      <alignment horizontal="right"/>
    </xf>
    <xf numFmtId="1" fontId="24" fillId="0" borderId="38" xfId="0" applyNumberFormat="1" applyFont="1" applyBorder="1" applyAlignment="1">
      <alignment horizontal="right" vertical="center"/>
    </xf>
    <xf numFmtId="0" fontId="43" fillId="0" borderId="0" xfId="0" applyFont="1" applyAlignment="1">
      <alignment horizontal="center" vertical="center"/>
    </xf>
    <xf numFmtId="0" fontId="43" fillId="0" borderId="0" xfId="0" applyFont="1" applyAlignment="1">
      <alignment vertical="center"/>
    </xf>
    <xf numFmtId="43" fontId="43"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8" xfId="0" applyFont="1" applyBorder="1" applyAlignment="1">
      <alignment vertical="center"/>
    </xf>
    <xf numFmtId="0" fontId="24" fillId="0" borderId="38" xfId="0" applyFont="1" applyBorder="1" applyAlignment="1">
      <alignment horizontal="center" vertical="center"/>
    </xf>
    <xf numFmtId="43" fontId="24" fillId="0" borderId="38" xfId="1" applyFont="1" applyBorder="1" applyAlignment="1">
      <alignment horizontal="center" vertical="center"/>
    </xf>
    <xf numFmtId="43" fontId="24" fillId="0" borderId="38" xfId="1" applyFont="1" applyBorder="1" applyAlignment="1">
      <alignment vertical="center"/>
    </xf>
    <xf numFmtId="0" fontId="25" fillId="0" borderId="38" xfId="0" applyFont="1" applyBorder="1" applyAlignment="1">
      <alignment horizontal="center" vertical="center"/>
    </xf>
    <xf numFmtId="0" fontId="25" fillId="0" borderId="38" xfId="0" applyFont="1" applyBorder="1" applyAlignment="1">
      <alignment horizontal="left" vertical="center" indent="2"/>
    </xf>
    <xf numFmtId="0" fontId="48" fillId="0" borderId="38" xfId="0" applyFont="1" applyBorder="1" applyAlignment="1">
      <alignment vertical="center"/>
    </xf>
    <xf numFmtId="43" fontId="48" fillId="0" borderId="38" xfId="1" applyFont="1" applyBorder="1" applyAlignment="1">
      <alignment vertical="center"/>
    </xf>
    <xf numFmtId="0" fontId="48" fillId="0" borderId="38" xfId="0" applyFont="1" applyBorder="1" applyAlignment="1">
      <alignment horizontal="left" vertical="center" indent="2"/>
    </xf>
    <xf numFmtId="0" fontId="49" fillId="0" borderId="38" xfId="0" applyFont="1" applyBorder="1" applyAlignment="1">
      <alignment horizontal="center" vertical="center"/>
    </xf>
    <xf numFmtId="0" fontId="49" fillId="0" borderId="38" xfId="0" applyFont="1" applyBorder="1" applyAlignment="1">
      <alignment vertical="center"/>
    </xf>
    <xf numFmtId="43" fontId="49" fillId="0" borderId="38" xfId="1" applyFont="1" applyBorder="1" applyAlignment="1">
      <alignment vertical="center"/>
    </xf>
    <xf numFmtId="0" fontId="26" fillId="0" borderId="38" xfId="0" applyFont="1" applyBorder="1" applyAlignment="1">
      <alignment horizontal="left" vertical="center" indent="2"/>
    </xf>
    <xf numFmtId="43" fontId="26" fillId="0" borderId="38" xfId="1" applyFont="1" applyBorder="1" applyAlignment="1">
      <alignment vertical="center"/>
    </xf>
    <xf numFmtId="0" fontId="25" fillId="0" borderId="38" xfId="0" applyFont="1" applyBorder="1" applyAlignment="1">
      <alignment horizontal="left" indent="2"/>
    </xf>
    <xf numFmtId="43" fontId="25" fillId="0" borderId="38" xfId="1" applyFont="1" applyBorder="1" applyAlignment="1"/>
    <xf numFmtId="0" fontId="25" fillId="15" borderId="38" xfId="0" applyFont="1" applyFill="1" applyBorder="1" applyAlignment="1">
      <alignment horizontal="center" vertical="center"/>
    </xf>
    <xf numFmtId="0" fontId="24" fillId="15" borderId="38" xfId="0" applyFont="1" applyFill="1" applyBorder="1" applyAlignment="1">
      <alignment horizontal="left" vertical="center"/>
    </xf>
    <xf numFmtId="43" fontId="25" fillId="15" borderId="38" xfId="1" applyFont="1" applyFill="1" applyBorder="1" applyAlignment="1">
      <alignment vertical="center"/>
    </xf>
    <xf numFmtId="0" fontId="24" fillId="15" borderId="38" xfId="0" applyFont="1" applyFill="1" applyBorder="1" applyAlignment="1">
      <alignment vertical="center"/>
    </xf>
    <xf numFmtId="0" fontId="4" fillId="0" borderId="38" xfId="0" applyFont="1" applyBorder="1" applyAlignment="1">
      <alignment horizontal="center" vertical="center"/>
    </xf>
    <xf numFmtId="0" fontId="4" fillId="0" borderId="38" xfId="0" applyFont="1" applyBorder="1" applyAlignment="1">
      <alignment vertical="center"/>
    </xf>
    <xf numFmtId="43" fontId="4" fillId="0" borderId="38" xfId="1" applyFont="1" applyBorder="1" applyAlignment="1">
      <alignment vertical="center"/>
    </xf>
    <xf numFmtId="0" fontId="5" fillId="0" borderId="38" xfId="0" applyFont="1" applyBorder="1" applyAlignment="1">
      <alignment horizontal="left" vertical="center" indent="2"/>
    </xf>
    <xf numFmtId="0" fontId="5" fillId="0" borderId="38" xfId="0" applyFont="1" applyBorder="1" applyAlignment="1">
      <alignment horizontal="center" vertical="center"/>
    </xf>
    <xf numFmtId="0" fontId="5" fillId="0" borderId="38" xfId="0" applyFont="1" applyBorder="1" applyAlignment="1">
      <alignment vertical="center"/>
    </xf>
    <xf numFmtId="43" fontId="5" fillId="0" borderId="38" xfId="1" applyFont="1" applyFill="1" applyBorder="1" applyAlignment="1">
      <alignment vertical="center"/>
    </xf>
    <xf numFmtId="0" fontId="4" fillId="15" borderId="38" xfId="0" applyFont="1" applyFill="1" applyBorder="1" applyAlignment="1">
      <alignment horizontal="left" vertical="center"/>
    </xf>
    <xf numFmtId="43" fontId="5" fillId="15" borderId="38" xfId="1" applyFont="1" applyFill="1" applyBorder="1" applyAlignment="1">
      <alignment vertical="center"/>
    </xf>
    <xf numFmtId="0" fontId="5" fillId="0" borderId="38" xfId="0" applyFont="1" applyBorder="1" applyAlignment="1">
      <alignment horizontal="left" vertical="center" indent="1"/>
    </xf>
    <xf numFmtId="0" fontId="43" fillId="16" borderId="38" xfId="0" applyFont="1" applyFill="1" applyBorder="1" applyAlignment="1">
      <alignment horizontal="center" vertical="center"/>
    </xf>
    <xf numFmtId="0" fontId="43" fillId="16" borderId="38" xfId="0" applyFont="1" applyFill="1" applyBorder="1" applyAlignment="1">
      <alignment vertical="center"/>
    </xf>
    <xf numFmtId="43" fontId="43" fillId="16" borderId="38" xfId="1" applyFont="1" applyFill="1" applyBorder="1" applyAlignment="1">
      <alignment vertical="center"/>
    </xf>
    <xf numFmtId="43" fontId="4" fillId="0" borderId="38" xfId="1" applyFont="1" applyFill="1" applyBorder="1" applyAlignment="1">
      <alignment vertical="center"/>
    </xf>
    <xf numFmtId="43" fontId="19" fillId="0" borderId="38" xfId="1" applyFont="1" applyFill="1" applyBorder="1"/>
    <xf numFmtId="43" fontId="24" fillId="15" borderId="38" xfId="1" applyFont="1" applyFill="1" applyBorder="1" applyAlignment="1">
      <alignment horizontal="center" vertical="center" wrapText="1"/>
    </xf>
    <xf numFmtId="0" fontId="24" fillId="15" borderId="38" xfId="0" applyFont="1" applyFill="1" applyBorder="1" applyAlignment="1">
      <alignment vertical="center" wrapText="1"/>
    </xf>
    <xf numFmtId="14" fontId="18" fillId="0" borderId="0" xfId="0" applyNumberFormat="1" applyFont="1" applyAlignment="1">
      <alignment vertical="center"/>
    </xf>
    <xf numFmtId="0" fontId="18" fillId="0" borderId="38" xfId="0" applyFont="1" applyBorder="1" applyAlignment="1">
      <alignment horizontal="center" vertical="center"/>
    </xf>
    <xf numFmtId="0" fontId="18" fillId="0" borderId="38" xfId="0" applyFont="1" applyBorder="1" applyAlignment="1">
      <alignment horizontal="center" vertical="center" wrapText="1"/>
    </xf>
    <xf numFmtId="43" fontId="18" fillId="0" borderId="38" xfId="1" applyFont="1" applyBorder="1" applyAlignment="1">
      <alignment horizontal="center" vertical="center" wrapText="1"/>
    </xf>
    <xf numFmtId="0" fontId="19" fillId="0" borderId="38" xfId="0" applyFont="1" applyBorder="1" applyAlignment="1">
      <alignment horizontal="justify" vertical="center" wrapText="1"/>
    </xf>
    <xf numFmtId="0" fontId="18" fillId="15" borderId="38" xfId="0" applyFont="1" applyFill="1" applyBorder="1" applyAlignment="1">
      <alignment vertical="center"/>
    </xf>
    <xf numFmtId="0" fontId="18" fillId="15" borderId="38" xfId="0" applyFont="1" applyFill="1" applyBorder="1" applyAlignment="1">
      <alignment horizontal="justify" vertical="center" wrapText="1"/>
    </xf>
    <xf numFmtId="43" fontId="18" fillId="15" borderId="38" xfId="1" applyFont="1" applyFill="1" applyBorder="1" applyAlignment="1">
      <alignment vertical="center"/>
    </xf>
    <xf numFmtId="0" fontId="18" fillId="15" borderId="38" xfId="0" applyFont="1" applyFill="1" applyBorder="1" applyAlignment="1">
      <alignment vertical="center" wrapText="1"/>
    </xf>
    <xf numFmtId="0" fontId="19" fillId="0" borderId="38" xfId="0" applyFont="1" applyBorder="1" applyAlignment="1">
      <alignment horizontal="left" vertical="center" wrapText="1" indent="1"/>
    </xf>
    <xf numFmtId="0" fontId="18" fillId="0" borderId="38" xfId="0" applyFont="1" applyBorder="1" applyAlignment="1">
      <alignment vertical="center"/>
    </xf>
    <xf numFmtId="43" fontId="19" fillId="15" borderId="38" xfId="1" applyFont="1" applyFill="1" applyBorder="1" applyAlignment="1">
      <alignment vertical="center"/>
    </xf>
    <xf numFmtId="0" fontId="43" fillId="16" borderId="38" xfId="0" applyFont="1" applyFill="1" applyBorder="1" applyAlignment="1">
      <alignment horizontal="justify" vertical="center" wrapText="1"/>
    </xf>
    <xf numFmtId="0" fontId="45" fillId="16" borderId="38" xfId="0" applyFont="1" applyFill="1" applyBorder="1" applyAlignment="1">
      <alignment vertical="center" wrapText="1"/>
    </xf>
    <xf numFmtId="0" fontId="45" fillId="16" borderId="38" xfId="0" applyFont="1" applyFill="1" applyBorder="1" applyAlignment="1">
      <alignment horizontal="center" vertical="center" wrapText="1"/>
    </xf>
    <xf numFmtId="0" fontId="43" fillId="16" borderId="38" xfId="0" applyFont="1" applyFill="1" applyBorder="1"/>
    <xf numFmtId="1" fontId="18" fillId="15" borderId="38" xfId="0" applyNumberFormat="1" applyFont="1" applyFill="1" applyBorder="1" applyAlignment="1">
      <alignment horizontal="right" vertical="center"/>
    </xf>
    <xf numFmtId="43" fontId="44" fillId="15" borderId="38" xfId="1" applyFont="1" applyFill="1" applyBorder="1" applyAlignment="1">
      <alignment vertical="center"/>
    </xf>
    <xf numFmtId="43" fontId="46" fillId="0" borderId="38" xfId="1" applyFont="1" applyFill="1" applyBorder="1" applyAlignment="1">
      <alignment vertical="center"/>
    </xf>
    <xf numFmtId="0" fontId="4" fillId="15" borderId="38" xfId="0" applyFont="1" applyFill="1" applyBorder="1" applyAlignment="1">
      <alignment horizontal="right" vertical="center" wrapText="1"/>
    </xf>
    <xf numFmtId="0" fontId="4" fillId="0" borderId="38" xfId="0" applyFont="1" applyBorder="1" applyAlignment="1">
      <alignment horizontal="right" vertical="center" wrapText="1"/>
    </xf>
    <xf numFmtId="43" fontId="18" fillId="0" borderId="38" xfId="1" applyFont="1" applyFill="1" applyBorder="1" applyAlignment="1">
      <alignment vertical="center" wrapText="1"/>
    </xf>
    <xf numFmtId="43" fontId="24" fillId="0" borderId="38" xfId="1" applyFont="1" applyFill="1" applyBorder="1" applyAlignment="1">
      <alignment vertical="center"/>
    </xf>
    <xf numFmtId="0" fontId="24" fillId="0" borderId="38" xfId="0" applyFont="1" applyBorder="1" applyAlignment="1">
      <alignment horizontal="right" vertical="center" wrapText="1"/>
    </xf>
    <xf numFmtId="1" fontId="24" fillId="15" borderId="38" xfId="0" applyNumberFormat="1" applyFont="1" applyFill="1" applyBorder="1" applyAlignment="1">
      <alignment horizontal="right" vertical="center"/>
    </xf>
    <xf numFmtId="43" fontId="24" fillId="15" borderId="38" xfId="1" applyFont="1" applyFill="1" applyBorder="1" applyAlignment="1">
      <alignment vertical="center" wrapText="1"/>
    </xf>
    <xf numFmtId="0" fontId="18" fillId="0" borderId="38" xfId="0" applyFont="1" applyBorder="1"/>
    <xf numFmtId="43" fontId="18" fillId="15" borderId="38" xfId="1" applyFont="1" applyFill="1" applyBorder="1" applyAlignment="1">
      <alignment vertical="center" wrapText="1"/>
    </xf>
    <xf numFmtId="0" fontId="18" fillId="17" borderId="38" xfId="0" applyFont="1" applyFill="1" applyBorder="1" applyAlignment="1">
      <alignment vertical="center" wrapText="1"/>
    </xf>
    <xf numFmtId="43" fontId="24" fillId="15" borderId="38" xfId="1" applyFont="1" applyFill="1" applyBorder="1" applyAlignment="1">
      <alignment vertical="center"/>
    </xf>
    <xf numFmtId="1" fontId="19" fillId="17" borderId="38" xfId="0" applyNumberFormat="1" applyFont="1" applyFill="1" applyBorder="1" applyAlignment="1">
      <alignment horizontal="right" vertical="center"/>
    </xf>
    <xf numFmtId="43" fontId="18" fillId="17" borderId="38" xfId="1" applyFont="1" applyFill="1" applyBorder="1" applyAlignment="1">
      <alignment vertical="center"/>
    </xf>
    <xf numFmtId="0" fontId="18" fillId="17" borderId="38" xfId="0" applyFont="1" applyFill="1" applyBorder="1"/>
    <xf numFmtId="1" fontId="18" fillId="17" borderId="38" xfId="0" applyNumberFormat="1" applyFont="1" applyFill="1" applyBorder="1" applyAlignment="1">
      <alignment horizontal="right" vertical="center"/>
    </xf>
    <xf numFmtId="0" fontId="19" fillId="17" borderId="38" xfId="0" applyFont="1" applyFill="1" applyBorder="1"/>
    <xf numFmtId="0" fontId="43" fillId="16" borderId="38" xfId="0" applyFont="1" applyFill="1" applyBorder="1" applyAlignment="1">
      <alignment vertical="center" wrapText="1"/>
    </xf>
    <xf numFmtId="1" fontId="43" fillId="16" borderId="38" xfId="0" applyNumberFormat="1" applyFont="1" applyFill="1" applyBorder="1" applyAlignment="1">
      <alignment horizontal="right" vertical="center"/>
    </xf>
    <xf numFmtId="43" fontId="45" fillId="16" borderId="38" xfId="1" applyFont="1" applyFill="1" applyBorder="1" applyAlignment="1">
      <alignment vertical="center" wrapText="1"/>
    </xf>
    <xf numFmtId="43" fontId="45" fillId="16" borderId="38" xfId="1" applyFont="1" applyFill="1" applyBorder="1" applyAlignment="1">
      <alignment horizontal="right" vertical="center" wrapText="1"/>
    </xf>
    <xf numFmtId="43" fontId="43" fillId="16" borderId="38" xfId="1" applyFont="1" applyFill="1" applyBorder="1" applyAlignment="1">
      <alignment vertical="center" wrapText="1"/>
    </xf>
    <xf numFmtId="0" fontId="18" fillId="17" borderId="38" xfId="0" applyFont="1" applyFill="1" applyBorder="1" applyAlignment="1">
      <alignment vertical="center"/>
    </xf>
    <xf numFmtId="43" fontId="18" fillId="17" borderId="38" xfId="1" applyFont="1" applyFill="1" applyBorder="1" applyAlignment="1">
      <alignment horizontal="right" vertical="center" wrapText="1"/>
    </xf>
    <xf numFmtId="43" fontId="18" fillId="17" borderId="38" xfId="1" applyFont="1" applyFill="1" applyBorder="1" applyAlignment="1">
      <alignment vertical="center" wrapText="1"/>
    </xf>
    <xf numFmtId="43" fontId="45" fillId="16" borderId="38" xfId="1" applyFont="1" applyFill="1" applyBorder="1" applyAlignment="1">
      <alignment horizontal="center" vertical="center" wrapText="1"/>
    </xf>
    <xf numFmtId="43" fontId="18" fillId="17" borderId="38" xfId="1" applyFont="1" applyFill="1" applyBorder="1" applyAlignment="1">
      <alignment horizontal="center" vertical="center" wrapText="1"/>
    </xf>
    <xf numFmtId="43" fontId="18" fillId="17" borderId="38" xfId="1" applyFont="1" applyFill="1" applyBorder="1" applyAlignment="1">
      <alignment horizontal="right"/>
    </xf>
    <xf numFmtId="43" fontId="43" fillId="16" borderId="38" xfId="1" applyFont="1" applyFill="1" applyBorder="1"/>
    <xf numFmtId="43" fontId="19" fillId="17" borderId="38" xfId="1" applyFont="1" applyFill="1" applyBorder="1"/>
    <xf numFmtId="43" fontId="18" fillId="17" borderId="38" xfId="1" applyFont="1" applyFill="1" applyBorder="1"/>
    <xf numFmtId="166" fontId="18" fillId="0" borderId="0" xfId="8" applyNumberFormat="1" applyFont="1" applyAlignment="1">
      <alignment horizontal="right" vertical="center"/>
    </xf>
    <xf numFmtId="166" fontId="19" fillId="0" borderId="0" xfId="0" applyNumberFormat="1" applyFont="1"/>
    <xf numFmtId="43" fontId="43" fillId="16" borderId="38"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43" fontId="24" fillId="0" borderId="43" xfId="1" applyFont="1" applyBorder="1" applyAlignment="1">
      <alignment horizontal="center" vertical="center" wrapText="1"/>
    </xf>
    <xf numFmtId="166" fontId="18" fillId="0" borderId="44" xfId="8" applyNumberFormat="1" applyFont="1" applyBorder="1" applyAlignment="1">
      <alignment horizontal="center" vertical="center" wrapText="1"/>
    </xf>
    <xf numFmtId="0" fontId="43" fillId="16" borderId="45" xfId="0" applyFont="1" applyFill="1" applyBorder="1" applyAlignment="1">
      <alignment horizontal="right" vertical="center" wrapText="1"/>
    </xf>
    <xf numFmtId="166" fontId="45" fillId="16" borderId="46" xfId="8" applyNumberFormat="1" applyFont="1" applyFill="1" applyBorder="1"/>
    <xf numFmtId="0" fontId="18" fillId="15" borderId="45" xfId="0" applyFont="1" applyFill="1" applyBorder="1" applyAlignment="1">
      <alignment horizontal="right" vertical="center" wrapText="1"/>
    </xf>
    <xf numFmtId="166" fontId="18" fillId="15" borderId="46" xfId="8" applyNumberFormat="1" applyFont="1" applyFill="1" applyBorder="1"/>
    <xf numFmtId="0" fontId="19" fillId="0" borderId="45" xfId="0" applyFont="1" applyBorder="1" applyAlignment="1">
      <alignment horizontal="right" vertical="center"/>
    </xf>
    <xf numFmtId="166" fontId="19" fillId="0" borderId="46" xfId="8" applyNumberFormat="1" applyFont="1" applyBorder="1"/>
    <xf numFmtId="0" fontId="18" fillId="0" borderId="45" xfId="0" applyFont="1" applyBorder="1" applyAlignment="1">
      <alignment horizontal="right"/>
    </xf>
    <xf numFmtId="0" fontId="19" fillId="0" borderId="45" xfId="0" applyFont="1" applyBorder="1" applyAlignment="1">
      <alignment horizontal="right"/>
    </xf>
    <xf numFmtId="0" fontId="38" fillId="0" borderId="45" xfId="0" applyFont="1" applyBorder="1" applyAlignment="1">
      <alignment horizontal="right"/>
    </xf>
    <xf numFmtId="166" fontId="38" fillId="0" borderId="46" xfId="8" applyNumberFormat="1" applyFont="1" applyBorder="1"/>
    <xf numFmtId="0" fontId="24" fillId="15" borderId="45" xfId="0" applyFont="1" applyFill="1" applyBorder="1" applyAlignment="1">
      <alignment horizontal="right" vertical="center" wrapText="1"/>
    </xf>
    <xf numFmtId="0" fontId="24" fillId="0" borderId="45" xfId="0" applyFont="1" applyBorder="1" applyAlignment="1">
      <alignment horizontal="right" vertical="center" wrapText="1"/>
    </xf>
    <xf numFmtId="0" fontId="25" fillId="0" borderId="45" xfId="0" applyFont="1" applyBorder="1" applyAlignment="1">
      <alignment horizontal="right" vertical="center" wrapText="1"/>
    </xf>
    <xf numFmtId="0" fontId="5" fillId="0" borderId="45" xfId="0" applyFont="1" applyBorder="1" applyAlignment="1">
      <alignment horizontal="right" vertical="center" wrapText="1"/>
    </xf>
    <xf numFmtId="0" fontId="18" fillId="15" borderId="45" xfId="0" applyFont="1" applyFill="1" applyBorder="1" applyAlignment="1">
      <alignment horizontal="right"/>
    </xf>
    <xf numFmtId="0" fontId="18" fillId="17" borderId="45" xfId="0" applyFont="1" applyFill="1" applyBorder="1" applyAlignment="1">
      <alignment horizontal="right" vertical="center"/>
    </xf>
    <xf numFmtId="166" fontId="19" fillId="17" borderId="46" xfId="8" applyNumberFormat="1" applyFont="1" applyFill="1" applyBorder="1"/>
    <xf numFmtId="2" fontId="19" fillId="0" borderId="45" xfId="0" applyNumberFormat="1" applyFont="1" applyBorder="1" applyAlignment="1">
      <alignment horizontal="right"/>
    </xf>
    <xf numFmtId="2" fontId="18" fillId="15" borderId="45" xfId="0" applyNumberFormat="1" applyFont="1" applyFill="1" applyBorder="1" applyAlignment="1">
      <alignment horizontal="right" vertical="center"/>
    </xf>
    <xf numFmtId="166" fontId="18" fillId="15" borderId="46" xfId="8" applyNumberFormat="1" applyFont="1" applyFill="1" applyBorder="1" applyAlignment="1">
      <alignment vertical="center"/>
    </xf>
    <xf numFmtId="166" fontId="18" fillId="0" borderId="46" xfId="8" applyNumberFormat="1" applyFont="1" applyBorder="1"/>
    <xf numFmtId="0" fontId="18" fillId="17" borderId="45" xfId="0" applyFont="1" applyFill="1" applyBorder="1" applyAlignment="1">
      <alignment horizontal="right"/>
    </xf>
    <xf numFmtId="43" fontId="45" fillId="16" borderId="48" xfId="1" applyFont="1" applyFill="1" applyBorder="1"/>
    <xf numFmtId="166" fontId="43" fillId="16" borderId="49" xfId="8" applyNumberFormat="1" applyFont="1" applyFill="1" applyBorder="1"/>
    <xf numFmtId="0" fontId="43" fillId="16" borderId="45" xfId="0" applyFont="1" applyFill="1" applyBorder="1"/>
    <xf numFmtId="166" fontId="43" fillId="16" borderId="46" xfId="8" applyNumberFormat="1" applyFont="1" applyFill="1" applyBorder="1"/>
    <xf numFmtId="0" fontId="18" fillId="15" borderId="45" xfId="0" applyFont="1" applyFill="1" applyBorder="1"/>
    <xf numFmtId="166" fontId="19" fillId="15" borderId="46" xfId="8" applyNumberFormat="1" applyFont="1" applyFill="1" applyBorder="1"/>
    <xf numFmtId="166" fontId="19" fillId="0" borderId="46" xfId="8" applyNumberFormat="1" applyFont="1" applyFill="1" applyBorder="1"/>
    <xf numFmtId="0" fontId="18" fillId="0" borderId="45" xfId="0" applyFont="1" applyBorder="1" applyAlignment="1">
      <alignment horizontal="right" vertical="center"/>
    </xf>
    <xf numFmtId="166" fontId="18" fillId="17" borderId="46" xfId="8" applyNumberFormat="1" applyFont="1" applyFill="1" applyBorder="1"/>
    <xf numFmtId="2" fontId="18" fillId="15" borderId="45" xfId="0" applyNumberFormat="1" applyFont="1" applyFill="1" applyBorder="1" applyAlignment="1">
      <alignment horizontal="right"/>
    </xf>
    <xf numFmtId="0" fontId="18" fillId="17" borderId="45" xfId="0" applyFont="1" applyFill="1" applyBorder="1"/>
    <xf numFmtId="2" fontId="18" fillId="17" borderId="45" xfId="0" applyNumberFormat="1" applyFont="1" applyFill="1" applyBorder="1"/>
    <xf numFmtId="0" fontId="19" fillId="0" borderId="45" xfId="0" applyFont="1" applyBorder="1"/>
    <xf numFmtId="0" fontId="19" fillId="0" borderId="50" xfId="0" applyFont="1" applyBorder="1"/>
    <xf numFmtId="166" fontId="19" fillId="0" borderId="51" xfId="8" applyNumberFormat="1" applyFont="1" applyBorder="1"/>
    <xf numFmtId="166" fontId="19" fillId="0" borderId="52" xfId="8" applyNumberFormat="1" applyFont="1" applyBorder="1"/>
    <xf numFmtId="166" fontId="19" fillId="0" borderId="53" xfId="8" applyNumberFormat="1" applyFont="1" applyBorder="1"/>
    <xf numFmtId="0" fontId="38" fillId="0" borderId="45" xfId="0" applyFont="1" applyBorder="1" applyAlignment="1">
      <alignment horizontal="right" vertical="center"/>
    </xf>
    <xf numFmtId="0" fontId="18" fillId="15" borderId="45" xfId="0" applyFont="1" applyFill="1" applyBorder="1" applyAlignment="1">
      <alignment horizontal="right" vertical="center"/>
    </xf>
    <xf numFmtId="2" fontId="19" fillId="0" borderId="45" xfId="0" applyNumberFormat="1" applyFont="1" applyBorder="1" applyAlignment="1">
      <alignment horizontal="right" vertical="center"/>
    </xf>
    <xf numFmtId="2" fontId="18" fillId="0" borderId="45"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8" xfId="0" applyFont="1" applyFill="1" applyBorder="1"/>
    <xf numFmtId="164" fontId="5" fillId="4" borderId="38" xfId="1" applyNumberFormat="1" applyFont="1" applyFill="1" applyBorder="1" applyProtection="1">
      <protection locked="0"/>
    </xf>
    <xf numFmtId="4" fontId="25" fillId="3" borderId="38" xfId="0" applyNumberFormat="1" applyFont="1" applyFill="1" applyBorder="1" applyAlignment="1">
      <alignment horizontal="left"/>
    </xf>
    <xf numFmtId="164" fontId="5" fillId="3" borderId="38" xfId="1" applyNumberFormat="1" applyFont="1" applyFill="1" applyBorder="1" applyProtection="1">
      <protection locked="0"/>
    </xf>
    <xf numFmtId="4" fontId="25" fillId="3" borderId="38" xfId="0" applyNumberFormat="1" applyFont="1" applyFill="1" applyBorder="1" applyAlignment="1">
      <alignment horizontal="left" vertical="center"/>
    </xf>
    <xf numFmtId="4" fontId="25" fillId="3" borderId="38" xfId="0" applyNumberFormat="1" applyFont="1" applyFill="1" applyBorder="1"/>
    <xf numFmtId="0" fontId="5" fillId="6" borderId="38" xfId="0" applyFont="1" applyFill="1" applyBorder="1"/>
    <xf numFmtId="164" fontId="5" fillId="0" borderId="38" xfId="1" applyNumberFormat="1" applyFont="1" applyBorder="1" applyProtection="1">
      <protection locked="0"/>
    </xf>
    <xf numFmtId="0" fontId="5" fillId="18" borderId="38" xfId="0" applyFont="1" applyFill="1" applyBorder="1" applyAlignment="1" applyProtection="1">
      <alignment horizontal="center" wrapText="1"/>
      <protection locked="0"/>
    </xf>
    <xf numFmtId="4" fontId="25" fillId="0" borderId="38" xfId="0" applyNumberFormat="1" applyFont="1" applyBorder="1"/>
    <xf numFmtId="0" fontId="5" fillId="0" borderId="38" xfId="0" applyFont="1" applyBorder="1" applyAlignment="1" applyProtection="1">
      <alignment horizontal="center" wrapText="1"/>
      <protection locked="0"/>
    </xf>
    <xf numFmtId="0" fontId="19" fillId="0" borderId="38" xfId="0" applyFont="1" applyBorder="1" applyProtection="1">
      <protection locked="0"/>
    </xf>
    <xf numFmtId="0" fontId="17" fillId="0" borderId="38" xfId="4" applyBorder="1" applyProtection="1">
      <protection locked="0"/>
    </xf>
    <xf numFmtId="43" fontId="19" fillId="18" borderId="38" xfId="1" applyFont="1" applyFill="1" applyBorder="1" applyProtection="1">
      <protection locked="0"/>
    </xf>
    <xf numFmtId="0" fontId="19" fillId="3" borderId="38" xfId="0" applyFont="1" applyFill="1" applyBorder="1"/>
    <xf numFmtId="164" fontId="19" fillId="3" borderId="38" xfId="1" applyNumberFormat="1" applyFont="1" applyFill="1" applyBorder="1" applyProtection="1">
      <protection locked="0"/>
    </xf>
    <xf numFmtId="43" fontId="19" fillId="3" borderId="38" xfId="1" applyFont="1" applyFill="1" applyBorder="1" applyProtection="1">
      <protection locked="0"/>
    </xf>
    <xf numFmtId="0" fontId="4" fillId="24" borderId="38" xfId="0" applyFont="1" applyFill="1" applyBorder="1"/>
    <xf numFmtId="164" fontId="4" fillId="24" borderId="38" xfId="1" applyNumberFormat="1" applyFont="1" applyFill="1" applyBorder="1" applyProtection="1"/>
    <xf numFmtId="4" fontId="4" fillId="24" borderId="38" xfId="0" applyNumberFormat="1" applyFont="1" applyFill="1" applyBorder="1"/>
    <xf numFmtId="0" fontId="51" fillId="24" borderId="38" xfId="0" applyFont="1" applyFill="1" applyBorder="1"/>
    <xf numFmtId="0" fontId="4" fillId="24" borderId="38" xfId="0" applyFont="1" applyFill="1" applyBorder="1" applyAlignment="1">
      <alignment vertical="center"/>
    </xf>
    <xf numFmtId="164" fontId="5" fillId="24" borderId="38" xfId="1" applyNumberFormat="1" applyFont="1" applyFill="1" applyBorder="1" applyProtection="1">
      <protection locked="0"/>
    </xf>
    <xf numFmtId="0" fontId="4" fillId="17" borderId="38" xfId="0" applyFont="1" applyFill="1" applyBorder="1"/>
    <xf numFmtId="0" fontId="43" fillId="16" borderId="38" xfId="0" applyFont="1" applyFill="1" applyBorder="1" applyAlignment="1">
      <alignment horizontal="center"/>
    </xf>
    <xf numFmtId="164" fontId="43" fillId="16" borderId="38" xfId="1" applyNumberFormat="1" applyFont="1" applyFill="1" applyBorder="1" applyAlignment="1">
      <alignment horizontal="center"/>
    </xf>
    <xf numFmtId="0" fontId="18" fillId="17" borderId="38" xfId="0" applyFont="1" applyFill="1" applyBorder="1" applyAlignment="1">
      <alignment horizontal="left" wrapText="1"/>
    </xf>
    <xf numFmtId="43" fontId="19" fillId="18" borderId="38" xfId="1" applyFont="1" applyFill="1" applyBorder="1" applyAlignment="1" applyProtection="1">
      <alignment vertical="center"/>
      <protection locked="0"/>
    </xf>
    <xf numFmtId="0" fontId="25" fillId="17" borderId="38" xfId="0" applyFont="1" applyFill="1" applyBorder="1" applyAlignment="1">
      <alignment horizontal="left"/>
    </xf>
    <xf numFmtId="164" fontId="5" fillId="17" borderId="38" xfId="1" applyNumberFormat="1" applyFont="1" applyFill="1" applyBorder="1" applyProtection="1"/>
    <xf numFmtId="0" fontId="19" fillId="17" borderId="38" xfId="0" applyFont="1" applyFill="1" applyBorder="1" applyAlignment="1">
      <alignment horizontal="center"/>
    </xf>
    <xf numFmtId="0" fontId="19" fillId="17" borderId="38" xfId="0" applyFont="1" applyFill="1" applyBorder="1" applyAlignment="1">
      <alignment horizontal="left"/>
    </xf>
    <xf numFmtId="43" fontId="19" fillId="0" borderId="0" xfId="1" applyFont="1" applyFill="1" applyBorder="1" applyProtection="1">
      <protection locked="0"/>
    </xf>
    <xf numFmtId="0" fontId="52" fillId="0" borderId="0" xfId="4" applyFont="1"/>
    <xf numFmtId="0" fontId="19" fillId="0" borderId="0" xfId="0" quotePrefix="1" applyFont="1" applyAlignment="1">
      <alignment horizontal="justify" vertical="center"/>
    </xf>
    <xf numFmtId="43" fontId="19" fillId="0" borderId="0" xfId="0" applyNumberFormat="1" applyFont="1" applyAlignment="1">
      <alignment horizontal="left" indent="2"/>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43" fontId="19" fillId="0" borderId="0" xfId="2" applyFont="1" applyAlignment="1" applyProtection="1">
      <alignment horizontal="right" vertical="center"/>
    </xf>
    <xf numFmtId="0" fontId="45" fillId="14" borderId="38" xfId="0" applyFont="1" applyFill="1" applyBorder="1" applyAlignment="1">
      <alignment horizontal="center" vertical="center" wrapText="1"/>
    </xf>
    <xf numFmtId="1" fontId="45" fillId="14" borderId="38" xfId="0" applyNumberFormat="1" applyFont="1" applyFill="1" applyBorder="1" applyAlignment="1">
      <alignment horizontal="center" vertical="center"/>
    </xf>
    <xf numFmtId="43" fontId="45" fillId="14" borderId="38" xfId="1" applyFont="1" applyFill="1" applyBorder="1" applyAlignment="1" applyProtection="1">
      <alignment horizontal="center" vertical="center" wrapText="1"/>
    </xf>
    <xf numFmtId="0" fontId="45" fillId="14" borderId="39" xfId="0" applyFont="1" applyFill="1" applyBorder="1" applyAlignment="1">
      <alignment horizontal="center" vertical="center" wrapText="1"/>
    </xf>
    <xf numFmtId="43" fontId="45" fillId="14" borderId="38" xfId="1" applyFont="1" applyFill="1" applyBorder="1" applyAlignment="1" applyProtection="1">
      <alignment horizontal="center" vertical="center"/>
    </xf>
    <xf numFmtId="0" fontId="4" fillId="17" borderId="38" xfId="10" applyFont="1" applyFill="1" applyBorder="1" applyAlignment="1" applyProtection="1">
      <alignment horizontal="left" vertical="center" wrapText="1"/>
    </xf>
    <xf numFmtId="1" fontId="4" fillId="17" borderId="38" xfId="10" applyNumberFormat="1" applyFont="1" applyFill="1" applyBorder="1" applyAlignment="1" applyProtection="1">
      <alignment horizontal="center" vertical="center"/>
    </xf>
    <xf numFmtId="43" fontId="4" fillId="17" borderId="38" xfId="10" applyNumberFormat="1" applyFont="1" applyFill="1" applyBorder="1" applyAlignment="1" applyProtection="1">
      <alignment horizontal="left" vertical="center" wrapText="1"/>
    </xf>
    <xf numFmtId="0" fontId="24" fillId="3" borderId="0" xfId="0" applyFont="1" applyFill="1" applyAlignment="1">
      <alignment vertical="center" wrapText="1"/>
    </xf>
    <xf numFmtId="0" fontId="4" fillId="17" borderId="38" xfId="0" applyFont="1" applyFill="1" applyBorder="1" applyAlignment="1">
      <alignment vertical="center" wrapText="1"/>
    </xf>
    <xf numFmtId="1" fontId="4" fillId="17" borderId="38" xfId="0" applyNumberFormat="1" applyFont="1" applyFill="1" applyBorder="1" applyAlignment="1">
      <alignment horizontal="center" vertical="center"/>
    </xf>
    <xf numFmtId="43" fontId="4" fillId="17" borderId="38" xfId="1" applyFont="1" applyFill="1" applyBorder="1" applyAlignment="1" applyProtection="1">
      <alignment vertical="center"/>
    </xf>
    <xf numFmtId="0" fontId="19" fillId="21" borderId="38" xfId="12" applyFont="1" applyBorder="1" applyAlignment="1" applyProtection="1">
      <alignment vertical="center" wrapText="1"/>
    </xf>
    <xf numFmtId="1" fontId="19" fillId="21" borderId="38" xfId="12" applyNumberFormat="1" applyFont="1" applyBorder="1" applyAlignment="1" applyProtection="1">
      <alignment horizontal="center" vertical="center"/>
    </xf>
    <xf numFmtId="43" fontId="19" fillId="21" borderId="38" xfId="12" applyNumberFormat="1" applyFont="1" applyBorder="1" applyAlignment="1" applyProtection="1">
      <alignment vertical="center" wrapText="1"/>
    </xf>
    <xf numFmtId="0" fontId="25" fillId="0" borderId="0" xfId="0" applyFont="1" applyAlignment="1">
      <alignment vertical="center" wrapText="1"/>
    </xf>
    <xf numFmtId="0" fontId="19" fillId="12" borderId="38" xfId="0" applyFont="1" applyFill="1" applyBorder="1" applyAlignment="1">
      <alignment vertical="center" wrapText="1"/>
    </xf>
    <xf numFmtId="1" fontId="19" fillId="12" borderId="38" xfId="0" applyNumberFormat="1" applyFont="1" applyFill="1" applyBorder="1" applyAlignment="1">
      <alignment horizontal="center" vertical="center"/>
    </xf>
    <xf numFmtId="43" fontId="46" fillId="12" borderId="38" xfId="1" applyFont="1" applyFill="1" applyBorder="1" applyAlignment="1" applyProtection="1">
      <alignment vertical="center"/>
    </xf>
    <xf numFmtId="0" fontId="19" fillId="0" borderId="38" xfId="11" applyFont="1" applyFill="1" applyBorder="1" applyAlignment="1" applyProtection="1">
      <alignment vertical="center" wrapText="1"/>
    </xf>
    <xf numFmtId="1" fontId="19" fillId="0" borderId="38" xfId="11" applyNumberFormat="1" applyFont="1" applyFill="1" applyBorder="1" applyAlignment="1" applyProtection="1">
      <alignment horizontal="center" vertical="center"/>
    </xf>
    <xf numFmtId="43" fontId="19" fillId="0" borderId="38" xfId="11" applyNumberFormat="1" applyFont="1" applyFill="1" applyBorder="1" applyAlignment="1" applyProtection="1">
      <alignment vertical="center" wrapText="1"/>
    </xf>
    <xf numFmtId="0" fontId="25" fillId="18" borderId="38" xfId="0" applyFont="1" applyFill="1" applyBorder="1" applyAlignment="1">
      <alignment vertical="center" wrapText="1"/>
    </xf>
    <xf numFmtId="1" fontId="25" fillId="18" borderId="38" xfId="0" applyNumberFormat="1" applyFont="1" applyFill="1" applyBorder="1" applyAlignment="1">
      <alignment horizontal="center" vertical="center"/>
    </xf>
    <xf numFmtId="43" fontId="25" fillId="18" borderId="38" xfId="1" applyFont="1" applyFill="1" applyBorder="1" applyAlignment="1" applyProtection="1">
      <alignment vertical="center"/>
    </xf>
    <xf numFmtId="1" fontId="19" fillId="18" borderId="38" xfId="0" applyNumberFormat="1" applyFont="1" applyFill="1" applyBorder="1" applyAlignment="1">
      <alignment horizontal="center" vertical="center"/>
    </xf>
    <xf numFmtId="43" fontId="24" fillId="18" borderId="38" xfId="1" applyFont="1" applyFill="1" applyBorder="1" applyAlignment="1" applyProtection="1">
      <alignment vertical="center" wrapText="1"/>
    </xf>
    <xf numFmtId="0" fontId="24" fillId="0" borderId="38" xfId="0" applyFont="1" applyBorder="1" applyAlignment="1">
      <alignment horizontal="left" vertical="center" wrapText="1" indent="1"/>
    </xf>
    <xf numFmtId="1" fontId="25" fillId="0" borderId="38" xfId="0" applyNumberFormat="1" applyFont="1" applyBorder="1" applyAlignment="1">
      <alignment horizontal="center" vertical="center"/>
    </xf>
    <xf numFmtId="43" fontId="25" fillId="0" borderId="38" xfId="1" applyFont="1" applyBorder="1" applyAlignment="1" applyProtection="1">
      <alignment vertical="center"/>
    </xf>
    <xf numFmtId="1" fontId="19" fillId="0" borderId="38" xfId="0" applyNumberFormat="1" applyFont="1" applyBorder="1" applyAlignment="1">
      <alignment horizontal="center" vertical="center"/>
    </xf>
    <xf numFmtId="43" fontId="19" fillId="0" borderId="38" xfId="1" applyFont="1" applyFill="1" applyBorder="1" applyAlignment="1" applyProtection="1">
      <alignment vertical="center" wrapText="1"/>
    </xf>
    <xf numFmtId="0" fontId="25" fillId="0" borderId="38" xfId="0" applyFont="1" applyBorder="1" applyAlignment="1">
      <alignment horizontal="left" vertical="center" wrapText="1" indent="2"/>
    </xf>
    <xf numFmtId="43" fontId="19" fillId="0" borderId="38" xfId="1" applyFont="1" applyBorder="1" applyAlignment="1" applyProtection="1">
      <alignment vertical="center"/>
    </xf>
    <xf numFmtId="0" fontId="25" fillId="0" borderId="38" xfId="0" applyFont="1" applyBorder="1" applyAlignment="1">
      <alignment horizontal="center" vertical="center" wrapText="1"/>
    </xf>
    <xf numFmtId="43" fontId="25" fillId="0" borderId="38" xfId="1" applyFont="1" applyBorder="1" applyAlignment="1" applyProtection="1">
      <alignment vertical="center" wrapText="1"/>
    </xf>
    <xf numFmtId="0" fontId="25" fillId="18" borderId="38" xfId="0" applyFont="1" applyFill="1" applyBorder="1" applyAlignment="1">
      <alignment horizontal="left" vertical="center" wrapText="1"/>
    </xf>
    <xf numFmtId="0" fontId="19" fillId="18" borderId="38" xfId="0" applyFont="1" applyFill="1" applyBorder="1" applyAlignment="1">
      <alignment vertical="center" wrapText="1"/>
    </xf>
    <xf numFmtId="43" fontId="19" fillId="18" borderId="38" xfId="1" applyFont="1" applyFill="1" applyBorder="1" applyAlignment="1" applyProtection="1">
      <alignment vertical="center" wrapText="1"/>
    </xf>
    <xf numFmtId="0" fontId="4" fillId="0" borderId="38" xfId="0" applyFont="1" applyBorder="1" applyAlignment="1">
      <alignment horizontal="center" vertical="center" wrapText="1"/>
    </xf>
    <xf numFmtId="43" fontId="24" fillId="0" borderId="38" xfId="1" applyFont="1" applyFill="1" applyBorder="1" applyAlignment="1" applyProtection="1">
      <alignment vertical="center" wrapText="1"/>
    </xf>
    <xf numFmtId="0" fontId="25" fillId="0" borderId="38" xfId="0" applyFont="1" applyBorder="1" applyAlignment="1">
      <alignment horizontal="left" vertical="center" wrapText="1" indent="3"/>
    </xf>
    <xf numFmtId="0" fontId="24" fillId="0" borderId="38" xfId="0" applyFont="1" applyBorder="1" applyAlignment="1">
      <alignment horizontal="center" vertical="center" wrapText="1"/>
    </xf>
    <xf numFmtId="43" fontId="46" fillId="18" borderId="38" xfId="1" applyFont="1" applyFill="1" applyBorder="1" applyAlignment="1" applyProtection="1">
      <alignment vertical="center"/>
    </xf>
    <xf numFmtId="0" fontId="5" fillId="0" borderId="0" xfId="0" applyFont="1" applyAlignment="1">
      <alignment vertical="center" wrapText="1"/>
    </xf>
    <xf numFmtId="0" fontId="4" fillId="0" borderId="38" xfId="0" applyFont="1" applyBorder="1" applyAlignment="1">
      <alignment vertical="center" wrapText="1"/>
    </xf>
    <xf numFmtId="0" fontId="4" fillId="0" borderId="38" xfId="0" applyFont="1" applyBorder="1" applyAlignment="1">
      <alignment horizontal="left" vertical="center" wrapText="1" indent="1"/>
    </xf>
    <xf numFmtId="1" fontId="4" fillId="0" borderId="38" xfId="0" applyNumberFormat="1" applyFont="1" applyBorder="1" applyAlignment="1">
      <alignment horizontal="center" vertical="center"/>
    </xf>
    <xf numFmtId="43" fontId="4" fillId="0" borderId="38" xfId="1" applyFont="1" applyFill="1" applyBorder="1" applyAlignment="1" applyProtection="1">
      <alignment vertical="center" wrapText="1"/>
    </xf>
    <xf numFmtId="0" fontId="5" fillId="0" borderId="38" xfId="0" applyFont="1" applyBorder="1" applyAlignment="1">
      <alignment horizontal="left" vertical="center" wrapText="1" indent="2"/>
    </xf>
    <xf numFmtId="0" fontId="5" fillId="3" borderId="38" xfId="0" applyFont="1" applyFill="1" applyBorder="1" applyAlignment="1">
      <alignment horizontal="center" vertical="center" wrapText="1"/>
    </xf>
    <xf numFmtId="0" fontId="5" fillId="0" borderId="38" xfId="0" applyFont="1" applyBorder="1" applyAlignment="1">
      <alignment horizontal="left" vertical="center" wrapText="1" indent="3"/>
    </xf>
    <xf numFmtId="0" fontId="5" fillId="0" borderId="38" xfId="0" applyFont="1" applyBorder="1" applyAlignment="1">
      <alignment horizontal="center" vertical="center" wrapText="1"/>
    </xf>
    <xf numFmtId="43" fontId="5" fillId="0" borderId="38" xfId="1" applyFont="1" applyBorder="1" applyAlignment="1" applyProtection="1">
      <alignment vertical="center" wrapText="1"/>
    </xf>
    <xf numFmtId="0" fontId="19" fillId="18" borderId="38" xfId="11" applyFont="1" applyFill="1" applyBorder="1" applyAlignment="1" applyProtection="1">
      <alignment vertical="center" wrapText="1"/>
    </xf>
    <xf numFmtId="1" fontId="19" fillId="18" borderId="38" xfId="11" applyNumberFormat="1" applyFont="1" applyFill="1" applyBorder="1" applyAlignment="1" applyProtection="1">
      <alignment horizontal="center" vertical="center"/>
    </xf>
    <xf numFmtId="43" fontId="19" fillId="18" borderId="38" xfId="11" applyNumberFormat="1" applyFont="1" applyFill="1" applyBorder="1" applyAlignment="1" applyProtection="1">
      <alignment vertical="center" wrapText="1"/>
    </xf>
    <xf numFmtId="0" fontId="38" fillId="0" borderId="0" xfId="0" applyFont="1" applyAlignment="1">
      <alignment vertical="center" wrapText="1"/>
    </xf>
    <xf numFmtId="0" fontId="49" fillId="0" borderId="38" xfId="0" applyFont="1" applyBorder="1" applyAlignment="1">
      <alignment vertical="center" wrapText="1"/>
    </xf>
    <xf numFmtId="0" fontId="38" fillId="0" borderId="38" xfId="0" applyFont="1" applyBorder="1" applyAlignment="1">
      <alignment horizontal="left" vertical="center" wrapText="1" indent="1"/>
    </xf>
    <xf numFmtId="0" fontId="18" fillId="18" borderId="38" xfId="0" applyFont="1" applyFill="1" applyBorder="1" applyAlignment="1">
      <alignment vertical="center" wrapText="1"/>
    </xf>
    <xf numFmtId="43" fontId="18" fillId="18" borderId="38" xfId="1" applyFont="1" applyFill="1" applyBorder="1" applyAlignment="1" applyProtection="1">
      <alignment vertical="center" wrapText="1"/>
    </xf>
    <xf numFmtId="0" fontId="49" fillId="0" borderId="38" xfId="0" applyFont="1" applyBorder="1" applyAlignment="1">
      <alignment horizontal="left" vertical="center" wrapText="1" indent="1"/>
    </xf>
    <xf numFmtId="1" fontId="38" fillId="0" borderId="38" xfId="0" applyNumberFormat="1" applyFont="1" applyBorder="1" applyAlignment="1">
      <alignment horizontal="center" vertical="center"/>
    </xf>
    <xf numFmtId="43" fontId="38" fillId="0" borderId="38" xfId="1" applyFont="1" applyBorder="1" applyAlignment="1" applyProtection="1">
      <alignment vertical="center"/>
    </xf>
    <xf numFmtId="1" fontId="49" fillId="0" borderId="38" xfId="0" applyNumberFormat="1" applyFont="1" applyBorder="1" applyAlignment="1">
      <alignment horizontal="center" vertical="center"/>
    </xf>
    <xf numFmtId="43" fontId="49" fillId="0" borderId="38" xfId="1" applyFont="1" applyBorder="1" applyAlignment="1" applyProtection="1">
      <alignment vertical="center"/>
    </xf>
    <xf numFmtId="0" fontId="5" fillId="18" borderId="38" xfId="0" applyFont="1" applyFill="1" applyBorder="1" applyAlignment="1">
      <alignment horizontal="center" vertical="center" wrapText="1"/>
    </xf>
    <xf numFmtId="0" fontId="5" fillId="0" borderId="38" xfId="0" applyFont="1" applyBorder="1" applyAlignment="1">
      <alignment horizontal="left" vertical="center" wrapText="1" indent="1"/>
    </xf>
    <xf numFmtId="0" fontId="19" fillId="18" borderId="38" xfId="11" applyFont="1" applyFill="1" applyBorder="1" applyAlignment="1" applyProtection="1">
      <alignment horizontal="center" vertical="center" wrapText="1"/>
    </xf>
    <xf numFmtId="43" fontId="23" fillId="0" borderId="0" xfId="0" applyNumberFormat="1" applyFont="1" applyAlignment="1">
      <alignment vertical="center"/>
    </xf>
    <xf numFmtId="1" fontId="18" fillId="0" borderId="38" xfId="0" applyNumberFormat="1" applyFont="1" applyBorder="1" applyAlignment="1">
      <alignment horizontal="center" vertical="center"/>
    </xf>
    <xf numFmtId="43" fontId="24" fillId="0" borderId="38" xfId="1" applyFont="1" applyBorder="1" applyAlignment="1" applyProtection="1">
      <alignment vertical="center"/>
    </xf>
    <xf numFmtId="43" fontId="18" fillId="0" borderId="38" xfId="1" applyFont="1" applyBorder="1" applyAlignment="1" applyProtection="1">
      <alignment vertical="center"/>
    </xf>
    <xf numFmtId="0" fontId="19" fillId="21" borderId="38" xfId="12" applyFont="1" applyBorder="1" applyAlignment="1" applyProtection="1">
      <alignment horizontal="center" vertical="center" wrapText="1"/>
    </xf>
    <xf numFmtId="0" fontId="18" fillId="0" borderId="38" xfId="0" applyFont="1" applyBorder="1" applyAlignment="1">
      <alignment horizontal="left" vertical="center" wrapText="1"/>
    </xf>
    <xf numFmtId="0" fontId="19" fillId="0" borderId="38" xfId="0" applyFont="1" applyBorder="1" applyAlignment="1">
      <alignment horizontal="center"/>
    </xf>
    <xf numFmtId="0" fontId="24" fillId="0" borderId="38" xfId="0" applyFont="1" applyBorder="1" applyAlignment="1">
      <alignment horizontal="left" vertical="center" wrapText="1"/>
    </xf>
    <xf numFmtId="43" fontId="25" fillId="0" borderId="38" xfId="1" applyFont="1" applyFill="1" applyBorder="1" applyAlignment="1" applyProtection="1">
      <alignment vertical="center" wrapText="1"/>
    </xf>
    <xf numFmtId="0" fontId="19" fillId="0" borderId="38" xfId="0" applyFont="1" applyBorder="1" applyAlignment="1">
      <alignment horizontal="left" vertical="center" wrapText="1" indent="2"/>
    </xf>
    <xf numFmtId="0" fontId="38" fillId="0" borderId="38" xfId="0" applyFont="1" applyBorder="1" applyAlignment="1">
      <alignment horizontal="left" vertical="center" wrapText="1" indent="2"/>
    </xf>
    <xf numFmtId="1" fontId="24" fillId="0" borderId="38" xfId="0" applyNumberFormat="1" applyFont="1" applyBorder="1" applyAlignment="1">
      <alignment horizontal="center" vertical="center"/>
    </xf>
    <xf numFmtId="0" fontId="25" fillId="0" borderId="38" xfId="0" applyFont="1" applyBorder="1" applyAlignment="1">
      <alignment horizontal="left" vertical="center" wrapText="1" indent="4"/>
    </xf>
    <xf numFmtId="0" fontId="25" fillId="12" borderId="38" xfId="0" applyFont="1" applyFill="1" applyBorder="1" applyAlignment="1">
      <alignment vertical="center" wrapText="1"/>
    </xf>
    <xf numFmtId="1" fontId="25" fillId="12" borderId="38" xfId="0" applyNumberFormat="1" applyFont="1" applyFill="1" applyBorder="1" applyAlignment="1">
      <alignment horizontal="center" vertical="center"/>
    </xf>
    <xf numFmtId="43" fontId="25" fillId="12" borderId="38" xfId="1" applyFont="1" applyFill="1" applyBorder="1" applyAlignment="1" applyProtection="1">
      <alignment vertical="center"/>
    </xf>
    <xf numFmtId="43" fontId="19" fillId="0" borderId="38" xfId="1" applyFont="1" applyFill="1" applyBorder="1" applyAlignment="1" applyProtection="1">
      <alignment vertical="center"/>
    </xf>
    <xf numFmtId="0" fontId="25" fillId="0" borderId="38" xfId="0" applyFont="1" applyBorder="1" applyAlignment="1">
      <alignment horizontal="left" vertical="center" wrapText="1" indent="5"/>
    </xf>
    <xf numFmtId="0" fontId="19" fillId="0" borderId="38" xfId="0" applyFont="1" applyBorder="1" applyAlignment="1">
      <alignment horizontal="left" indent="1"/>
    </xf>
    <xf numFmtId="1" fontId="45" fillId="16" borderId="38" xfId="0" applyNumberFormat="1" applyFont="1" applyFill="1" applyBorder="1" applyAlignment="1">
      <alignment horizontal="center" vertical="center" wrapText="1"/>
    </xf>
    <xf numFmtId="43" fontId="45" fillId="16" borderId="38" xfId="1" applyFont="1" applyFill="1" applyBorder="1" applyAlignment="1" applyProtection="1">
      <alignment horizontal="center" vertical="center" wrapText="1"/>
    </xf>
    <xf numFmtId="0" fontId="25" fillId="15" borderId="38" xfId="0" applyFont="1" applyFill="1" applyBorder="1" applyAlignment="1">
      <alignment vertical="center" wrapText="1"/>
    </xf>
    <xf numFmtId="1" fontId="25" fillId="15" borderId="38" xfId="0" applyNumberFormat="1" applyFont="1" applyFill="1" applyBorder="1" applyAlignment="1">
      <alignment horizontal="center" vertical="center" wrapText="1"/>
    </xf>
    <xf numFmtId="43" fontId="25" fillId="15" borderId="38" xfId="1" applyFont="1" applyFill="1" applyBorder="1" applyAlignment="1" applyProtection="1">
      <alignment horizontal="center" vertical="center" wrapText="1"/>
    </xf>
    <xf numFmtId="1" fontId="25" fillId="18" borderId="38" xfId="0" applyNumberFormat="1" applyFont="1" applyFill="1" applyBorder="1" applyAlignment="1">
      <alignment horizontal="center" vertical="center" wrapText="1"/>
    </xf>
    <xf numFmtId="43" fontId="25" fillId="18" borderId="38" xfId="1" applyFont="1" applyFill="1" applyBorder="1" applyAlignment="1" applyProtection="1">
      <alignment horizontal="center" vertical="center" wrapText="1"/>
    </xf>
    <xf numFmtId="1" fontId="25" fillId="0" borderId="38" xfId="0" applyNumberFormat="1" applyFont="1" applyBorder="1" applyAlignment="1">
      <alignment horizontal="center" vertical="center" wrapText="1"/>
    </xf>
    <xf numFmtId="1" fontId="24" fillId="0" borderId="38" xfId="0" applyNumberFormat="1" applyFont="1" applyBorder="1" applyAlignment="1">
      <alignment horizontal="center" vertical="center" wrapText="1"/>
    </xf>
    <xf numFmtId="43" fontId="24" fillId="0" borderId="38" xfId="1" applyFont="1" applyBorder="1" applyAlignment="1" applyProtection="1">
      <alignment horizontal="center" vertical="center" wrapText="1"/>
    </xf>
    <xf numFmtId="0" fontId="38" fillId="18" borderId="38" xfId="0" applyFont="1" applyFill="1" applyBorder="1" applyAlignment="1">
      <alignment vertical="center" wrapText="1"/>
    </xf>
    <xf numFmtId="0" fontId="25" fillId="0" borderId="0" xfId="0" applyFont="1" applyAlignment="1">
      <alignment horizontal="left" vertical="center" wrapText="1" indent="1"/>
    </xf>
    <xf numFmtId="1" fontId="25" fillId="0" borderId="0" xfId="0" applyNumberFormat="1" applyFont="1" applyAlignment="1">
      <alignment horizontal="center" vertical="center" wrapText="1"/>
    </xf>
    <xf numFmtId="43" fontId="25" fillId="0" borderId="40" xfId="1" applyFont="1" applyFill="1" applyBorder="1" applyAlignment="1" applyProtection="1">
      <alignment horizontal="center" vertical="center" wrapText="1"/>
    </xf>
    <xf numFmtId="43" fontId="25" fillId="0" borderId="40" xfId="1" applyFont="1" applyBorder="1" applyAlignment="1" applyProtection="1">
      <alignment horizontal="center" vertical="center" wrapText="1"/>
    </xf>
    <xf numFmtId="1" fontId="19" fillId="0" borderId="0" xfId="0" applyNumberFormat="1" applyFont="1" applyAlignment="1">
      <alignment horizontal="center" vertical="center"/>
    </xf>
    <xf numFmtId="43" fontId="19" fillId="0" borderId="40" xfId="1" applyFont="1" applyBorder="1" applyAlignment="1" applyProtection="1">
      <alignment vertical="center"/>
    </xf>
    <xf numFmtId="43" fontId="25" fillId="18" borderId="38" xfId="1" applyFont="1" applyFill="1" applyBorder="1" applyAlignment="1" applyProtection="1">
      <alignment vertical="center" wrapText="1"/>
    </xf>
    <xf numFmtId="0" fontId="5" fillId="18" borderId="38" xfId="0" applyFont="1" applyFill="1" applyBorder="1" applyAlignment="1">
      <alignment vertical="center" wrapText="1"/>
    </xf>
    <xf numFmtId="1" fontId="5" fillId="18" borderId="38" xfId="0" applyNumberFormat="1" applyFont="1" applyFill="1" applyBorder="1" applyAlignment="1">
      <alignment horizontal="center" vertical="center"/>
    </xf>
    <xf numFmtId="1" fontId="5" fillId="0" borderId="38" xfId="0" applyNumberFormat="1" applyFont="1" applyBorder="1" applyAlignment="1">
      <alignment horizontal="center" vertical="center"/>
    </xf>
    <xf numFmtId="1" fontId="38" fillId="18" borderId="38" xfId="0" applyNumberFormat="1" applyFont="1" applyFill="1" applyBorder="1" applyAlignment="1">
      <alignment horizontal="center" vertical="center"/>
    </xf>
    <xf numFmtId="43" fontId="38" fillId="18" borderId="38" xfId="1" applyFont="1" applyFill="1" applyBorder="1" applyAlignment="1" applyProtection="1">
      <alignment vertical="center" wrapText="1"/>
    </xf>
    <xf numFmtId="0" fontId="25" fillId="0" borderId="38" xfId="0" applyFont="1" applyBorder="1" applyAlignment="1">
      <alignment horizontal="left" vertical="center" wrapText="1"/>
    </xf>
    <xf numFmtId="0" fontId="25" fillId="18" borderId="38" xfId="0" applyFont="1" applyFill="1" applyBorder="1" applyAlignment="1">
      <alignment vertical="center"/>
    </xf>
    <xf numFmtId="0" fontId="24" fillId="0" borderId="38" xfId="0" applyFont="1" applyBorder="1" applyAlignment="1">
      <alignment horizontal="left" vertical="center"/>
    </xf>
    <xf numFmtId="0" fontId="25" fillId="0" borderId="38" xfId="0" applyFont="1" applyBorder="1" applyAlignment="1">
      <alignment horizontal="left" vertical="center" indent="1"/>
    </xf>
    <xf numFmtId="0" fontId="25" fillId="0" borderId="38" xfId="0" applyFont="1" applyBorder="1" applyAlignment="1">
      <alignment horizontal="left" vertical="center" indent="3"/>
    </xf>
    <xf numFmtId="0" fontId="19" fillId="18" borderId="38" xfId="0" applyFont="1" applyFill="1" applyBorder="1" applyAlignment="1">
      <alignment horizontal="left" vertical="center" wrapText="1"/>
    </xf>
    <xf numFmtId="0" fontId="25" fillId="22" borderId="38" xfId="0" applyFont="1" applyFill="1" applyBorder="1" applyAlignment="1">
      <alignment horizontal="left" vertical="center" wrapText="1"/>
    </xf>
    <xf numFmtId="1" fontId="25" fillId="22" borderId="38" xfId="0" applyNumberFormat="1" applyFont="1" applyFill="1" applyBorder="1" applyAlignment="1">
      <alignment horizontal="center" vertical="center"/>
    </xf>
    <xf numFmtId="43" fontId="25" fillId="22" borderId="38" xfId="1" applyFont="1" applyFill="1" applyBorder="1" applyAlignment="1" applyProtection="1">
      <alignment vertical="center" wrapText="1"/>
    </xf>
    <xf numFmtId="1" fontId="19" fillId="22" borderId="38" xfId="0" applyNumberFormat="1" applyFont="1" applyFill="1" applyBorder="1" applyAlignment="1">
      <alignment horizontal="center" vertical="center"/>
    </xf>
    <xf numFmtId="0" fontId="18" fillId="22" borderId="38" xfId="0" applyFont="1" applyFill="1" applyBorder="1" applyAlignment="1">
      <alignment horizontal="left" vertical="center" wrapText="1"/>
    </xf>
    <xf numFmtId="1" fontId="18" fillId="22" borderId="38" xfId="0" applyNumberFormat="1" applyFont="1" applyFill="1" applyBorder="1" applyAlignment="1">
      <alignment horizontal="center" vertical="center"/>
    </xf>
    <xf numFmtId="43" fontId="18" fillId="22" borderId="38" xfId="1" applyFont="1" applyFill="1" applyBorder="1" applyAlignment="1" applyProtection="1">
      <alignment vertical="center" wrapText="1"/>
    </xf>
    <xf numFmtId="0" fontId="19" fillId="0" borderId="38" xfId="0" applyFont="1" applyBorder="1" applyAlignment="1">
      <alignment horizontal="left" vertical="center" wrapText="1" indent="3"/>
    </xf>
    <xf numFmtId="43" fontId="19" fillId="0" borderId="38" xfId="1" applyFont="1" applyBorder="1" applyAlignment="1" applyProtection="1">
      <alignment vertical="center" wrapText="1"/>
    </xf>
    <xf numFmtId="43" fontId="25" fillId="15" borderId="38" xfId="1" applyFont="1" applyFill="1" applyBorder="1" applyAlignment="1" applyProtection="1">
      <alignment vertical="center" wrapText="1"/>
    </xf>
    <xf numFmtId="0" fontId="26" fillId="0" borderId="38" xfId="0" applyFont="1" applyBorder="1" applyAlignment="1">
      <alignment horizontal="left" vertical="center" indent="1"/>
    </xf>
    <xf numFmtId="1" fontId="5" fillId="0" borderId="38" xfId="0" applyNumberFormat="1" applyFont="1" applyBorder="1" applyAlignment="1">
      <alignment horizontal="center" vertical="center" wrapText="1"/>
    </xf>
    <xf numFmtId="43" fontId="5" fillId="0" borderId="38" xfId="1" applyFont="1" applyFill="1" applyBorder="1" applyAlignment="1" applyProtection="1">
      <alignment vertical="center" wrapText="1"/>
    </xf>
    <xf numFmtId="0" fontId="5" fillId="0" borderId="38" xfId="0" applyFont="1" applyBorder="1" applyAlignment="1">
      <alignment horizontal="left" vertical="center" indent="3"/>
    </xf>
    <xf numFmtId="1" fontId="19" fillId="0" borderId="38" xfId="0" applyNumberFormat="1" applyFont="1" applyBorder="1" applyAlignment="1">
      <alignment horizontal="center" vertical="center" wrapText="1"/>
    </xf>
    <xf numFmtId="0" fontId="5" fillId="15" borderId="38" xfId="0" applyFont="1" applyFill="1" applyBorder="1" applyAlignment="1">
      <alignment vertical="center" wrapText="1"/>
    </xf>
    <xf numFmtId="0" fontId="4" fillId="15" borderId="38" xfId="0" applyFont="1" applyFill="1" applyBorder="1" applyAlignment="1">
      <alignment vertical="center"/>
    </xf>
    <xf numFmtId="1" fontId="5" fillId="15" borderId="38" xfId="0" applyNumberFormat="1" applyFont="1" applyFill="1" applyBorder="1" applyAlignment="1">
      <alignment horizontal="center" vertical="center" wrapText="1"/>
    </xf>
    <xf numFmtId="43" fontId="5" fillId="15" borderId="38" xfId="1" applyFont="1" applyFill="1" applyBorder="1" applyAlignment="1" applyProtection="1">
      <alignment vertical="center" wrapText="1"/>
    </xf>
    <xf numFmtId="0" fontId="5" fillId="0" borderId="38" xfId="0" applyFont="1" applyBorder="1" applyAlignment="1">
      <alignment horizontal="left" vertical="center"/>
    </xf>
    <xf numFmtId="0" fontId="45" fillId="14" borderId="41" xfId="0" applyFont="1" applyFill="1" applyBorder="1" applyAlignment="1">
      <alignment horizontal="center" vertical="center" wrapText="1"/>
    </xf>
    <xf numFmtId="43" fontId="45" fillId="14" borderId="38" xfId="1" applyFont="1" applyFill="1" applyBorder="1" applyAlignment="1" applyProtection="1">
      <alignment vertical="center"/>
    </xf>
    <xf numFmtId="0" fontId="45" fillId="0" borderId="0" xfId="0" applyFont="1" applyAlignment="1">
      <alignment horizontal="center" vertical="center" wrapText="1"/>
    </xf>
    <xf numFmtId="43" fontId="38" fillId="0" borderId="0" xfId="2" applyFont="1" applyFill="1" applyAlignment="1" applyProtection="1">
      <alignment horizontal="right" vertical="center"/>
    </xf>
    <xf numFmtId="43" fontId="38" fillId="0" borderId="0" xfId="2" applyFont="1" applyAlignment="1" applyProtection="1">
      <alignment vertical="center"/>
    </xf>
    <xf numFmtId="0" fontId="45" fillId="14" borderId="38" xfId="0" applyFont="1" applyFill="1" applyBorder="1" applyAlignment="1">
      <alignment horizontal="center"/>
    </xf>
    <xf numFmtId="0" fontId="50" fillId="0" borderId="38" xfId="0" applyFont="1" applyBorder="1" applyAlignment="1">
      <alignment horizontal="center" vertical="center"/>
    </xf>
    <xf numFmtId="0" fontId="25" fillId="0" borderId="0" xfId="0" applyFont="1" applyAlignment="1">
      <alignment vertical="center"/>
    </xf>
    <xf numFmtId="43" fontId="19" fillId="0" borderId="0" xfId="1" applyFont="1" applyFill="1" applyAlignment="1" applyProtection="1">
      <alignment vertical="center"/>
    </xf>
    <xf numFmtId="43" fontId="49" fillId="0" borderId="0" xfId="1" applyFont="1" applyAlignment="1" applyProtection="1">
      <alignment horizontal="center" vertical="center"/>
    </xf>
    <xf numFmtId="1" fontId="19" fillId="0" borderId="0" xfId="0" applyNumberFormat="1" applyFont="1" applyAlignment="1">
      <alignment horizontal="left" vertical="center"/>
    </xf>
    <xf numFmtId="43" fontId="25" fillId="0" borderId="38" xfId="1" applyFont="1" applyBorder="1" applyAlignment="1" applyProtection="1">
      <alignment vertical="center" wrapText="1"/>
      <protection locked="0"/>
    </xf>
    <xf numFmtId="43" fontId="38" fillId="0" borderId="38" xfId="1" applyFont="1" applyBorder="1" applyAlignment="1" applyProtection="1">
      <alignment vertical="center" wrapText="1"/>
      <protection locked="0"/>
    </xf>
    <xf numFmtId="43" fontId="25" fillId="0" borderId="38" xfId="1" applyFont="1" applyBorder="1" applyAlignment="1" applyProtection="1">
      <alignment vertical="center"/>
      <protection locked="0"/>
    </xf>
    <xf numFmtId="43" fontId="25" fillId="0" borderId="38" xfId="1" applyFont="1" applyFill="1" applyBorder="1" applyAlignment="1" applyProtection="1">
      <alignment vertical="center" wrapText="1"/>
      <protection locked="0"/>
    </xf>
    <xf numFmtId="43" fontId="19" fillId="0" borderId="38" xfId="1" applyFont="1" applyBorder="1" applyAlignment="1" applyProtection="1">
      <alignment vertical="center" wrapText="1"/>
      <protection locked="0"/>
    </xf>
    <xf numFmtId="43" fontId="19" fillId="0" borderId="38" xfId="1" applyFont="1" applyBorder="1" applyAlignment="1" applyProtection="1">
      <alignment vertical="center"/>
      <protection locked="0"/>
    </xf>
    <xf numFmtId="43" fontId="19" fillId="0" borderId="38" xfId="1" applyFont="1" applyFill="1" applyBorder="1" applyAlignment="1" applyProtection="1">
      <alignment vertical="center"/>
      <protection locked="0"/>
    </xf>
    <xf numFmtId="43" fontId="25" fillId="12" borderId="38" xfId="1" applyFont="1" applyFill="1" applyBorder="1" applyAlignment="1" applyProtection="1">
      <alignment vertical="center"/>
      <protection locked="0"/>
    </xf>
    <xf numFmtId="43" fontId="25" fillId="0" borderId="38" xfId="1" applyFont="1" applyFill="1" applyBorder="1" applyAlignment="1" applyProtection="1">
      <alignment vertical="center"/>
      <protection locked="0"/>
    </xf>
    <xf numFmtId="43" fontId="25" fillId="18" borderId="38" xfId="1" applyFont="1" applyFill="1" applyBorder="1" applyAlignment="1" applyProtection="1">
      <alignment vertical="center"/>
      <protection locked="0"/>
    </xf>
    <xf numFmtId="43" fontId="18" fillId="0" borderId="38" xfId="1" applyFont="1" applyBorder="1" applyAlignment="1" applyProtection="1">
      <alignment vertical="center"/>
      <protection locked="0"/>
    </xf>
    <xf numFmtId="43" fontId="25" fillId="0" borderId="38" xfId="1" applyFont="1" applyBorder="1" applyAlignment="1" applyProtection="1">
      <alignment horizontal="center" vertical="center" wrapText="1"/>
      <protection locked="0"/>
    </xf>
    <xf numFmtId="43" fontId="25" fillId="15" borderId="38" xfId="1" applyFont="1" applyFill="1" applyBorder="1" applyAlignment="1" applyProtection="1">
      <alignment vertical="center" wrapText="1"/>
      <protection locked="0"/>
    </xf>
    <xf numFmtId="43" fontId="19" fillId="0" borderId="38" xfId="1" applyFont="1" applyBorder="1" applyAlignment="1" applyProtection="1">
      <alignment horizontal="right" vertical="center" wrapText="1"/>
      <protection locked="0"/>
    </xf>
    <xf numFmtId="43" fontId="24" fillId="0" borderId="38" xfId="1" applyFont="1" applyBorder="1" applyAlignment="1" applyProtection="1">
      <alignment horizontal="center" vertical="center" wrapText="1"/>
      <protection locked="0"/>
    </xf>
    <xf numFmtId="43" fontId="19" fillId="0" borderId="38" xfId="1" applyFont="1" applyBorder="1" applyProtection="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165" fontId="18" fillId="8" borderId="1" xfId="2" applyNumberFormat="1" applyFont="1" applyFill="1" applyBorder="1" applyAlignment="1" applyProtection="1">
      <alignment horizontal="center" vertical="center"/>
    </xf>
    <xf numFmtId="165" fontId="18" fillId="5" borderId="1" xfId="2" applyNumberFormat="1" applyFont="1" applyFill="1" applyBorder="1" applyAlignment="1" applyProtection="1">
      <alignment horizontal="left"/>
    </xf>
    <xf numFmtId="165" fontId="18" fillId="5" borderId="1" xfId="2" applyNumberFormat="1" applyFont="1" applyFill="1" applyBorder="1" applyProtection="1"/>
    <xf numFmtId="0" fontId="19" fillId="0" borderId="1" xfId="0" applyFont="1" applyBorder="1" applyAlignment="1">
      <alignment horizontal="center"/>
    </xf>
    <xf numFmtId="0" fontId="38" fillId="0" borderId="0" xfId="0" applyFont="1"/>
    <xf numFmtId="43" fontId="38" fillId="0" borderId="0" xfId="0" applyNumberFormat="1" applyFont="1"/>
    <xf numFmtId="0" fontId="19" fillId="0" borderId="1" xfId="0" applyFont="1" applyBorder="1" applyAlignment="1">
      <alignment horizontal="left" indent="2"/>
    </xf>
    <xf numFmtId="166" fontId="18" fillId="8" borderId="1" xfId="9" applyNumberFormat="1" applyFont="1" applyFill="1" applyBorder="1" applyAlignment="1" applyProtection="1">
      <alignment horizontal="right" vertical="center"/>
    </xf>
    <xf numFmtId="166" fontId="18" fillId="8" borderId="1" xfId="9" applyNumberFormat="1" applyFont="1" applyFill="1" applyBorder="1" applyAlignment="1" applyProtection="1">
      <alignment horizontal="right"/>
    </xf>
    <xf numFmtId="0" fontId="19" fillId="5" borderId="1" xfId="0" applyFont="1" applyFill="1" applyBorder="1" applyAlignment="1">
      <alignment horizontal="center"/>
    </xf>
    <xf numFmtId="166" fontId="18" fillId="5" borderId="1" xfId="9" applyNumberFormat="1" applyFont="1" applyFill="1" applyBorder="1" applyAlignment="1" applyProtection="1">
      <alignment horizontal="right"/>
    </xf>
    <xf numFmtId="166" fontId="23" fillId="0" borderId="1" xfId="9" applyNumberFormat="1" applyFont="1" applyBorder="1" applyAlignment="1" applyProtection="1">
      <alignment horizontal="right"/>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165" fontId="19" fillId="0" borderId="1" xfId="2" applyNumberFormat="1" applyFont="1" applyFill="1" applyBorder="1" applyProtection="1"/>
    <xf numFmtId="43" fontId="19" fillId="18" borderId="0" xfId="1" applyFont="1" applyFill="1" applyProtection="1">
      <protection locked="0"/>
    </xf>
    <xf numFmtId="166" fontId="19" fillId="0" borderId="1" xfId="8" applyNumberFormat="1" applyFont="1" applyBorder="1" applyAlignment="1">
      <alignment horizontal="center" vertical="center"/>
    </xf>
    <xf numFmtId="166" fontId="38" fillId="0" borderId="46" xfId="8" applyNumberFormat="1" applyFont="1" applyFill="1" applyBorder="1"/>
    <xf numFmtId="0" fontId="38" fillId="0" borderId="45" xfId="0" applyFont="1" applyBorder="1" applyAlignment="1">
      <alignment horizontal="right" vertical="center" wrapText="1"/>
    </xf>
    <xf numFmtId="43" fontId="38" fillId="0" borderId="0" xfId="1" applyFont="1"/>
    <xf numFmtId="43" fontId="19" fillId="12" borderId="1" xfId="1" applyFont="1" applyFill="1" applyBorder="1" applyProtection="1">
      <protection locked="0"/>
    </xf>
    <xf numFmtId="0" fontId="18" fillId="13" borderId="1" xfId="0" applyFont="1" applyFill="1" applyBorder="1" applyAlignment="1">
      <alignment horizontal="center" vertical="center" wrapText="1"/>
    </xf>
    <xf numFmtId="43" fontId="19" fillId="0" borderId="1" xfId="1" applyFont="1" applyBorder="1" applyProtection="1"/>
    <xf numFmtId="43" fontId="38" fillId="0" borderId="28"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43" fontId="19" fillId="12" borderId="1" xfId="1" applyFont="1" applyFill="1" applyBorder="1" applyProtection="1"/>
    <xf numFmtId="0" fontId="4" fillId="13" borderId="1" xfId="0" applyFont="1" applyFill="1" applyBorder="1" applyAlignment="1">
      <alignment horizontal="center" vertical="center"/>
    </xf>
    <xf numFmtId="43" fontId="5" fillId="13" borderId="1" xfId="1" applyFont="1" applyFill="1" applyBorder="1" applyProtection="1"/>
    <xf numFmtId="0" fontId="40" fillId="0" borderId="0" xfId="4" applyFont="1" applyAlignment="1" applyProtection="1"/>
    <xf numFmtId="0" fontId="24" fillId="0" borderId="38" xfId="0" applyFont="1" applyBorder="1" applyAlignment="1" applyProtection="1">
      <alignment vertical="center" wrapText="1"/>
      <protection locked="0"/>
    </xf>
    <xf numFmtId="0" fontId="43" fillId="16" borderId="38" xfId="0" applyFont="1" applyFill="1" applyBorder="1" applyAlignment="1" applyProtection="1">
      <alignment vertical="center" wrapText="1"/>
      <protection locked="0"/>
    </xf>
    <xf numFmtId="43" fontId="19" fillId="0" borderId="1" xfId="1" applyFont="1" applyFill="1" applyBorder="1" applyAlignment="1" applyProtection="1">
      <alignment horizontal="left" indent="9"/>
      <protection locked="0"/>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43" fontId="18" fillId="7" borderId="1" xfId="1" applyFont="1" applyFill="1" applyBorder="1" applyAlignment="1">
      <alignment horizontal="center"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164" fontId="18" fillId="7" borderId="1" xfId="1" applyNumberFormat="1" applyFont="1" applyFill="1" applyBorder="1" applyAlignment="1">
      <alignment horizontal="center" vertical="center"/>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3" xfId="2" applyNumberFormat="1" applyFont="1" applyFill="1" applyBorder="1" applyProtection="1">
      <protection locked="0"/>
    </xf>
    <xf numFmtId="165" fontId="18" fillId="5" borderId="17" xfId="2" applyNumberFormat="1" applyFont="1" applyFill="1" applyBorder="1" applyProtection="1"/>
    <xf numFmtId="165" fontId="19" fillId="8" borderId="1" xfId="2" applyNumberFormat="1" applyFont="1" applyFill="1" applyBorder="1" applyProtection="1"/>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43" fontId="25" fillId="18" borderId="38" xfId="1" applyFont="1" applyFill="1" applyBorder="1" applyAlignment="1" applyProtection="1">
      <alignment vertical="center" wrapText="1"/>
      <protection locked="0"/>
    </xf>
    <xf numFmtId="166" fontId="18" fillId="8" borderId="1" xfId="8" applyNumberFormat="1" applyFont="1" applyFill="1" applyBorder="1" applyAlignment="1" applyProtection="1">
      <alignment vertical="center"/>
    </xf>
    <xf numFmtId="166" fontId="22" fillId="0" borderId="0" xfId="8" applyNumberFormat="1" applyFont="1" applyAlignment="1" applyProtection="1">
      <alignment vertical="center"/>
    </xf>
    <xf numFmtId="166" fontId="22" fillId="5" borderId="1" xfId="8" applyNumberFormat="1" applyFont="1" applyFill="1" applyBorder="1"/>
    <xf numFmtId="166" fontId="4" fillId="0" borderId="11" xfId="8" applyNumberFormat="1" applyFont="1" applyBorder="1" applyAlignment="1" applyProtection="1">
      <alignment horizontal="right" vertical="center"/>
    </xf>
    <xf numFmtId="166" fontId="2" fillId="0" borderId="12" xfId="8" applyNumberFormat="1" applyFont="1" applyBorder="1" applyAlignment="1">
      <alignment horizontal="right" vertical="center" wrapText="1"/>
    </xf>
    <xf numFmtId="10" fontId="5" fillId="5" borderId="1" xfId="8" applyNumberFormat="1" applyFont="1" applyFill="1" applyBorder="1" applyAlignment="1" applyProtection="1">
      <alignment horizontal="center" vertical="center"/>
    </xf>
    <xf numFmtId="166" fontId="5" fillId="0" borderId="1" xfId="8" applyNumberFormat="1" applyFont="1" applyBorder="1" applyAlignment="1" applyProtection="1">
      <alignment horizontal="center" vertical="center"/>
    </xf>
    <xf numFmtId="14" fontId="29" fillId="0" borderId="0" xfId="5" applyNumberFormat="1" applyFont="1" applyAlignment="1">
      <alignment horizontal="left" vertical="center"/>
    </xf>
    <xf numFmtId="14" fontId="5" fillId="0" borderId="1" xfId="7" applyNumberFormat="1" applyFont="1" applyBorder="1" applyAlignment="1" applyProtection="1">
      <alignment horizontal="center" vertical="center"/>
      <protection locked="0"/>
    </xf>
    <xf numFmtId="166" fontId="19" fillId="5" borderId="1" xfId="8" applyNumberFormat="1" applyFont="1" applyFill="1" applyBorder="1"/>
    <xf numFmtId="166" fontId="4" fillId="8" borderId="1" xfId="8" applyNumberFormat="1" applyFont="1" applyFill="1" applyBorder="1"/>
    <xf numFmtId="166" fontId="19" fillId="0" borderId="1" xfId="8" applyNumberFormat="1" applyFont="1" applyBorder="1" applyProtection="1"/>
    <xf numFmtId="166" fontId="19" fillId="12" borderId="1" xfId="8" applyNumberFormat="1" applyFont="1" applyFill="1" applyBorder="1" applyProtection="1">
      <protection locked="0"/>
    </xf>
    <xf numFmtId="166" fontId="5" fillId="13" borderId="1" xfId="8" applyNumberFormat="1" applyFont="1" applyFill="1" applyBorder="1" applyProtection="1"/>
    <xf numFmtId="164" fontId="19" fillId="0" borderId="1" xfId="1" applyNumberFormat="1" applyFont="1" applyBorder="1" applyProtection="1"/>
    <xf numFmtId="164" fontId="19" fillId="12" borderId="1" xfId="1" applyNumberFormat="1" applyFont="1" applyFill="1" applyBorder="1" applyProtection="1">
      <protection locked="0"/>
    </xf>
    <xf numFmtId="164" fontId="5" fillId="13" borderId="1" xfId="1" applyNumberFormat="1" applyFont="1" applyFill="1" applyBorder="1" applyProtection="1"/>
    <xf numFmtId="164" fontId="19" fillId="0" borderId="1" xfId="1" applyNumberFormat="1" applyFont="1" applyBorder="1" applyAlignment="1" applyProtection="1">
      <alignment horizontal="left" vertical="center"/>
      <protection locked="0"/>
    </xf>
    <xf numFmtId="164" fontId="13" fillId="3" borderId="1" xfId="1" applyNumberFormat="1" applyFont="1" applyFill="1" applyBorder="1" applyAlignment="1" applyProtection="1">
      <alignment horizontal="right" vertical="center"/>
      <protection locked="0"/>
    </xf>
    <xf numFmtId="164" fontId="28" fillId="8" borderId="1" xfId="1" applyNumberFormat="1" applyFont="1" applyFill="1" applyBorder="1" applyAlignment="1" applyProtection="1">
      <alignment horizontal="center" vertical="center"/>
    </xf>
    <xf numFmtId="164" fontId="29" fillId="8" borderId="1" xfId="1" applyNumberFormat="1" applyFont="1" applyFill="1" applyBorder="1" applyAlignment="1" applyProtection="1">
      <alignment horizontal="center" vertical="center"/>
    </xf>
    <xf numFmtId="164" fontId="31" fillId="0" borderId="0" xfId="1" applyNumberFormat="1" applyFont="1" applyFill="1" applyBorder="1" applyAlignment="1" applyProtection="1">
      <alignment vertical="center" wrapText="1"/>
    </xf>
    <xf numFmtId="164" fontId="31" fillId="3" borderId="0" xfId="1" applyNumberFormat="1" applyFont="1" applyFill="1" applyBorder="1" applyAlignment="1" applyProtection="1">
      <alignment horizontal="center" vertical="center" wrapText="1"/>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9" fillId="0" borderId="45" xfId="0" applyFont="1" applyBorder="1" applyAlignment="1">
      <alignment horizontal="right"/>
    </xf>
    <xf numFmtId="1" fontId="49" fillId="0" borderId="38" xfId="0" applyNumberFormat="1" applyFont="1" applyBorder="1" applyAlignment="1">
      <alignment horizontal="right" vertical="center"/>
    </xf>
    <xf numFmtId="43" fontId="49" fillId="0" borderId="38" xfId="1" applyFont="1" applyFill="1" applyBorder="1" applyAlignment="1">
      <alignment vertical="center"/>
    </xf>
    <xf numFmtId="0" fontId="53" fillId="25" borderId="0" xfId="0" applyFont="1" applyFill="1"/>
    <xf numFmtId="43" fontId="5" fillId="0" borderId="38" xfId="1" applyFont="1" applyBorder="1" applyAlignment="1" applyProtection="1">
      <alignment vertical="center" wrapText="1"/>
      <protection locked="0"/>
    </xf>
    <xf numFmtId="43" fontId="4" fillId="0" borderId="38" xfId="1" applyFont="1" applyBorder="1" applyAlignment="1" applyProtection="1">
      <alignment vertical="center" wrapText="1"/>
    </xf>
    <xf numFmtId="0" fontId="4" fillId="0" borderId="38" xfId="0" applyFont="1" applyBorder="1" applyAlignment="1">
      <alignment horizontal="left" vertical="center" wrapText="1"/>
    </xf>
    <xf numFmtId="0" fontId="5" fillId="0" borderId="38" xfId="0" applyFont="1" applyBorder="1" applyAlignment="1">
      <alignment horizontal="center"/>
    </xf>
    <xf numFmtId="0" fontId="4" fillId="0" borderId="38" xfId="0" applyFont="1" applyBorder="1" applyAlignment="1">
      <alignment horizontal="left" vertical="center" wrapText="1" indent="2"/>
    </xf>
    <xf numFmtId="0" fontId="5" fillId="0" borderId="38" xfId="0" applyFont="1" applyBorder="1" applyAlignment="1">
      <alignment horizontal="left" vertical="center" wrapText="1" indent="4"/>
    </xf>
    <xf numFmtId="0" fontId="5" fillId="0" borderId="38" xfId="0" applyFont="1" applyBorder="1" applyAlignment="1">
      <alignment horizontal="left" vertical="center" wrapText="1" indent="5"/>
    </xf>
    <xf numFmtId="43" fontId="5" fillId="18" borderId="38" xfId="1" applyFont="1" applyFill="1" applyBorder="1" applyAlignment="1" applyProtection="1">
      <alignment vertical="center" wrapText="1"/>
    </xf>
    <xf numFmtId="43" fontId="5" fillId="0" borderId="38" xfId="1" applyFont="1" applyFill="1" applyBorder="1" applyAlignment="1" applyProtection="1">
      <alignment vertical="center"/>
    </xf>
    <xf numFmtId="0" fontId="4" fillId="0" borderId="38" xfId="0" applyFont="1" applyBorder="1" applyAlignment="1">
      <alignment horizontal="left" vertical="center"/>
    </xf>
    <xf numFmtId="43" fontId="5" fillId="18" borderId="38" xfId="1" applyFont="1" applyFill="1" applyBorder="1" applyAlignment="1" applyProtection="1">
      <alignment vertical="center"/>
    </xf>
    <xf numFmtId="43" fontId="4" fillId="0" borderId="38" xfId="1" applyFont="1" applyBorder="1" applyAlignment="1" applyProtection="1">
      <alignment vertical="center"/>
    </xf>
    <xf numFmtId="43" fontId="5" fillId="0" borderId="38" xfId="1" applyFont="1" applyBorder="1" applyAlignment="1" applyProtection="1">
      <alignment vertical="center"/>
    </xf>
    <xf numFmtId="43" fontId="5" fillId="0" borderId="38" xfId="1" applyFont="1" applyBorder="1" applyAlignment="1" applyProtection="1">
      <alignment vertical="center"/>
      <protection locked="0"/>
    </xf>
    <xf numFmtId="1" fontId="5" fillId="18" borderId="38" xfId="0" applyNumberFormat="1" applyFont="1" applyFill="1" applyBorder="1" applyAlignment="1">
      <alignment horizontal="center" vertical="center" wrapText="1"/>
    </xf>
    <xf numFmtId="43" fontId="5" fillId="18" borderId="38" xfId="1" applyFont="1" applyFill="1" applyBorder="1" applyAlignment="1" applyProtection="1">
      <alignment horizontal="center" vertical="center" wrapText="1"/>
      <protection locked="0"/>
    </xf>
    <xf numFmtId="43" fontId="5" fillId="15" borderId="38" xfId="1" applyFont="1" applyFill="1" applyBorder="1" applyAlignment="1" applyProtection="1">
      <alignment horizontal="center" vertical="center" wrapText="1"/>
    </xf>
    <xf numFmtId="0" fontId="19" fillId="18" borderId="0" xfId="0" applyFont="1" applyFill="1" applyAlignment="1">
      <alignment vertical="center" wrapText="1"/>
    </xf>
    <xf numFmtId="0" fontId="19" fillId="5" borderId="1" xfId="8" applyNumberFormat="1" applyFont="1" applyFill="1" applyBorder="1"/>
    <xf numFmtId="43" fontId="38" fillId="0" borderId="38" xfId="1" applyFont="1" applyBorder="1" applyAlignment="1" applyProtection="1">
      <alignment vertical="center"/>
      <protection locked="0"/>
    </xf>
    <xf numFmtId="165" fontId="5" fillId="18" borderId="1" xfId="2" applyNumberFormat="1" applyFont="1" applyFill="1" applyBorder="1" applyAlignment="1" applyProtection="1">
      <alignment horizontal="right"/>
      <protection locked="0"/>
    </xf>
    <xf numFmtId="165" fontId="5" fillId="18" borderId="1" xfId="2" applyNumberFormat="1" applyFont="1" applyFill="1" applyBorder="1" applyAlignment="1" applyProtection="1">
      <alignment horizontal="right" vertical="center"/>
      <protection locked="0"/>
    </xf>
    <xf numFmtId="0" fontId="19" fillId="0" borderId="23" xfId="0" applyFont="1" applyBorder="1"/>
    <xf numFmtId="0" fontId="19" fillId="0" borderId="1" xfId="0" applyFont="1" applyBorder="1" applyAlignment="1">
      <alignment horizontal="left" indent="4"/>
    </xf>
    <xf numFmtId="1" fontId="38" fillId="0" borderId="0" xfId="0" applyNumberFormat="1" applyFont="1" applyAlignment="1">
      <alignment horizontal="right" vertical="center"/>
    </xf>
    <xf numFmtId="43" fontId="38" fillId="0" borderId="0" xfId="1" applyFont="1" applyAlignment="1" applyProtection="1">
      <alignment vertical="center"/>
    </xf>
    <xf numFmtId="0" fontId="23" fillId="0" borderId="0" xfId="0" applyFont="1" applyAlignment="1">
      <alignment vertical="center" wrapText="1"/>
    </xf>
    <xf numFmtId="43" fontId="19" fillId="0" borderId="0" xfId="1" applyFont="1" applyAlignment="1" applyProtection="1">
      <alignment horizontal="center" vertical="center"/>
      <protection locked="0"/>
    </xf>
    <xf numFmtId="0" fontId="25" fillId="24" borderId="38" xfId="0" applyFont="1" applyFill="1" applyBorder="1" applyAlignment="1">
      <alignment horizontal="center" vertical="center"/>
    </xf>
    <xf numFmtId="0" fontId="19" fillId="17" borderId="38" xfId="0" applyFont="1" applyFill="1" applyBorder="1" applyAlignment="1">
      <alignment horizontal="center" vertical="center"/>
    </xf>
    <xf numFmtId="0" fontId="4" fillId="17" borderId="38" xfId="0" applyFont="1" applyFill="1" applyBorder="1" applyAlignment="1">
      <alignment horizontal="left"/>
    </xf>
    <xf numFmtId="0" fontId="22" fillId="0" borderId="0" xfId="0" applyFont="1" applyAlignment="1">
      <alignment horizontal="left" vertical="center" wrapText="1"/>
    </xf>
    <xf numFmtId="0" fontId="25" fillId="24" borderId="38" xfId="0" applyFont="1" applyFill="1" applyBorder="1" applyAlignment="1">
      <alignment horizontal="center" vertical="center" wrapText="1"/>
    </xf>
    <xf numFmtId="0" fontId="43" fillId="23" borderId="38" xfId="0" applyFont="1" applyFill="1" applyBorder="1" applyAlignment="1">
      <alignment horizontal="center" vertical="center" wrapText="1"/>
    </xf>
    <xf numFmtId="0" fontId="5" fillId="24" borderId="38" xfId="0" applyFont="1" applyFill="1" applyBorder="1" applyAlignment="1">
      <alignment horizontal="center" vertical="center"/>
    </xf>
    <xf numFmtId="0" fontId="4" fillId="24" borderId="38" xfId="0" applyFont="1" applyFill="1" applyBorder="1" applyAlignment="1">
      <alignment horizontal="left"/>
    </xf>
    <xf numFmtId="0" fontId="5" fillId="24" borderId="38"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3" fillId="16" borderId="38" xfId="0" applyFont="1" applyFill="1" applyBorder="1" applyAlignment="1">
      <alignment horizontal="center"/>
    </xf>
    <xf numFmtId="43" fontId="19" fillId="0" borderId="0" xfId="1" applyFont="1" applyAlignment="1" applyProtection="1">
      <alignment horizontal="center" vertical="center"/>
    </xf>
    <xf numFmtId="14" fontId="4" fillId="0" borderId="0" xfId="0" applyNumberFormat="1" applyFont="1" applyAlignment="1">
      <alignment horizontal="left"/>
    </xf>
    <xf numFmtId="14" fontId="4" fillId="7" borderId="1" xfId="0" applyNumberFormat="1" applyFont="1" applyFill="1" applyBorder="1" applyAlignment="1">
      <alignment horizontal="center"/>
    </xf>
    <xf numFmtId="0" fontId="22" fillId="0" borderId="0" xfId="0" applyFont="1" applyAlignment="1">
      <alignment horizontal="center"/>
    </xf>
    <xf numFmtId="14" fontId="4" fillId="0" borderId="25" xfId="0" applyNumberFormat="1" applyFont="1" applyBorder="1" applyAlignment="1">
      <alignment horizontal="left"/>
    </xf>
    <xf numFmtId="0" fontId="18" fillId="7"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center" vertical="center" wrapText="1"/>
    </xf>
    <xf numFmtId="43" fontId="19" fillId="0" borderId="0" xfId="1" applyFont="1" applyAlignment="1" applyProtection="1">
      <alignment horizontal="left" vertical="center"/>
    </xf>
    <xf numFmtId="0" fontId="19" fillId="12" borderId="23" xfId="0" applyFont="1" applyFill="1" applyBorder="1" applyAlignment="1">
      <alignment horizontal="center" vertical="center"/>
    </xf>
    <xf numFmtId="0" fontId="19" fillId="12" borderId="26" xfId="0" applyFont="1" applyFill="1" applyBorder="1" applyAlignment="1">
      <alignment horizontal="center" vertical="center"/>
    </xf>
    <xf numFmtId="0" fontId="19" fillId="12" borderId="20" xfId="0" applyFont="1" applyFill="1" applyBorder="1" applyAlignment="1">
      <alignment horizontal="center" vertical="center"/>
    </xf>
    <xf numFmtId="43" fontId="18" fillId="12" borderId="13" xfId="1" applyFont="1" applyFill="1" applyBorder="1" applyAlignment="1">
      <alignment horizontal="center" vertical="center"/>
    </xf>
    <xf numFmtId="43" fontId="19" fillId="12" borderId="17" xfId="1" applyFont="1" applyFill="1" applyBorder="1" applyAlignment="1">
      <alignment horizontal="center" vertical="center"/>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0" fontId="18" fillId="7" borderId="17" xfId="0" applyFont="1" applyFill="1" applyBorder="1" applyAlignment="1">
      <alignment horizontal="center" vertical="center"/>
    </xf>
    <xf numFmtId="0" fontId="18" fillId="7" borderId="23" xfId="0" applyFont="1" applyFill="1" applyBorder="1" applyAlignment="1">
      <alignment horizontal="center" vertical="center"/>
    </xf>
    <xf numFmtId="0" fontId="18" fillId="7" borderId="20" xfId="0" applyFont="1" applyFill="1" applyBorder="1" applyAlignment="1">
      <alignment horizontal="center" vertical="center"/>
    </xf>
    <xf numFmtId="43" fontId="18" fillId="7" borderId="1" xfId="1" applyFont="1" applyFill="1" applyBorder="1" applyAlignment="1">
      <alignment horizontal="center" vertical="center"/>
    </xf>
    <xf numFmtId="164" fontId="18" fillId="7" borderId="1" xfId="1" applyNumberFormat="1" applyFont="1" applyFill="1" applyBorder="1" applyAlignment="1">
      <alignment horizontal="center" vertical="center"/>
    </xf>
    <xf numFmtId="0" fontId="19" fillId="12" borderId="27" xfId="0" applyFont="1" applyFill="1" applyBorder="1" applyAlignment="1">
      <alignment horizontal="left" vertical="center" wrapText="1"/>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0" fontId="19" fillId="12" borderId="28" xfId="0" applyFont="1" applyFill="1" applyBorder="1" applyAlignment="1">
      <alignment horizontal="left" vertical="center"/>
    </xf>
    <xf numFmtId="0" fontId="19" fillId="12" borderId="0" xfId="0" applyFont="1" applyFill="1" applyAlignment="1">
      <alignment horizontal="left" vertical="center"/>
    </xf>
    <xf numFmtId="0" fontId="19" fillId="12" borderId="6" xfId="0" applyFont="1" applyFill="1" applyBorder="1" applyAlignment="1">
      <alignment horizontal="left" vertical="center"/>
    </xf>
    <xf numFmtId="0" fontId="18" fillId="12" borderId="28" xfId="0" applyFont="1" applyFill="1" applyBorder="1" applyAlignment="1">
      <alignment horizontal="left" vertical="center"/>
    </xf>
    <xf numFmtId="0" fontId="18" fillId="12" borderId="0" xfId="0" applyFont="1" applyFill="1" applyAlignment="1">
      <alignment horizontal="left" vertical="center"/>
    </xf>
    <xf numFmtId="0" fontId="18" fillId="12" borderId="6" xfId="0" applyFont="1" applyFill="1" applyBorder="1" applyAlignment="1">
      <alignment horizontal="left" vertical="center"/>
    </xf>
    <xf numFmtId="0" fontId="19" fillId="12" borderId="29" xfId="0" applyFont="1" applyFill="1" applyBorder="1" applyAlignment="1">
      <alignment horizontal="left" vertical="center"/>
    </xf>
    <xf numFmtId="0" fontId="19" fillId="12" borderId="25" xfId="0" applyFont="1" applyFill="1" applyBorder="1" applyAlignment="1">
      <alignment horizontal="left" vertical="center"/>
    </xf>
    <xf numFmtId="0" fontId="19" fillId="12" borderId="22" xfId="0" applyFont="1" applyFill="1" applyBorder="1" applyAlignment="1">
      <alignment horizontal="left" vertical="center"/>
    </xf>
    <xf numFmtId="43" fontId="18" fillId="12" borderId="13" xfId="1" applyFont="1" applyFill="1" applyBorder="1" applyAlignment="1" applyProtection="1">
      <alignment horizontal="center" vertical="center"/>
    </xf>
    <xf numFmtId="43" fontId="19" fillId="12" borderId="17" xfId="1" applyFont="1" applyFill="1" applyBorder="1" applyAlignment="1" applyProtection="1">
      <alignment horizontal="center" vertical="center"/>
    </xf>
    <xf numFmtId="0" fontId="39" fillId="7" borderId="23" xfId="0" applyFont="1" applyFill="1" applyBorder="1" applyAlignment="1">
      <alignment horizontal="center" vertical="center" wrapText="1"/>
    </xf>
    <xf numFmtId="0" fontId="39" fillId="7" borderId="20"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wrapText="1"/>
    </xf>
    <xf numFmtId="0" fontId="18" fillId="13" borderId="17"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3" fillId="16" borderId="47" xfId="0" applyFont="1" applyFill="1" applyBorder="1" applyAlignment="1">
      <alignment horizontal="center"/>
    </xf>
    <xf numFmtId="0" fontId="43" fillId="16" borderId="48" xfId="0" applyFont="1" applyFill="1" applyBorder="1" applyAlignment="1">
      <alignment horizontal="center"/>
    </xf>
    <xf numFmtId="14" fontId="18" fillId="0" borderId="0" xfId="0" applyNumberFormat="1" applyFont="1" applyAlignment="1">
      <alignment horizontal="left" vertical="center"/>
    </xf>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14" fontId="4" fillId="0" borderId="0" xfId="0" applyNumberFormat="1" applyFont="1" applyAlignment="1">
      <alignment wrapText="1"/>
    </xf>
    <xf numFmtId="0" fontId="2" fillId="8" borderId="34" xfId="0" applyFont="1" applyFill="1" applyBorder="1" applyAlignment="1">
      <alignment horizontal="center" vertical="center" wrapText="1"/>
    </xf>
    <xf numFmtId="0" fontId="2" fillId="8" borderId="35" xfId="0" applyFont="1" applyFill="1" applyBorder="1" applyAlignment="1">
      <alignment horizontal="center" vertical="center" wrapText="1"/>
    </xf>
    <xf numFmtId="165" fontId="2" fillId="8" borderId="34" xfId="2" applyNumberFormat="1" applyFont="1" applyFill="1" applyBorder="1" applyAlignment="1">
      <alignment horizontal="center" vertical="center" wrapText="1"/>
    </xf>
    <xf numFmtId="165" fontId="4" fillId="8" borderId="36" xfId="2" applyNumberFormat="1" applyFont="1" applyFill="1" applyBorder="1" applyAlignment="1">
      <alignment horizontal="center" vertical="center" wrapText="1"/>
    </xf>
    <xf numFmtId="0" fontId="2" fillId="0" borderId="23" xfId="0" applyFont="1" applyBorder="1" applyAlignment="1">
      <alignment horizontal="left" vertical="center" wrapText="1"/>
    </xf>
    <xf numFmtId="0" fontId="2" fillId="0" borderId="20" xfId="0" applyFont="1" applyBorder="1" applyAlignment="1">
      <alignment horizontal="left" vertical="center" wrapText="1"/>
    </xf>
    <xf numFmtId="165" fontId="2" fillId="2" borderId="23" xfId="2" applyNumberFormat="1" applyFont="1" applyFill="1" applyBorder="1" applyAlignment="1" applyProtection="1">
      <alignment vertical="center"/>
    </xf>
    <xf numFmtId="165" fontId="2" fillId="2" borderId="18" xfId="2" applyNumberFormat="1" applyFont="1" applyFill="1" applyBorder="1" applyAlignment="1" applyProtection="1">
      <alignment vertical="center"/>
    </xf>
    <xf numFmtId="0" fontId="2" fillId="5" borderId="33" xfId="0" applyFont="1" applyFill="1" applyBorder="1" applyAlignment="1">
      <alignment vertical="center" wrapText="1"/>
    </xf>
    <xf numFmtId="0" fontId="2" fillId="5" borderId="26" xfId="0" applyFont="1" applyFill="1" applyBorder="1" applyAlignment="1">
      <alignment vertical="center" wrapText="1"/>
    </xf>
    <xf numFmtId="165" fontId="4" fillId="5" borderId="23" xfId="2" applyNumberFormat="1" applyFont="1" applyFill="1" applyBorder="1" applyAlignment="1" applyProtection="1">
      <alignment vertical="center"/>
    </xf>
    <xf numFmtId="165" fontId="4" fillId="5" borderId="18" xfId="2" applyNumberFormat="1" applyFont="1" applyFill="1" applyBorder="1" applyAlignment="1" applyProtection="1">
      <alignment vertical="center"/>
    </xf>
    <xf numFmtId="0" fontId="3" fillId="0" borderId="27" xfId="0" applyFont="1" applyBorder="1" applyAlignment="1">
      <alignment vertical="top" wrapText="1"/>
    </xf>
    <xf numFmtId="0" fontId="3" fillId="0" borderId="24" xfId="0" applyFont="1" applyBorder="1" applyAlignment="1">
      <alignment vertical="top" wrapText="1"/>
    </xf>
    <xf numFmtId="165" fontId="5" fillId="0" borderId="27" xfId="2" applyNumberFormat="1" applyFont="1" applyFill="1" applyBorder="1" applyAlignment="1" applyProtection="1"/>
    <xf numFmtId="165" fontId="5" fillId="0" borderId="14" xfId="2" applyNumberFormat="1" applyFont="1" applyFill="1" applyBorder="1" applyAlignment="1" applyProtection="1"/>
    <xf numFmtId="0" fontId="5" fillId="0" borderId="28" xfId="0" applyFont="1" applyBorder="1" applyAlignment="1">
      <alignment vertical="top" wrapText="1"/>
    </xf>
    <xf numFmtId="0" fontId="19" fillId="0" borderId="6" xfId="0" applyFont="1" applyBorder="1" applyAlignment="1">
      <alignment vertical="top" wrapText="1"/>
    </xf>
    <xf numFmtId="165" fontId="5" fillId="0" borderId="28" xfId="2" applyNumberFormat="1" applyFont="1" applyFill="1" applyBorder="1" applyAlignment="1" applyProtection="1"/>
    <xf numFmtId="165" fontId="5" fillId="0" borderId="16" xfId="2" applyNumberFormat="1" applyFont="1" applyBorder="1" applyAlignment="1"/>
    <xf numFmtId="0" fontId="3" fillId="0" borderId="28" xfId="0" applyFont="1" applyBorder="1" applyAlignment="1">
      <alignment vertical="top" wrapText="1"/>
    </xf>
    <xf numFmtId="0" fontId="19" fillId="0" borderId="0" xfId="0" applyFont="1" applyAlignment="1">
      <alignment vertical="top" wrapText="1"/>
    </xf>
    <xf numFmtId="165" fontId="5" fillId="0" borderId="16" xfId="2" applyNumberFormat="1" applyFont="1" applyFill="1" applyBorder="1" applyAlignment="1" applyProtection="1"/>
    <xf numFmtId="0" fontId="38" fillId="18" borderId="28" xfId="0" applyFont="1" applyFill="1" applyBorder="1" applyAlignment="1">
      <alignment vertical="top" wrapText="1"/>
    </xf>
    <xf numFmtId="0" fontId="38" fillId="18" borderId="6" xfId="0" applyFont="1" applyFill="1" applyBorder="1" applyAlignment="1">
      <alignment vertical="top" wrapText="1"/>
    </xf>
    <xf numFmtId="165" fontId="5" fillId="18" borderId="28" xfId="2" applyNumberFormat="1" applyFont="1" applyFill="1" applyBorder="1" applyAlignment="1" applyProtection="1"/>
    <xf numFmtId="165" fontId="5" fillId="18" borderId="16" xfId="2" applyNumberFormat="1" applyFont="1" applyFill="1" applyBorder="1" applyAlignment="1" applyProtection="1"/>
    <xf numFmtId="0" fontId="3" fillId="0" borderId="0" xfId="0" applyFont="1" applyAlignment="1">
      <alignment vertical="top" wrapText="1"/>
    </xf>
    <xf numFmtId="0" fontId="3" fillId="0" borderId="28"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3" fillId="0" borderId="25" xfId="0" applyFont="1" applyBorder="1" applyAlignment="1">
      <alignment horizontal="left" vertical="top" wrapText="1"/>
    </xf>
    <xf numFmtId="165" fontId="5" fillId="0" borderId="29" xfId="2" applyNumberFormat="1" applyFont="1" applyFill="1" applyBorder="1" applyAlignment="1" applyProtection="1"/>
    <xf numFmtId="165" fontId="5" fillId="0" borderId="12" xfId="2" applyNumberFormat="1" applyFont="1" applyFill="1" applyBorder="1" applyAlignment="1" applyProtection="1"/>
    <xf numFmtId="0" fontId="3" fillId="0" borderId="23" xfId="0" applyFont="1" applyBorder="1" applyAlignment="1">
      <alignment horizontal="left" vertical="top" wrapText="1"/>
    </xf>
    <xf numFmtId="0" fontId="3" fillId="0" borderId="26" xfId="0" applyFont="1" applyBorder="1" applyAlignment="1">
      <alignment horizontal="left" vertical="top" wrapText="1"/>
    </xf>
    <xf numFmtId="165" fontId="5" fillId="0" borderId="23" xfId="2" applyNumberFormat="1" applyFont="1" applyFill="1" applyBorder="1" applyAlignment="1" applyProtection="1"/>
    <xf numFmtId="165" fontId="5" fillId="0" borderId="18" xfId="2" applyNumberFormat="1" applyFont="1" applyFill="1" applyBorder="1" applyAlignment="1" applyProtection="1"/>
    <xf numFmtId="0" fontId="4" fillId="0" borderId="33" xfId="0" applyFont="1" applyBorder="1" applyAlignment="1">
      <alignment horizontal="left" vertical="top" wrapText="1"/>
    </xf>
    <xf numFmtId="0" fontId="4" fillId="0" borderId="26" xfId="0" applyFont="1" applyBorder="1" applyAlignment="1">
      <alignment horizontal="left" vertical="top" wrapText="1"/>
    </xf>
    <xf numFmtId="0" fontId="4" fillId="0" borderId="20" xfId="0" applyFont="1" applyBorder="1" applyAlignment="1">
      <alignment horizontal="left" vertical="top" wrapText="1"/>
    </xf>
    <xf numFmtId="165" fontId="4" fillId="0" borderId="26" xfId="2" applyNumberFormat="1" applyFont="1" applyBorder="1" applyAlignment="1">
      <alignment vertical="top" wrapText="1"/>
    </xf>
    <xf numFmtId="165" fontId="4" fillId="0" borderId="18" xfId="2" applyNumberFormat="1" applyFont="1" applyBorder="1" applyAlignment="1">
      <alignment vertical="top" wrapText="1"/>
    </xf>
    <xf numFmtId="0" fontId="4" fillId="5" borderId="33" xfId="0" applyFont="1" applyFill="1" applyBorder="1" applyAlignment="1">
      <alignment vertical="center" wrapText="1"/>
    </xf>
    <xf numFmtId="0" fontId="4" fillId="5" borderId="26" xfId="0" applyFont="1" applyFill="1" applyBorder="1" applyAlignment="1">
      <alignment vertical="center" wrapText="1"/>
    </xf>
    <xf numFmtId="0" fontId="4" fillId="5" borderId="20" xfId="0" applyFont="1" applyFill="1" applyBorder="1" applyAlignment="1">
      <alignment vertical="center" wrapText="1"/>
    </xf>
    <xf numFmtId="165" fontId="4" fillId="5" borderId="26" xfId="2" applyNumberFormat="1" applyFont="1" applyFill="1" applyBorder="1" applyAlignment="1">
      <alignment vertical="center" wrapText="1"/>
    </xf>
    <xf numFmtId="165" fontId="4" fillId="5" borderId="18" xfId="2" applyNumberFormat="1" applyFont="1" applyFill="1" applyBorder="1" applyAlignment="1">
      <alignment vertical="center" wrapText="1"/>
    </xf>
    <xf numFmtId="0" fontId="3" fillId="0" borderId="21" xfId="0" applyFont="1" applyBorder="1" applyAlignment="1">
      <alignment vertical="top" wrapText="1"/>
    </xf>
    <xf numFmtId="165" fontId="5" fillId="0" borderId="0" xfId="2" applyNumberFormat="1" applyFont="1" applyBorder="1" applyAlignment="1" applyProtection="1"/>
    <xf numFmtId="165" fontId="5" fillId="0" borderId="16" xfId="2" applyNumberFormat="1" applyFont="1" applyBorder="1" applyAlignment="1" applyProtection="1"/>
    <xf numFmtId="0" fontId="5" fillId="0" borderId="6" xfId="0" applyFont="1" applyBorder="1" applyAlignment="1">
      <alignment vertical="top" wrapText="1"/>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0" borderId="29" xfId="0" applyFont="1" applyBorder="1" applyAlignment="1">
      <alignment vertical="top" wrapText="1"/>
    </xf>
    <xf numFmtId="0" fontId="3" fillId="0" borderId="22" xfId="0" applyFont="1" applyBorder="1" applyAlignment="1">
      <alignment vertical="top"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7" xfId="0" applyFont="1" applyBorder="1" applyAlignment="1">
      <alignment horizontal="center" vertical="center" wrapText="1"/>
    </xf>
    <xf numFmtId="165" fontId="5" fillId="0" borderId="13" xfId="2" applyNumberFormat="1" applyFont="1" applyBorder="1" applyAlignment="1">
      <alignment horizontal="center" vertical="center" wrapText="1"/>
    </xf>
    <xf numFmtId="165" fontId="5" fillId="0" borderId="17" xfId="2" applyNumberFormat="1" applyFont="1" applyBorder="1" applyAlignment="1">
      <alignment horizontal="center" vertical="center" wrapText="1"/>
    </xf>
    <xf numFmtId="0" fontId="2" fillId="5" borderId="33"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33" xfId="0" applyFont="1" applyFill="1" applyBorder="1" applyAlignment="1">
      <alignment horizontal="left" vertical="top" wrapText="1"/>
    </xf>
    <xf numFmtId="0" fontId="2" fillId="5" borderId="26" xfId="0" applyFont="1" applyFill="1" applyBorder="1" applyAlignment="1">
      <alignment horizontal="left" vertical="top" wrapText="1"/>
    </xf>
    <xf numFmtId="0" fontId="2" fillId="5" borderId="20" xfId="0" applyFont="1" applyFill="1" applyBorder="1" applyAlignment="1">
      <alignment horizontal="left" vertical="top" wrapText="1"/>
    </xf>
    <xf numFmtId="0" fontId="8" fillId="3" borderId="23"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20" xfId="0" applyFont="1" applyBorder="1" applyAlignment="1">
      <alignment horizontal="left" vertical="center" wrapText="1"/>
    </xf>
    <xf numFmtId="0" fontId="2" fillId="8" borderId="23" xfId="0" applyFont="1" applyFill="1" applyBorder="1" applyAlignment="1">
      <alignment horizontal="left" vertical="center" wrapText="1"/>
    </xf>
    <xf numFmtId="0" fontId="2" fillId="8" borderId="26" xfId="0" applyFont="1" applyFill="1" applyBorder="1" applyAlignment="1">
      <alignment horizontal="left" vertical="center" wrapText="1"/>
    </xf>
    <xf numFmtId="0" fontId="2" fillId="8" borderId="20" xfId="0" applyFont="1" applyFill="1" applyBorder="1" applyAlignment="1">
      <alignment horizontal="left" vertical="center" wrapText="1"/>
    </xf>
    <xf numFmtId="43" fontId="19" fillId="0" borderId="0" xfId="2" applyFont="1" applyAlignment="1" applyProtection="1">
      <alignment horizontal="center" vertical="center"/>
      <protection locked="0"/>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20" xfId="0" applyFont="1" applyBorder="1" applyAlignment="1">
      <alignment horizontal="left" vertical="center" wrapText="1"/>
    </xf>
    <xf numFmtId="0" fontId="19" fillId="0" borderId="30" xfId="0" applyFont="1" applyBorder="1" applyAlignment="1">
      <alignment horizontal="left"/>
    </xf>
    <xf numFmtId="0" fontId="19" fillId="0" borderId="31" xfId="0" applyFont="1" applyBorder="1" applyAlignment="1">
      <alignment horizontal="left"/>
    </xf>
    <xf numFmtId="0" fontId="19" fillId="0" borderId="32" xfId="0" applyFont="1" applyBorder="1" applyAlignment="1">
      <alignment horizontal="left"/>
    </xf>
    <xf numFmtId="43" fontId="19" fillId="0" borderId="0" xfId="2" applyFont="1" applyAlignment="1" applyProtection="1">
      <alignment horizontal="left" vertical="center"/>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18" fillId="5" borderId="1" xfId="0" applyFont="1" applyFill="1" applyBorder="1" applyAlignment="1">
      <alignment horizontal="left"/>
    </xf>
    <xf numFmtId="0" fontId="18" fillId="8" borderId="1" xfId="0" applyFont="1" applyFill="1" applyBorder="1" applyAlignment="1">
      <alignment horizontal="left" vertical="center"/>
    </xf>
    <xf numFmtId="165" fontId="18" fillId="0" borderId="0" xfId="2" applyNumberFormat="1" applyFont="1" applyBorder="1" applyAlignment="1">
      <alignment horizontal="right"/>
    </xf>
    <xf numFmtId="0" fontId="18" fillId="0" borderId="1" xfId="0" applyFont="1" applyBorder="1" applyAlignment="1">
      <alignment horizontal="center" vertical="center"/>
    </xf>
    <xf numFmtId="165" fontId="18" fillId="0" borderId="1" xfId="2" applyNumberFormat="1" applyFont="1" applyBorder="1" applyAlignment="1">
      <alignment horizontal="center"/>
    </xf>
    <xf numFmtId="0" fontId="5" fillId="5" borderId="1" xfId="0" applyFont="1" applyFill="1" applyBorder="1" applyAlignment="1">
      <alignment horizontal="left" vertical="center" wrapText="1"/>
    </xf>
    <xf numFmtId="0" fontId="18" fillId="0" borderId="0" xfId="0" applyFont="1" applyAlignment="1">
      <alignment horizontal="left" vertical="center"/>
    </xf>
    <xf numFmtId="0" fontId="22" fillId="5" borderId="1" xfId="0" applyFont="1" applyFill="1" applyBorder="1" applyAlignment="1">
      <alignment horizontal="left" vertical="center" wrapText="1"/>
    </xf>
    <xf numFmtId="0" fontId="5" fillId="0" borderId="1" xfId="0" applyFont="1" applyBorder="1" applyAlignment="1">
      <alignment horizontal="left" vertical="center" wrapText="1"/>
    </xf>
    <xf numFmtId="0" fontId="4" fillId="8" borderId="1" xfId="0" applyFont="1" applyFill="1" applyBorder="1" applyAlignment="1">
      <alignment horizontal="left" vertical="center" wrapText="1"/>
    </xf>
    <xf numFmtId="43" fontId="19" fillId="0" borderId="0" xfId="2" applyFont="1" applyAlignment="1" applyProtection="1">
      <alignment horizontal="left" vertical="center"/>
      <protection locked="0"/>
    </xf>
    <xf numFmtId="0" fontId="18" fillId="5" borderId="1" xfId="0" applyFont="1" applyFill="1" applyBorder="1" applyAlignment="1">
      <alignment horizontal="left" vertical="center"/>
    </xf>
    <xf numFmtId="0" fontId="19" fillId="0" borderId="0" xfId="0" applyFont="1" applyAlignment="1">
      <alignment horizontal="left"/>
    </xf>
    <xf numFmtId="0" fontId="4" fillId="5" borderId="1" xfId="0" applyFont="1" applyFill="1" applyBorder="1" applyAlignment="1">
      <alignment horizontal="left" vertical="center" wrapText="1"/>
    </xf>
    <xf numFmtId="165" fontId="4" fillId="7" borderId="1" xfId="2" applyNumberFormat="1" applyFont="1" applyFill="1" applyBorder="1" applyAlignment="1" applyProtection="1">
      <alignment horizontal="center" vertical="center" wrapText="1"/>
    </xf>
    <xf numFmtId="165" fontId="5" fillId="3" borderId="1" xfId="2" applyNumberFormat="1" applyFont="1" applyFill="1" applyBorder="1" applyAlignment="1" applyProtection="1">
      <alignment vertical="center" wrapText="1"/>
    </xf>
    <xf numFmtId="0" fontId="4" fillId="8" borderId="1" xfId="0" applyFont="1" applyFill="1" applyBorder="1" applyAlignment="1">
      <alignment horizontal="center" vertical="center" wrapText="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xf>
    <xf numFmtId="165" fontId="5" fillId="7"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xf>
    <xf numFmtId="165" fontId="4" fillId="7" borderId="1" xfId="2" applyNumberFormat="1" applyFont="1" applyFill="1" applyBorder="1" applyAlignment="1" applyProtection="1">
      <alignment horizontal="center" vertical="center"/>
    </xf>
    <xf numFmtId="165" fontId="5" fillId="7" borderId="1" xfId="2" applyNumberFormat="1" applyFont="1" applyFill="1" applyBorder="1" applyAlignment="1" applyProtection="1">
      <alignment vertical="center" wrapText="1"/>
    </xf>
    <xf numFmtId="165" fontId="4" fillId="3" borderId="1" xfId="2" applyNumberFormat="1" applyFont="1" applyFill="1" applyBorder="1" applyAlignment="1" applyProtection="1">
      <alignment horizontal="center" vertical="center" wrapText="1"/>
    </xf>
    <xf numFmtId="165" fontId="18" fillId="8" borderId="1" xfId="2" applyNumberFormat="1" applyFont="1" applyFill="1" applyBorder="1" applyAlignment="1">
      <alignment horizontal="center" vertical="center"/>
    </xf>
    <xf numFmtId="0" fontId="19" fillId="8" borderId="13" xfId="0" applyFont="1" applyFill="1" applyBorder="1" applyAlignment="1">
      <alignment horizontal="center" vertical="center"/>
    </xf>
    <xf numFmtId="0" fontId="19" fillId="8" borderId="17" xfId="0" applyFont="1" applyFill="1" applyBorder="1" applyAlignment="1">
      <alignment horizontal="center" vertical="center"/>
    </xf>
    <xf numFmtId="165" fontId="19" fillId="8" borderId="13" xfId="2" applyNumberFormat="1" applyFont="1" applyFill="1" applyBorder="1" applyAlignment="1">
      <alignment horizontal="center" vertical="center" wrapText="1"/>
    </xf>
    <xf numFmtId="165" fontId="19" fillId="8" borderId="17" xfId="2" applyNumberFormat="1" applyFont="1" applyFill="1" applyBorder="1" applyAlignment="1">
      <alignment horizontal="center" vertical="center" wrapText="1"/>
    </xf>
    <xf numFmtId="0" fontId="4" fillId="8" borderId="1" xfId="0" applyFont="1" applyFill="1" applyBorder="1" applyAlignment="1">
      <alignment horizontal="center" vertical="center"/>
    </xf>
    <xf numFmtId="0" fontId="4" fillId="8" borderId="1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165" fontId="19" fillId="8" borderId="21" xfId="2" applyNumberFormat="1" applyFont="1" applyFill="1" applyBorder="1" applyAlignment="1">
      <alignment horizontal="center" vertical="center" wrapText="1"/>
    </xf>
    <xf numFmtId="165" fontId="19" fillId="8" borderId="22" xfId="2" applyNumberFormat="1" applyFont="1" applyFill="1" applyBorder="1" applyAlignment="1">
      <alignment horizontal="center" vertical="center" wrapText="1"/>
    </xf>
    <xf numFmtId="165" fontId="19" fillId="8" borderId="15" xfId="2" applyNumberFormat="1" applyFont="1" applyFill="1" applyBorder="1" applyAlignment="1">
      <alignment horizontal="center" vertical="center" wrapText="1"/>
    </xf>
    <xf numFmtId="166" fontId="19" fillId="8" borderId="13" xfId="8" applyNumberFormat="1" applyFont="1" applyFill="1" applyBorder="1" applyAlignment="1">
      <alignment horizontal="center" vertical="center" wrapText="1"/>
    </xf>
    <xf numFmtId="166" fontId="19" fillId="8" borderId="17" xfId="8" applyNumberFormat="1" applyFont="1" applyFill="1" applyBorder="1" applyAlignment="1">
      <alignment horizontal="center" vertical="center" wrapText="1"/>
    </xf>
    <xf numFmtId="0" fontId="28" fillId="0" borderId="0" xfId="0" applyFont="1" applyAlignment="1">
      <alignment horizontal="left" wrapText="1"/>
    </xf>
    <xf numFmtId="165" fontId="22" fillId="0" borderId="24" xfId="2" applyNumberFormat="1" applyFont="1" applyFill="1" applyBorder="1" applyAlignment="1">
      <alignment horizontal="center"/>
    </xf>
    <xf numFmtId="166" fontId="18" fillId="0" borderId="0" xfId="9" applyNumberFormat="1" applyFont="1" applyBorder="1" applyAlignment="1">
      <alignment horizontal="right" vertical="center"/>
    </xf>
    <xf numFmtId="165" fontId="19" fillId="8" borderId="1" xfId="2" applyNumberFormat="1" applyFont="1" applyFill="1" applyBorder="1" applyAlignment="1">
      <alignment horizontal="center" vertical="center" wrapText="1"/>
    </xf>
    <xf numFmtId="166" fontId="19" fillId="8" borderId="1" xfId="8" applyNumberFormat="1" applyFont="1" applyFill="1" applyBorder="1" applyAlignment="1">
      <alignment horizontal="center" vertical="center" wrapText="1"/>
    </xf>
    <xf numFmtId="166" fontId="19" fillId="8" borderId="13" xfId="9" applyNumberFormat="1" applyFont="1" applyFill="1" applyBorder="1" applyAlignment="1">
      <alignment horizontal="center" vertical="center" wrapText="1"/>
    </xf>
    <xf numFmtId="166" fontId="19" fillId="8" borderId="17" xfId="9" applyNumberFormat="1" applyFont="1" applyFill="1" applyBorder="1" applyAlignment="1">
      <alignment horizontal="center" vertical="center" wrapText="1"/>
    </xf>
    <xf numFmtId="0" fontId="19" fillId="8" borderId="23" xfId="0" applyFont="1" applyFill="1" applyBorder="1" applyAlignment="1">
      <alignment horizontal="center" vertical="center"/>
    </xf>
    <xf numFmtId="0" fontId="19" fillId="8" borderId="20" xfId="0" applyFont="1" applyFill="1" applyBorder="1" applyAlignment="1">
      <alignment horizontal="center" vertical="center"/>
    </xf>
    <xf numFmtId="165" fontId="19" fillId="8" borderId="27" xfId="2" applyNumberFormat="1" applyFont="1" applyFill="1" applyBorder="1" applyAlignment="1">
      <alignment horizontal="center" vertical="center" wrapText="1"/>
    </xf>
    <xf numFmtId="165" fontId="19" fillId="8" borderId="29" xfId="2"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18" fillId="0" borderId="0" xfId="0" applyFont="1" applyAlignment="1">
      <alignment horizontal="right"/>
    </xf>
    <xf numFmtId="0" fontId="5" fillId="8" borderId="1" xfId="0" applyFont="1" applyFill="1" applyBorder="1" applyAlignment="1">
      <alignment horizontal="center"/>
    </xf>
    <xf numFmtId="0" fontId="5" fillId="8" borderId="1" xfId="0" applyFont="1" applyFill="1" applyBorder="1" applyAlignment="1">
      <alignment horizontal="center" vertical="center" wrapText="1"/>
    </xf>
    <xf numFmtId="0" fontId="5" fillId="8" borderId="1" xfId="0" applyFont="1" applyFill="1" applyBorder="1" applyAlignment="1">
      <alignment horizontal="center" vertical="center"/>
    </xf>
    <xf numFmtId="0" fontId="5" fillId="8" borderId="1" xfId="0" applyFont="1" applyFill="1" applyBorder="1" applyAlignment="1">
      <alignment horizontal="left" vertical="center"/>
    </xf>
    <xf numFmtId="0" fontId="18" fillId="8" borderId="1" xfId="0" applyFont="1" applyFill="1" applyBorder="1" applyAlignment="1">
      <alignment horizontal="center"/>
    </xf>
    <xf numFmtId="0" fontId="4" fillId="8" borderId="1" xfId="0" applyFont="1" applyFill="1" applyBorder="1" applyAlignment="1">
      <alignment horizontal="center"/>
    </xf>
    <xf numFmtId="0" fontId="23" fillId="10" borderId="0" xfId="0" applyFont="1" applyFill="1" applyAlignment="1">
      <alignment horizontal="center"/>
    </xf>
    <xf numFmtId="165" fontId="23" fillId="0" borderId="0" xfId="2" applyNumberFormat="1" applyFont="1" applyAlignment="1">
      <alignment horizontal="center" wrapText="1"/>
    </xf>
    <xf numFmtId="0" fontId="19" fillId="8" borderId="23" xfId="0" applyFont="1" applyFill="1" applyBorder="1" applyAlignment="1">
      <alignment horizontal="center" vertical="center" wrapText="1"/>
    </xf>
    <xf numFmtId="0" fontId="19" fillId="8" borderId="20" xfId="0" applyFont="1" applyFill="1" applyBorder="1" applyAlignment="1">
      <alignment horizontal="center" vertical="center" wrapText="1"/>
    </xf>
    <xf numFmtId="166" fontId="19" fillId="8" borderId="13" xfId="9" applyNumberFormat="1" applyFont="1" applyFill="1" applyBorder="1" applyAlignment="1">
      <alignment horizontal="center" wrapText="1"/>
    </xf>
    <xf numFmtId="166" fontId="19" fillId="8" borderId="17" xfId="9" applyNumberFormat="1" applyFont="1" applyFill="1" applyBorder="1" applyAlignment="1">
      <alignment horizontal="center" wrapText="1"/>
    </xf>
    <xf numFmtId="165" fontId="19" fillId="8" borderId="13" xfId="2" applyNumberFormat="1" applyFont="1" applyFill="1" applyBorder="1" applyAlignment="1">
      <alignment horizontal="center" vertical="center"/>
    </xf>
    <xf numFmtId="165" fontId="19" fillId="8" borderId="17" xfId="2" applyNumberFormat="1" applyFont="1" applyFill="1" applyBorder="1" applyAlignment="1">
      <alignment horizontal="center" vertical="center"/>
    </xf>
    <xf numFmtId="0" fontId="18" fillId="8" borderId="1" xfId="0" applyFont="1" applyFill="1" applyBorder="1" applyAlignment="1">
      <alignment horizontal="center" vertical="center" wrapText="1"/>
    </xf>
    <xf numFmtId="0" fontId="18" fillId="5" borderId="1" xfId="0" applyFont="1" applyFill="1" applyBorder="1" applyAlignment="1">
      <alignment horizontal="center"/>
    </xf>
    <xf numFmtId="0" fontId="19" fillId="0" borderId="1" xfId="0" applyFont="1" applyBorder="1" applyAlignment="1">
      <alignment horizontal="left"/>
    </xf>
    <xf numFmtId="165" fontId="18" fillId="0" borderId="0" xfId="2" applyNumberFormat="1" applyFont="1" applyBorder="1" applyAlignment="1" applyProtection="1">
      <alignment horizontal="right"/>
    </xf>
    <xf numFmtId="165" fontId="23" fillId="10" borderId="0" xfId="2" applyNumberFormat="1" applyFont="1" applyFill="1" applyBorder="1" applyAlignment="1">
      <alignment horizontal="center"/>
    </xf>
    <xf numFmtId="0" fontId="19" fillId="8" borderId="1" xfId="0" applyFont="1" applyFill="1" applyBorder="1" applyAlignment="1">
      <alignment horizontal="center" vertical="center" wrapText="1"/>
    </xf>
    <xf numFmtId="0" fontId="19" fillId="8" borderId="1" xfId="0" applyFont="1" applyFill="1" applyBorder="1" applyAlignment="1">
      <alignment horizontal="center" vertical="center"/>
    </xf>
    <xf numFmtId="14" fontId="18" fillId="0" borderId="0" xfId="0" applyNumberFormat="1" applyFont="1" applyAlignment="1">
      <alignment horizontal="center"/>
    </xf>
    <xf numFmtId="166" fontId="19" fillId="8" borderId="1" xfId="9" applyNumberFormat="1" applyFont="1" applyFill="1" applyBorder="1" applyAlignment="1">
      <alignment horizontal="center" vertical="center" wrapText="1"/>
    </xf>
    <xf numFmtId="0" fontId="18"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0" fontId="18" fillId="0" borderId="1" xfId="0" applyFont="1" applyBorder="1" applyAlignment="1">
      <alignment horizontal="center"/>
    </xf>
    <xf numFmtId="166" fontId="19" fillId="8" borderId="1" xfId="8" applyNumberFormat="1" applyFont="1" applyFill="1" applyBorder="1" applyAlignment="1">
      <alignment horizontal="right"/>
    </xf>
    <xf numFmtId="0" fontId="12" fillId="0" borderId="0" xfId="5" applyFont="1" applyAlignment="1">
      <alignment horizontal="center"/>
    </xf>
    <xf numFmtId="0" fontId="41"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0" fontId="29" fillId="0" borderId="0" xfId="0" applyFont="1" applyAlignment="1">
      <alignment horizontal="center" vertical="center"/>
    </xf>
    <xf numFmtId="165" fontId="28" fillId="8" borderId="27" xfId="1" applyNumberFormat="1" applyFont="1" applyFill="1" applyBorder="1" applyAlignment="1" applyProtection="1">
      <alignment horizontal="center" vertical="center"/>
    </xf>
    <xf numFmtId="165" fontId="28" fillId="8" borderId="24" xfId="1" applyNumberFormat="1" applyFont="1" applyFill="1" applyBorder="1" applyAlignment="1" applyProtection="1">
      <alignment horizontal="center" vertical="center"/>
    </xf>
    <xf numFmtId="165" fontId="28" fillId="8" borderId="28" xfId="1" applyNumberFormat="1" applyFont="1" applyFill="1" applyBorder="1" applyAlignment="1" applyProtection="1">
      <alignment horizontal="center" vertical="center"/>
    </xf>
    <xf numFmtId="165" fontId="28" fillId="8" borderId="0" xfId="1" applyNumberFormat="1" applyFont="1" applyFill="1" applyBorder="1" applyAlignment="1" applyProtection="1">
      <alignment horizontal="center" vertical="center"/>
    </xf>
    <xf numFmtId="165" fontId="28" fillId="8" borderId="29" xfId="1" applyNumberFormat="1" applyFont="1" applyFill="1" applyBorder="1" applyAlignment="1" applyProtection="1">
      <alignment horizontal="center" vertical="center"/>
    </xf>
    <xf numFmtId="165" fontId="28" fillId="8" borderId="25" xfId="1" applyNumberFormat="1" applyFont="1" applyFill="1" applyBorder="1" applyAlignment="1" applyProtection="1">
      <alignment horizontal="center" vertical="center"/>
    </xf>
    <xf numFmtId="0" fontId="13" fillId="8" borderId="1" xfId="5" applyFont="1" applyFill="1" applyBorder="1" applyAlignment="1">
      <alignment horizontal="center" vertical="center" wrapText="1"/>
    </xf>
    <xf numFmtId="0" fontId="35" fillId="8" borderId="23" xfId="0" applyFont="1" applyFill="1" applyBorder="1" applyAlignment="1">
      <alignment horizontal="left" wrapText="1"/>
    </xf>
    <xf numFmtId="0" fontId="35" fillId="8" borderId="26" xfId="0" applyFont="1" applyFill="1" applyBorder="1" applyAlignment="1">
      <alignment horizontal="left" wrapText="1"/>
    </xf>
    <xf numFmtId="0" fontId="35" fillId="8" borderId="20" xfId="0" applyFont="1" applyFill="1" applyBorder="1" applyAlignment="1">
      <alignment horizontal="left" wrapText="1"/>
    </xf>
    <xf numFmtId="165" fontId="28" fillId="8" borderId="21" xfId="1" applyNumberFormat="1" applyFont="1" applyFill="1" applyBorder="1" applyAlignment="1" applyProtection="1">
      <alignment horizontal="center" vertical="center"/>
    </xf>
    <xf numFmtId="165" fontId="28" fillId="8" borderId="6" xfId="1" applyNumberFormat="1" applyFont="1" applyFill="1" applyBorder="1" applyAlignment="1" applyProtection="1">
      <alignment horizontal="center" vertical="center"/>
    </xf>
    <xf numFmtId="165" fontId="28" fillId="8" borderId="22" xfId="1" applyNumberFormat="1" applyFont="1" applyFill="1" applyBorder="1" applyAlignment="1" applyProtection="1">
      <alignment horizontal="center" vertical="center"/>
    </xf>
    <xf numFmtId="0" fontId="13" fillId="8" borderId="13" xfId="5" applyFont="1" applyFill="1" applyBorder="1" applyAlignment="1">
      <alignment horizontal="center" vertical="center" wrapText="1"/>
    </xf>
    <xf numFmtId="0" fontId="13" fillId="8" borderId="15" xfId="5" applyFont="1" applyFill="1" applyBorder="1" applyAlignment="1">
      <alignment horizontal="center" vertical="center" wrapText="1"/>
    </xf>
    <xf numFmtId="166" fontId="28" fillId="8" borderId="1" xfId="8" applyNumberFormat="1" applyFont="1" applyFill="1" applyBorder="1" applyAlignment="1" applyProtection="1">
      <alignment horizontal="center" vertical="center" wrapText="1"/>
    </xf>
    <xf numFmtId="0" fontId="41" fillId="0" borderId="0" xfId="0" applyFont="1" applyAlignment="1">
      <alignment horizontal="right" vertical="center" wrapText="1"/>
    </xf>
    <xf numFmtId="0" fontId="28" fillId="8" borderId="1" xfId="0" applyFont="1" applyFill="1" applyBorder="1" applyAlignment="1">
      <alignment horizontal="center" vertical="center" wrapText="1"/>
    </xf>
    <xf numFmtId="166" fontId="13" fillId="8" borderId="1" xfId="8" applyNumberFormat="1" applyFont="1" applyFill="1" applyBorder="1" applyAlignment="1" applyProtection="1">
      <alignment horizontal="center" vertical="center" wrapText="1"/>
    </xf>
    <xf numFmtId="0" fontId="28" fillId="0" borderId="0" xfId="0" applyFont="1" applyAlignment="1">
      <alignment horizontal="left"/>
    </xf>
    <xf numFmtId="0" fontId="18" fillId="8" borderId="1" xfId="0" applyFont="1" applyFill="1" applyBorder="1" applyAlignment="1">
      <alignment horizontal="center" vertical="top" wrapText="1"/>
    </xf>
    <xf numFmtId="165" fontId="19" fillId="8" borderId="1" xfId="2" applyNumberFormat="1" applyFont="1" applyFill="1" applyBorder="1" applyAlignment="1">
      <alignment horizontal="center" vertical="top" wrapText="1"/>
    </xf>
    <xf numFmtId="9" fontId="19" fillId="8" borderId="1" xfId="9" applyFont="1" applyFill="1" applyBorder="1" applyAlignment="1">
      <alignment horizontal="center" vertical="center"/>
    </xf>
    <xf numFmtId="165" fontId="19" fillId="8" borderId="1" xfId="2" applyNumberFormat="1" applyFont="1" applyFill="1" applyBorder="1" applyAlignment="1">
      <alignment horizontal="center" wrapText="1"/>
    </xf>
    <xf numFmtId="165" fontId="42" fillId="8" borderId="1" xfId="2" applyNumberFormat="1" applyFont="1" applyFill="1" applyBorder="1" applyAlignment="1">
      <alignment horizontal="center" vertical="center" wrapText="1"/>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312/gEenE/Bank-bus-sanhuugiin-AANB-iim-uil-ajillagaand-murduh-NBB-juram-(1).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tabSelected="1" workbookViewId="0">
      <selection activeCell="A2" sqref="A2"/>
    </sheetView>
  </sheetViews>
  <sheetFormatPr defaultRowHeight="12.75"/>
  <cols>
    <col min="1" max="1" width="117.42578125" style="3" bestFit="1" customWidth="1"/>
    <col min="2" max="16384" width="9.140625" style="3"/>
  </cols>
  <sheetData>
    <row r="1" spans="1:1" ht="51.75" thickBot="1">
      <c r="A1" s="403" t="s">
        <v>605</v>
      </c>
    </row>
    <row r="2" spans="1:1" ht="41.25" thickBot="1">
      <c r="A2" s="410" t="s">
        <v>599</v>
      </c>
    </row>
    <row r="3" spans="1:1">
      <c r="A3" s="403"/>
    </row>
    <row r="4" spans="1:1">
      <c r="A4" s="9" t="s">
        <v>589</v>
      </c>
    </row>
    <row r="5" spans="1:1">
      <c r="A5" s="3" t="s">
        <v>1488</v>
      </c>
    </row>
    <row r="6" spans="1:1">
      <c r="A6" s="3" t="s">
        <v>1489</v>
      </c>
    </row>
    <row r="7" spans="1:1">
      <c r="A7" s="3" t="s">
        <v>581</v>
      </c>
    </row>
    <row r="8" spans="1:1">
      <c r="A8" s="3" t="s">
        <v>580</v>
      </c>
    </row>
    <row r="9" spans="1:1">
      <c r="A9" s="3" t="s">
        <v>606</v>
      </c>
    </row>
    <row r="10" spans="1:1" ht="18.75">
      <c r="A10" s="944" t="s">
        <v>1487</v>
      </c>
    </row>
    <row r="11" spans="1:1">
      <c r="A11" s="3" t="s">
        <v>597</v>
      </c>
    </row>
    <row r="12" spans="1:1">
      <c r="A12" s="3" t="s">
        <v>598</v>
      </c>
    </row>
    <row r="13" spans="1:1">
      <c r="A13" s="669" t="s">
        <v>1479</v>
      </c>
    </row>
    <row r="14" spans="1:1">
      <c r="A14" s="419" t="s">
        <v>616</v>
      </c>
    </row>
    <row r="15" spans="1:1" ht="14.25">
      <c r="A15" s="14" t="s">
        <v>1491</v>
      </c>
    </row>
    <row r="16" spans="1:1" ht="27">
      <c r="A16" s="962" t="s">
        <v>1496</v>
      </c>
    </row>
    <row r="17" spans="1:1" ht="25.5">
      <c r="A17" s="670" t="s">
        <v>1497</v>
      </c>
    </row>
    <row r="18" spans="1:1">
      <c r="A18" s="403"/>
    </row>
    <row r="19" spans="1:1">
      <c r="A19" s="403"/>
    </row>
    <row r="20" spans="1:1">
      <c r="A20" s="403"/>
    </row>
    <row r="21" spans="1:1">
      <c r="A21" s="404"/>
    </row>
    <row r="22" spans="1:1">
      <c r="A22" s="405"/>
    </row>
    <row r="23" spans="1:1">
      <c r="A23" s="404"/>
    </row>
    <row r="24" spans="1:1">
      <c r="A24" s="405"/>
    </row>
    <row r="25" spans="1:1">
      <c r="A25" s="406"/>
    </row>
    <row r="26" spans="1:1">
      <c r="A26" s="403"/>
    </row>
    <row r="27" spans="1:1">
      <c r="A27" s="403"/>
    </row>
    <row r="28" spans="1:1">
      <c r="A28" s="403"/>
    </row>
    <row r="29" spans="1:1">
      <c r="A29" s="403"/>
    </row>
    <row r="30" spans="1:1">
      <c r="A30" s="403"/>
    </row>
    <row r="31" spans="1:1">
      <c r="A31" s="406"/>
    </row>
    <row r="32" spans="1:1">
      <c r="A32" s="403"/>
    </row>
    <row r="33" spans="1:1">
      <c r="A33" s="403"/>
    </row>
    <row r="34" spans="1:1">
      <c r="A34" s="406"/>
    </row>
    <row r="35" spans="1:1">
      <c r="A35" s="404"/>
    </row>
    <row r="36" spans="1:1">
      <c r="A36" s="405"/>
    </row>
    <row r="37" spans="1:1">
      <c r="A37" s="406"/>
    </row>
    <row r="38" spans="1:1">
      <c r="A38" s="403"/>
    </row>
    <row r="39" spans="1:1">
      <c r="A39" s="405"/>
    </row>
    <row r="40" spans="1:1">
      <c r="A40" s="404"/>
    </row>
    <row r="41" spans="1:1">
      <c r="A41" s="415"/>
    </row>
    <row r="42" spans="1:1">
      <c r="A42" s="405"/>
    </row>
  </sheetData>
  <sheetProtection algorithmName="SHA-512" hashValue="oLyAHyoxpB9oNFFe8PifCyz83EHajQ/dLMdcywyRlJer3uQ0O1uBxtbNqThhRZDZJIdMaHzLBfR0r7CUxTu9Lg==" saltValue="ahNMtoGXskZ17x3gINi6Dg==" spinCount="100000" sheet="1" objects="1" scenarios="1"/>
  <hyperlinks>
    <hyperlink ref="A13" r:id="rId1"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80"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89.5703125" style="3" bestFit="1" customWidth="1"/>
    <col min="4" max="4" width="22.28515625" style="453" customWidth="1"/>
    <col min="5" max="16384" width="9.140625" style="3"/>
  </cols>
  <sheetData>
    <row r="2" spans="1:6">
      <c r="A2" s="982" t="s">
        <v>136</v>
      </c>
      <c r="B2" s="982"/>
      <c r="C2" s="982"/>
      <c r="D2" s="982"/>
      <c r="E2" s="982"/>
      <c r="F2" s="982"/>
    </row>
    <row r="3" spans="1:6">
      <c r="A3" s="990" t="str">
        <f>+GB!A3</f>
        <v xml:space="preserve">БАНК БУС САНХҮҮГИЙН БАЙГУУЛЛАГЫН НЭР </v>
      </c>
      <c r="B3" s="990"/>
      <c r="C3" s="990"/>
      <c r="D3" s="990"/>
      <c r="E3" s="990"/>
      <c r="F3" s="990"/>
    </row>
    <row r="4" spans="1:6">
      <c r="A4" s="982" t="str">
        <f>+GB!A4</f>
        <v>БАНК БУС САНХҮҮГИЙН БАЙГУУЛЛАГА</v>
      </c>
      <c r="B4" s="982"/>
      <c r="C4" s="982"/>
      <c r="D4" s="982"/>
      <c r="E4" s="982"/>
      <c r="F4" s="982"/>
    </row>
    <row r="5" spans="1:6">
      <c r="A5" s="494"/>
      <c r="B5" s="494"/>
      <c r="C5" s="494"/>
      <c r="D5" s="2"/>
      <c r="E5" s="2"/>
      <c r="F5" s="2"/>
    </row>
    <row r="6" spans="1:6">
      <c r="B6" s="585">
        <f>+GB!A6</f>
        <v>45716</v>
      </c>
      <c r="D6" s="584" t="s">
        <v>41</v>
      </c>
    </row>
    <row r="7" spans="1:6">
      <c r="B7" s="495" t="s">
        <v>43</v>
      </c>
      <c r="C7" s="496" t="s">
        <v>1429</v>
      </c>
      <c r="D7" s="497"/>
    </row>
    <row r="8" spans="1:6">
      <c r="B8" s="525">
        <v>41000000</v>
      </c>
      <c r="C8" s="526" t="s">
        <v>883</v>
      </c>
      <c r="D8" s="527">
        <f>SUM(D9,D12,D15,D22,D37,-D42)</f>
        <v>0</v>
      </c>
    </row>
    <row r="9" spans="1:6">
      <c r="B9" s="496">
        <v>41100000</v>
      </c>
      <c r="C9" s="495" t="s">
        <v>884</v>
      </c>
      <c r="D9" s="498">
        <f>+GB!H457</f>
        <v>0</v>
      </c>
    </row>
    <row r="10" spans="1:6">
      <c r="B10" s="499">
        <v>41110000</v>
      </c>
      <c r="C10" s="500" t="s">
        <v>885</v>
      </c>
      <c r="D10" s="476">
        <f>+GB!H458</f>
        <v>0</v>
      </c>
    </row>
    <row r="11" spans="1:6">
      <c r="B11" s="499">
        <v>41120000</v>
      </c>
      <c r="C11" s="500" t="s">
        <v>886</v>
      </c>
      <c r="D11" s="476">
        <f>+GB!H459</f>
        <v>0</v>
      </c>
    </row>
    <row r="12" spans="1:6">
      <c r="B12" s="496">
        <v>41200000</v>
      </c>
      <c r="C12" s="495" t="s">
        <v>887</v>
      </c>
      <c r="D12" s="498">
        <f>+GB!H460</f>
        <v>0</v>
      </c>
    </row>
    <row r="13" spans="1:6">
      <c r="B13" s="499">
        <v>41210000</v>
      </c>
      <c r="C13" s="500" t="s">
        <v>888</v>
      </c>
      <c r="D13" s="476">
        <f>+GB!H461</f>
        <v>0</v>
      </c>
    </row>
    <row r="14" spans="1:6">
      <c r="B14" s="499">
        <v>41220000</v>
      </c>
      <c r="C14" s="500" t="s">
        <v>889</v>
      </c>
      <c r="D14" s="476">
        <f>+GB!H462</f>
        <v>0</v>
      </c>
    </row>
    <row r="15" spans="1:6">
      <c r="B15" s="496">
        <v>41300000</v>
      </c>
      <c r="C15" s="495" t="s">
        <v>84</v>
      </c>
      <c r="D15" s="498">
        <f>+GB!H463</f>
        <v>0</v>
      </c>
    </row>
    <row r="16" spans="1:6">
      <c r="B16" s="499">
        <v>41310000</v>
      </c>
      <c r="C16" s="500" t="s">
        <v>47</v>
      </c>
      <c r="D16" s="476">
        <f>+GB!H464</f>
        <v>0</v>
      </c>
    </row>
    <row r="17" spans="2:4">
      <c r="B17" s="499">
        <v>41320000</v>
      </c>
      <c r="C17" s="500" t="s">
        <v>745</v>
      </c>
      <c r="D17" s="476">
        <f>+GB!H465</f>
        <v>0</v>
      </c>
    </row>
    <row r="18" spans="2:4">
      <c r="B18" s="499">
        <v>41330000</v>
      </c>
      <c r="C18" s="500" t="s">
        <v>795</v>
      </c>
      <c r="D18" s="476">
        <f>+GB!H466</f>
        <v>0</v>
      </c>
    </row>
    <row r="19" spans="2:4">
      <c r="B19" s="499">
        <v>41340000</v>
      </c>
      <c r="C19" s="500" t="s">
        <v>804</v>
      </c>
      <c r="D19" s="476">
        <f>+GB!H467</f>
        <v>0</v>
      </c>
    </row>
    <row r="20" spans="2:4">
      <c r="B20" s="499">
        <v>41350000</v>
      </c>
      <c r="C20" s="500" t="s">
        <v>805</v>
      </c>
      <c r="D20" s="476">
        <f>+GB!H468</f>
        <v>0</v>
      </c>
    </row>
    <row r="21" spans="2:4">
      <c r="B21" s="499">
        <v>41360000</v>
      </c>
      <c r="C21" s="500" t="s">
        <v>50</v>
      </c>
      <c r="D21" s="476">
        <f>+GB!H469</f>
        <v>0</v>
      </c>
    </row>
    <row r="22" spans="2:4">
      <c r="B22" s="496">
        <v>41400000</v>
      </c>
      <c r="C22" s="495" t="s">
        <v>890</v>
      </c>
      <c r="D22" s="498">
        <f>+GB!H470</f>
        <v>0</v>
      </c>
    </row>
    <row r="23" spans="2:4">
      <c r="B23" s="499">
        <v>41410000</v>
      </c>
      <c r="C23" s="501" t="s">
        <v>891</v>
      </c>
      <c r="D23" s="502">
        <f>+GB!H471</f>
        <v>0</v>
      </c>
    </row>
    <row r="24" spans="2:4">
      <c r="B24" s="499">
        <v>41411000</v>
      </c>
      <c r="C24" s="500" t="s">
        <v>746</v>
      </c>
      <c r="D24" s="476">
        <f>+GB!H472</f>
        <v>0</v>
      </c>
    </row>
    <row r="25" spans="2:4">
      <c r="B25" s="499">
        <v>41412000</v>
      </c>
      <c r="C25" s="500" t="s">
        <v>892</v>
      </c>
      <c r="D25" s="476">
        <f>+GB!H473</f>
        <v>0</v>
      </c>
    </row>
    <row r="26" spans="2:4">
      <c r="B26" s="499">
        <v>41413000</v>
      </c>
      <c r="C26" s="500" t="s">
        <v>893</v>
      </c>
      <c r="D26" s="476">
        <f>+GB!H474</f>
        <v>0</v>
      </c>
    </row>
    <row r="27" spans="2:4">
      <c r="B27" s="499">
        <v>41414000</v>
      </c>
      <c r="C27" s="500" t="s">
        <v>894</v>
      </c>
      <c r="D27" s="476">
        <f>+GB!H475</f>
        <v>0</v>
      </c>
    </row>
    <row r="28" spans="2:4">
      <c r="B28" s="499">
        <v>41415000</v>
      </c>
      <c r="C28" s="500" t="s">
        <v>752</v>
      </c>
      <c r="D28" s="476">
        <f>+GB!H476</f>
        <v>0</v>
      </c>
    </row>
    <row r="29" spans="2:4">
      <c r="B29" s="499">
        <v>41416000</v>
      </c>
      <c r="C29" s="500" t="s">
        <v>53</v>
      </c>
      <c r="D29" s="476">
        <f>+GB!H477</f>
        <v>0</v>
      </c>
    </row>
    <row r="30" spans="2:4">
      <c r="B30" s="499">
        <v>41420000</v>
      </c>
      <c r="C30" s="501" t="s">
        <v>895</v>
      </c>
      <c r="D30" s="502">
        <f>+GB!H478</f>
        <v>0</v>
      </c>
    </row>
    <row r="31" spans="2:4">
      <c r="B31" s="499">
        <v>41421000</v>
      </c>
      <c r="C31" s="500" t="s">
        <v>896</v>
      </c>
      <c r="D31" s="476">
        <f>+GB!H479</f>
        <v>0</v>
      </c>
    </row>
    <row r="32" spans="2:4">
      <c r="B32" s="499">
        <v>41422000</v>
      </c>
      <c r="C32" s="500" t="s">
        <v>897</v>
      </c>
      <c r="D32" s="476">
        <f>+GB!H480</f>
        <v>0</v>
      </c>
    </row>
    <row r="33" spans="2:4">
      <c r="B33" s="499">
        <v>41430000</v>
      </c>
      <c r="C33" s="501" t="s">
        <v>898</v>
      </c>
      <c r="D33" s="502">
        <f>+GB!H481</f>
        <v>0</v>
      </c>
    </row>
    <row r="34" spans="2:4">
      <c r="B34" s="499">
        <v>41440000</v>
      </c>
      <c r="C34" s="501" t="s">
        <v>721</v>
      </c>
      <c r="D34" s="502">
        <f>+GB!H482</f>
        <v>0</v>
      </c>
    </row>
    <row r="35" spans="2:4">
      <c r="B35" s="499">
        <v>41450000</v>
      </c>
      <c r="C35" s="501" t="s">
        <v>899</v>
      </c>
      <c r="D35" s="502">
        <f>+GB!H483</f>
        <v>0</v>
      </c>
    </row>
    <row r="36" spans="2:4">
      <c r="B36" s="499">
        <v>41460000</v>
      </c>
      <c r="C36" s="501" t="s">
        <v>900</v>
      </c>
      <c r="D36" s="502">
        <f>+GB!H484</f>
        <v>0</v>
      </c>
    </row>
    <row r="37" spans="2:4">
      <c r="B37" s="496">
        <v>41500000</v>
      </c>
      <c r="C37" s="495" t="s">
        <v>901</v>
      </c>
      <c r="D37" s="498">
        <f>+GB!H485</f>
        <v>0</v>
      </c>
    </row>
    <row r="38" spans="2:4">
      <c r="B38" s="499">
        <v>41510000</v>
      </c>
      <c r="C38" s="503" t="s">
        <v>902</v>
      </c>
      <c r="D38" s="502">
        <f>+GB!H486</f>
        <v>0</v>
      </c>
    </row>
    <row r="39" spans="2:4">
      <c r="B39" s="499">
        <v>41520000</v>
      </c>
      <c r="C39" s="503" t="s">
        <v>903</v>
      </c>
      <c r="D39" s="502">
        <f>+GB!H487</f>
        <v>0</v>
      </c>
    </row>
    <row r="40" spans="2:4">
      <c r="B40" s="499">
        <v>41530000</v>
      </c>
      <c r="C40" s="503" t="s">
        <v>904</v>
      </c>
      <c r="D40" s="502">
        <f>+GB!H488</f>
        <v>0</v>
      </c>
    </row>
    <row r="41" spans="2:4">
      <c r="B41" s="499">
        <v>41540000</v>
      </c>
      <c r="C41" s="503" t="s">
        <v>901</v>
      </c>
      <c r="D41" s="502">
        <f>+GB!H489</f>
        <v>0</v>
      </c>
    </row>
    <row r="42" spans="2:4">
      <c r="B42" s="504">
        <v>41600000</v>
      </c>
      <c r="C42" s="505" t="s">
        <v>72</v>
      </c>
      <c r="D42" s="506">
        <f>+GB!H490</f>
        <v>0</v>
      </c>
    </row>
    <row r="43" spans="2:4">
      <c r="B43" s="525">
        <v>51000000</v>
      </c>
      <c r="C43" s="526" t="s">
        <v>1015</v>
      </c>
      <c r="D43" s="527">
        <f>SUM(D44,D58,D64,D68,-D71)</f>
        <v>0</v>
      </c>
    </row>
    <row r="44" spans="2:4">
      <c r="B44" s="496">
        <v>51100000</v>
      </c>
      <c r="C44" s="495" t="s">
        <v>1016</v>
      </c>
      <c r="D44" s="498">
        <f>+GB!D1553</f>
        <v>0</v>
      </c>
    </row>
    <row r="45" spans="2:4" ht="13.5">
      <c r="B45" s="499">
        <v>51110000</v>
      </c>
      <c r="C45" s="507" t="s">
        <v>1017</v>
      </c>
      <c r="D45" s="508">
        <f>+GB!D1554</f>
        <v>0</v>
      </c>
    </row>
    <row r="46" spans="2:4">
      <c r="B46" s="499">
        <v>51111000</v>
      </c>
      <c r="C46" s="500" t="s">
        <v>716</v>
      </c>
      <c r="D46" s="476">
        <f>+GB!D1555</f>
        <v>0</v>
      </c>
    </row>
    <row r="47" spans="2:4">
      <c r="B47" s="499">
        <v>51111100</v>
      </c>
      <c r="C47" s="500" t="s">
        <v>796</v>
      </c>
      <c r="D47" s="476">
        <f>+GB!D1556</f>
        <v>0</v>
      </c>
    </row>
    <row r="48" spans="2:4">
      <c r="B48" s="499">
        <v>51111200</v>
      </c>
      <c r="C48" s="500" t="s">
        <v>799</v>
      </c>
      <c r="D48" s="476">
        <f>+GB!D1557</f>
        <v>0</v>
      </c>
    </row>
    <row r="49" spans="1:4">
      <c r="B49" s="499">
        <v>51111300</v>
      </c>
      <c r="C49" s="500" t="s">
        <v>54</v>
      </c>
      <c r="D49" s="476">
        <f>+GB!D1558</f>
        <v>0</v>
      </c>
    </row>
    <row r="50" spans="1:4">
      <c r="B50" s="499">
        <v>51111400</v>
      </c>
      <c r="C50" s="500" t="s">
        <v>1018</v>
      </c>
      <c r="D50" s="476">
        <f>+GB!D1559</f>
        <v>0</v>
      </c>
    </row>
    <row r="51" spans="1:4">
      <c r="B51" s="499">
        <v>51111500</v>
      </c>
      <c r="C51" s="500" t="s">
        <v>1019</v>
      </c>
      <c r="D51" s="476">
        <f>+GB!D1560</f>
        <v>0</v>
      </c>
    </row>
    <row r="52" spans="1:4">
      <c r="B52" s="499">
        <v>51112000</v>
      </c>
      <c r="C52" s="500" t="s">
        <v>717</v>
      </c>
      <c r="D52" s="476">
        <f>+GB!D1561</f>
        <v>0</v>
      </c>
    </row>
    <row r="53" spans="1:4">
      <c r="B53" s="499">
        <v>51112100</v>
      </c>
      <c r="C53" s="500" t="s">
        <v>796</v>
      </c>
      <c r="D53" s="476">
        <f>+GB!D1562</f>
        <v>0</v>
      </c>
    </row>
    <row r="54" spans="1:4">
      <c r="B54" s="499">
        <v>51112200</v>
      </c>
      <c r="C54" s="500" t="s">
        <v>799</v>
      </c>
      <c r="D54" s="476">
        <f>+GB!D1563</f>
        <v>0</v>
      </c>
    </row>
    <row r="55" spans="1:4">
      <c r="B55" s="499">
        <v>51112300</v>
      </c>
      <c r="C55" s="500" t="s">
        <v>54</v>
      </c>
      <c r="D55" s="476">
        <f>+GB!D1564</f>
        <v>0</v>
      </c>
    </row>
    <row r="56" spans="1:4">
      <c r="B56" s="499">
        <v>51112400</v>
      </c>
      <c r="C56" s="500" t="s">
        <v>826</v>
      </c>
      <c r="D56" s="476">
        <f>+GB!D1565</f>
        <v>0</v>
      </c>
    </row>
    <row r="57" spans="1:4">
      <c r="A57" s="10"/>
      <c r="B57" s="499">
        <v>51112500</v>
      </c>
      <c r="C57" s="500" t="s">
        <v>1019</v>
      </c>
      <c r="D57" s="476">
        <f>+GB!D1566</f>
        <v>0</v>
      </c>
    </row>
    <row r="58" spans="1:4">
      <c r="B58" s="496">
        <v>51200000</v>
      </c>
      <c r="C58" s="495" t="s">
        <v>1020</v>
      </c>
      <c r="D58" s="498">
        <f>+GB!D1567</f>
        <v>0</v>
      </c>
    </row>
    <row r="59" spans="1:4">
      <c r="B59" s="499">
        <v>51210000</v>
      </c>
      <c r="C59" s="500" t="s">
        <v>1021</v>
      </c>
      <c r="D59" s="476">
        <f>+GB!D1568</f>
        <v>0</v>
      </c>
    </row>
    <row r="60" spans="1:4">
      <c r="B60" s="499">
        <v>51220000</v>
      </c>
      <c r="C60" s="500" t="s">
        <v>1022</v>
      </c>
      <c r="D60" s="476">
        <f>+GB!D1569</f>
        <v>0</v>
      </c>
    </row>
    <row r="61" spans="1:4">
      <c r="B61" s="499">
        <v>51230000</v>
      </c>
      <c r="C61" s="509" t="s">
        <v>1023</v>
      </c>
      <c r="D61" s="510">
        <f>+GB!D1570</f>
        <v>0</v>
      </c>
    </row>
    <row r="62" spans="1:4">
      <c r="B62" s="499">
        <v>51240000</v>
      </c>
      <c r="C62" s="500" t="s">
        <v>1024</v>
      </c>
      <c r="D62" s="476">
        <f>+GB!D1571</f>
        <v>0</v>
      </c>
    </row>
    <row r="63" spans="1:4">
      <c r="B63" s="499">
        <v>51250000</v>
      </c>
      <c r="C63" s="500" t="s">
        <v>1025</v>
      </c>
      <c r="D63" s="474">
        <f>+GB!D1572</f>
        <v>0</v>
      </c>
    </row>
    <row r="64" spans="1:4">
      <c r="B64" s="496">
        <v>51300000</v>
      </c>
      <c r="C64" s="495" t="s">
        <v>1026</v>
      </c>
      <c r="D64" s="498">
        <f>+GB!D1573</f>
        <v>0</v>
      </c>
    </row>
    <row r="65" spans="2:4">
      <c r="B65" s="499">
        <v>51310000</v>
      </c>
      <c r="C65" s="500" t="s">
        <v>1027</v>
      </c>
      <c r="D65" s="476">
        <f>+GB!D1574</f>
        <v>0</v>
      </c>
    </row>
    <row r="66" spans="2:4">
      <c r="B66" s="499">
        <v>51320000</v>
      </c>
      <c r="C66" s="500" t="s">
        <v>1028</v>
      </c>
      <c r="D66" s="476">
        <f>+GB!D1575</f>
        <v>0</v>
      </c>
    </row>
    <row r="67" spans="2:4">
      <c r="B67" s="499">
        <v>51330000</v>
      </c>
      <c r="C67" s="500" t="s">
        <v>1430</v>
      </c>
      <c r="D67" s="476">
        <f>+GB!D1576</f>
        <v>0</v>
      </c>
    </row>
    <row r="68" spans="2:4">
      <c r="B68" s="496">
        <v>51400000</v>
      </c>
      <c r="C68" s="495" t="s">
        <v>1029</v>
      </c>
      <c r="D68" s="498">
        <f>+GB!D1577</f>
        <v>0</v>
      </c>
    </row>
    <row r="69" spans="2:4">
      <c r="B69" s="499">
        <v>51410000</v>
      </c>
      <c r="C69" s="500" t="s">
        <v>1030</v>
      </c>
      <c r="D69" s="476">
        <f>+GB!D1578</f>
        <v>0</v>
      </c>
    </row>
    <row r="70" spans="2:4">
      <c r="B70" s="499">
        <v>51420000</v>
      </c>
      <c r="C70" s="500" t="s">
        <v>1029</v>
      </c>
      <c r="D70" s="476">
        <f>+GB!D1579</f>
        <v>0</v>
      </c>
    </row>
    <row r="71" spans="2:4">
      <c r="B71" s="504">
        <v>51500000</v>
      </c>
      <c r="C71" s="505" t="s">
        <v>87</v>
      </c>
      <c r="D71" s="506">
        <f>+GB!D1580</f>
        <v>0</v>
      </c>
    </row>
    <row r="72" spans="2:4">
      <c r="B72" s="511"/>
      <c r="C72" s="512" t="s">
        <v>1438</v>
      </c>
      <c r="D72" s="513">
        <f>+D8-D43</f>
        <v>0</v>
      </c>
    </row>
    <row r="73" spans="2:4">
      <c r="B73" s="496">
        <v>52100000</v>
      </c>
      <c r="C73" s="495" t="s">
        <v>1031</v>
      </c>
      <c r="D73" s="498">
        <f xml:space="preserve"> SUM(D74:D82)</f>
        <v>0</v>
      </c>
    </row>
    <row r="74" spans="2:4">
      <c r="B74" s="499">
        <v>52110000</v>
      </c>
      <c r="C74" s="500" t="s">
        <v>1032</v>
      </c>
      <c r="D74" s="476">
        <f>+GB!D1583</f>
        <v>0</v>
      </c>
    </row>
    <row r="75" spans="2:4">
      <c r="B75" s="499">
        <v>52120000</v>
      </c>
      <c r="C75" s="500" t="s">
        <v>1033</v>
      </c>
      <c r="D75" s="476">
        <f>+GB!D1584</f>
        <v>0</v>
      </c>
    </row>
    <row r="76" spans="2:4">
      <c r="B76" s="499">
        <v>52130000</v>
      </c>
      <c r="C76" s="500" t="s">
        <v>1034</v>
      </c>
      <c r="D76" s="476">
        <f>+GB!D1585</f>
        <v>0</v>
      </c>
    </row>
    <row r="77" spans="2:4">
      <c r="B77" s="499">
        <v>52140000</v>
      </c>
      <c r="C77" s="500" t="s">
        <v>1035</v>
      </c>
      <c r="D77" s="474">
        <f>+GB!D1586</f>
        <v>0</v>
      </c>
    </row>
    <row r="78" spans="2:4">
      <c r="B78" s="499">
        <v>52150000</v>
      </c>
      <c r="C78" s="500" t="s">
        <v>1036</v>
      </c>
      <c r="D78" s="474">
        <f>+GB!D1587</f>
        <v>0</v>
      </c>
    </row>
    <row r="79" spans="2:4">
      <c r="B79" s="499">
        <v>52160000</v>
      </c>
      <c r="C79" s="500" t="s">
        <v>1037</v>
      </c>
      <c r="D79" s="474">
        <f>+GB!D1588</f>
        <v>0</v>
      </c>
    </row>
    <row r="80" spans="2:4">
      <c r="B80" s="499">
        <v>52170000</v>
      </c>
      <c r="C80" s="500" t="s">
        <v>1038</v>
      </c>
      <c r="D80" s="476">
        <f>+GB!D1589</f>
        <v>0</v>
      </c>
    </row>
    <row r="81" spans="2:4">
      <c r="B81" s="499">
        <v>52180000</v>
      </c>
      <c r="C81" s="500" t="s">
        <v>1039</v>
      </c>
      <c r="D81" s="476">
        <f>+GB!D1590</f>
        <v>0</v>
      </c>
    </row>
    <row r="82" spans="2:4">
      <c r="B82" s="499">
        <v>52190000</v>
      </c>
      <c r="C82" s="500" t="s">
        <v>1040</v>
      </c>
      <c r="D82" s="476">
        <f>+GB!D1591</f>
        <v>0</v>
      </c>
    </row>
    <row r="83" spans="2:4">
      <c r="B83" s="511"/>
      <c r="C83" s="514" t="s">
        <v>1439</v>
      </c>
      <c r="D83" s="513">
        <f>+D72-D73</f>
        <v>0</v>
      </c>
    </row>
    <row r="84" spans="2:4">
      <c r="B84" s="525">
        <v>42000000</v>
      </c>
      <c r="C84" s="526" t="s">
        <v>905</v>
      </c>
      <c r="D84" s="527">
        <f>SUM(D85,D89,D94,D105)</f>
        <v>0</v>
      </c>
    </row>
    <row r="85" spans="2:4">
      <c r="B85" s="496">
        <v>42100000</v>
      </c>
      <c r="C85" s="495" t="s">
        <v>906</v>
      </c>
      <c r="D85" s="498">
        <f>+GB!H492</f>
        <v>0</v>
      </c>
    </row>
    <row r="86" spans="2:4">
      <c r="B86" s="499">
        <v>42110000</v>
      </c>
      <c r="C86" s="500" t="s">
        <v>73</v>
      </c>
      <c r="D86" s="476">
        <f>+GB!H493</f>
        <v>0</v>
      </c>
    </row>
    <row r="87" spans="2:4">
      <c r="B87" s="499">
        <v>42120000</v>
      </c>
      <c r="C87" s="500" t="s">
        <v>74</v>
      </c>
      <c r="D87" s="476">
        <f>+GB!H494</f>
        <v>0</v>
      </c>
    </row>
    <row r="88" spans="2:4">
      <c r="B88" s="499">
        <v>42130000</v>
      </c>
      <c r="C88" s="500" t="s">
        <v>907</v>
      </c>
      <c r="D88" s="476">
        <f>+GB!H495</f>
        <v>0</v>
      </c>
    </row>
    <row r="89" spans="2:4">
      <c r="B89" s="496">
        <v>42200000</v>
      </c>
      <c r="C89" s="495" t="s">
        <v>908</v>
      </c>
      <c r="D89" s="498">
        <f>+GB!H496</f>
        <v>0</v>
      </c>
    </row>
    <row r="90" spans="2:4">
      <c r="B90" s="499">
        <v>42210000</v>
      </c>
      <c r="C90" s="500" t="s">
        <v>75</v>
      </c>
      <c r="D90" s="476">
        <f>+GB!H497</f>
        <v>0</v>
      </c>
    </row>
    <row r="91" spans="2:4">
      <c r="B91" s="499">
        <v>42220000</v>
      </c>
      <c r="C91" s="500" t="s">
        <v>76</v>
      </c>
      <c r="D91" s="476">
        <f>+GB!H498</f>
        <v>0</v>
      </c>
    </row>
    <row r="92" spans="2:4">
      <c r="B92" s="499">
        <v>42230000</v>
      </c>
      <c r="C92" s="500" t="s">
        <v>909</v>
      </c>
      <c r="D92" s="476">
        <f>+GB!H499</f>
        <v>0</v>
      </c>
    </row>
    <row r="93" spans="2:4">
      <c r="B93" s="499">
        <v>42240000</v>
      </c>
      <c r="C93" s="500" t="s">
        <v>910</v>
      </c>
      <c r="D93" s="476">
        <f>+GB!H500</f>
        <v>0</v>
      </c>
    </row>
    <row r="94" spans="2:4">
      <c r="B94" s="496">
        <v>42300000</v>
      </c>
      <c r="C94" s="495" t="s">
        <v>911</v>
      </c>
      <c r="D94" s="498">
        <f>+GB!H501</f>
        <v>0</v>
      </c>
    </row>
    <row r="95" spans="2:4">
      <c r="B95" s="499">
        <v>42310000</v>
      </c>
      <c r="C95" s="500" t="s">
        <v>29</v>
      </c>
      <c r="D95" s="476">
        <f>+GB!H502</f>
        <v>0</v>
      </c>
    </row>
    <row r="96" spans="2:4">
      <c r="B96" s="499">
        <v>42320000</v>
      </c>
      <c r="C96" s="500" t="s">
        <v>912</v>
      </c>
      <c r="D96" s="476">
        <f>+GB!H503</f>
        <v>0</v>
      </c>
    </row>
    <row r="97" spans="2:4">
      <c r="B97" s="499">
        <v>42330000</v>
      </c>
      <c r="C97" s="500" t="s">
        <v>913</v>
      </c>
      <c r="D97" s="476">
        <f>+GB!H504</f>
        <v>0</v>
      </c>
    </row>
    <row r="98" spans="2:4">
      <c r="B98" s="499">
        <v>42340000</v>
      </c>
      <c r="C98" s="500" t="s">
        <v>914</v>
      </c>
      <c r="D98" s="476">
        <f>+GB!H505</f>
        <v>0</v>
      </c>
    </row>
    <row r="99" spans="2:4">
      <c r="B99" s="499">
        <v>42350000</v>
      </c>
      <c r="C99" s="500" t="s">
        <v>805</v>
      </c>
      <c r="D99" s="476">
        <f>+GB!H506</f>
        <v>0</v>
      </c>
    </row>
    <row r="100" spans="2:4">
      <c r="B100" s="499">
        <v>42360000</v>
      </c>
      <c r="C100" s="500" t="s">
        <v>915</v>
      </c>
      <c r="D100" s="476">
        <f>+GB!H507</f>
        <v>0</v>
      </c>
    </row>
    <row r="101" spans="2:4">
      <c r="B101" s="499">
        <v>42370000</v>
      </c>
      <c r="C101" s="500" t="s">
        <v>916</v>
      </c>
      <c r="D101" s="476">
        <f>+GB!H508</f>
        <v>0</v>
      </c>
    </row>
    <row r="102" spans="2:4">
      <c r="B102" s="499">
        <v>42380000</v>
      </c>
      <c r="C102" s="500" t="s">
        <v>917</v>
      </c>
      <c r="D102" s="476">
        <f>+GB!H509</f>
        <v>0</v>
      </c>
    </row>
    <row r="103" spans="2:4">
      <c r="B103" s="499">
        <v>42390000</v>
      </c>
      <c r="C103" s="500" t="s">
        <v>918</v>
      </c>
      <c r="D103" s="476">
        <f>+GB!H510</f>
        <v>0</v>
      </c>
    </row>
    <row r="104" spans="2:4">
      <c r="B104" s="499">
        <v>42400000</v>
      </c>
      <c r="C104" s="500" t="s">
        <v>919</v>
      </c>
      <c r="D104" s="476">
        <f>+GB!H511</f>
        <v>0</v>
      </c>
    </row>
    <row r="105" spans="2:4">
      <c r="B105" s="496">
        <v>42500000</v>
      </c>
      <c r="C105" s="495" t="s">
        <v>920</v>
      </c>
      <c r="D105" s="498">
        <f>+GB!H512</f>
        <v>0</v>
      </c>
    </row>
    <row r="106" spans="2:4">
      <c r="B106" s="499">
        <v>42510000</v>
      </c>
      <c r="C106" s="500" t="s">
        <v>921</v>
      </c>
      <c r="D106" s="476">
        <f>+GB!H513</f>
        <v>0</v>
      </c>
    </row>
    <row r="107" spans="2:4">
      <c r="B107" s="499">
        <v>42520000</v>
      </c>
      <c r="C107" s="500" t="s">
        <v>922</v>
      </c>
      <c r="D107" s="476">
        <f>+GB!H514</f>
        <v>0</v>
      </c>
    </row>
    <row r="108" spans="2:4">
      <c r="B108" s="525" t="s">
        <v>924</v>
      </c>
      <c r="C108" s="526" t="s">
        <v>923</v>
      </c>
      <c r="D108" s="527">
        <f>+GB!H515</f>
        <v>0</v>
      </c>
    </row>
    <row r="109" spans="2:4">
      <c r="B109" s="499">
        <v>43010000</v>
      </c>
      <c r="C109" s="500" t="s">
        <v>925</v>
      </c>
      <c r="D109" s="476">
        <f>+GB!H516</f>
        <v>0</v>
      </c>
    </row>
    <row r="110" spans="2:4">
      <c r="B110" s="499">
        <v>43020000</v>
      </c>
      <c r="C110" s="500" t="s">
        <v>926</v>
      </c>
      <c r="D110" s="476">
        <f>+GB!H517</f>
        <v>0</v>
      </c>
    </row>
    <row r="111" spans="2:4">
      <c r="B111" s="499">
        <v>43030000</v>
      </c>
      <c r="C111" s="500" t="s">
        <v>927</v>
      </c>
      <c r="D111" s="476">
        <f>+GB!H518</f>
        <v>0</v>
      </c>
    </row>
    <row r="112" spans="2:4">
      <c r="B112" s="499">
        <v>43040000</v>
      </c>
      <c r="C112" s="500" t="s">
        <v>928</v>
      </c>
      <c r="D112" s="476">
        <f>+GB!H519</f>
        <v>0</v>
      </c>
    </row>
    <row r="113" spans="2:4">
      <c r="B113" s="499">
        <v>43050000</v>
      </c>
      <c r="C113" s="500" t="s">
        <v>929</v>
      </c>
      <c r="D113" s="476">
        <f>+GB!H520</f>
        <v>0</v>
      </c>
    </row>
    <row r="114" spans="2:4">
      <c r="B114" s="499">
        <v>43060000</v>
      </c>
      <c r="C114" s="500" t="s">
        <v>930</v>
      </c>
      <c r="D114" s="474">
        <f>+GB!H521</f>
        <v>0</v>
      </c>
    </row>
    <row r="115" spans="2:4">
      <c r="B115" s="499">
        <v>43070000</v>
      </c>
      <c r="C115" s="500" t="s">
        <v>77</v>
      </c>
      <c r="D115" s="476">
        <f>+GB!H522</f>
        <v>0</v>
      </c>
    </row>
    <row r="116" spans="2:4" ht="13.5" customHeight="1">
      <c r="B116" s="499">
        <v>43080000</v>
      </c>
      <c r="C116" s="500" t="s">
        <v>931</v>
      </c>
      <c r="D116" s="476">
        <f>+GB!H523</f>
        <v>0</v>
      </c>
    </row>
    <row r="117" spans="2:4" ht="13.5" customHeight="1">
      <c r="B117" s="499">
        <v>43090000</v>
      </c>
      <c r="C117" s="709" t="s">
        <v>932</v>
      </c>
      <c r="D117" s="476">
        <f>+GB!H524</f>
        <v>0</v>
      </c>
    </row>
    <row r="118" spans="2:4" ht="13.5" customHeight="1">
      <c r="B118" s="499">
        <v>43100000</v>
      </c>
      <c r="C118" s="709" t="s">
        <v>933</v>
      </c>
      <c r="D118" s="476">
        <f>+GB!H525</f>
        <v>0</v>
      </c>
    </row>
    <row r="119" spans="2:4" ht="13.5" customHeight="1">
      <c r="B119" s="499">
        <v>43110000</v>
      </c>
      <c r="C119" s="500" t="s">
        <v>934</v>
      </c>
      <c r="D119" s="476">
        <f>+GB!H526</f>
        <v>0</v>
      </c>
    </row>
    <row r="120" spans="2:4">
      <c r="B120" s="499">
        <v>43120000</v>
      </c>
      <c r="C120" s="500" t="s">
        <v>55</v>
      </c>
      <c r="D120" s="476">
        <f>+GB!H527</f>
        <v>0</v>
      </c>
    </row>
    <row r="121" spans="2:4" ht="14.25" customHeight="1">
      <c r="B121" s="525">
        <v>52000000</v>
      </c>
      <c r="C121" s="526" t="s">
        <v>88</v>
      </c>
      <c r="D121" s="527">
        <f>SUM(D122,D126,D131,D135)</f>
        <v>0</v>
      </c>
    </row>
    <row r="122" spans="2:4">
      <c r="B122" s="496">
        <v>52200000</v>
      </c>
      <c r="C122" s="495" t="s">
        <v>1041</v>
      </c>
      <c r="D122" s="498">
        <f>+GB!D1592</f>
        <v>0</v>
      </c>
    </row>
    <row r="123" spans="2:4">
      <c r="B123" s="499">
        <v>52210000</v>
      </c>
      <c r="C123" s="500" t="s">
        <v>89</v>
      </c>
      <c r="D123" s="476">
        <f>+GB!D1593</f>
        <v>0</v>
      </c>
    </row>
    <row r="124" spans="2:4">
      <c r="B124" s="499">
        <v>52220000</v>
      </c>
      <c r="C124" s="500" t="s">
        <v>90</v>
      </c>
      <c r="D124" s="476">
        <f>+GB!D1594</f>
        <v>0</v>
      </c>
    </row>
    <row r="125" spans="2:4">
      <c r="B125" s="499">
        <v>52230000</v>
      </c>
      <c r="C125" s="500" t="s">
        <v>1042</v>
      </c>
      <c r="D125" s="476">
        <f>+GB!D1595</f>
        <v>0</v>
      </c>
    </row>
    <row r="126" spans="2:4">
      <c r="B126" s="496">
        <v>52300000</v>
      </c>
      <c r="C126" s="495" t="s">
        <v>1043</v>
      </c>
      <c r="D126" s="498">
        <f>+GB!D1596</f>
        <v>0</v>
      </c>
    </row>
    <row r="127" spans="2:4">
      <c r="B127" s="499">
        <v>52310000</v>
      </c>
      <c r="C127" s="500" t="s">
        <v>91</v>
      </c>
      <c r="D127" s="476">
        <f>+GB!D1597</f>
        <v>0</v>
      </c>
    </row>
    <row r="128" spans="2:4">
      <c r="B128" s="499">
        <v>52320000</v>
      </c>
      <c r="C128" s="500" t="s">
        <v>92</v>
      </c>
      <c r="D128" s="476">
        <f>+GB!D1598</f>
        <v>0</v>
      </c>
    </row>
    <row r="129" spans="2:4">
      <c r="B129" s="499">
        <v>52330000</v>
      </c>
      <c r="C129" s="500" t="s">
        <v>1044</v>
      </c>
      <c r="D129" s="476">
        <f>+GB!D1599</f>
        <v>0</v>
      </c>
    </row>
    <row r="130" spans="2:4">
      <c r="B130" s="499">
        <v>52340000</v>
      </c>
      <c r="C130" s="500" t="s">
        <v>1045</v>
      </c>
      <c r="D130" s="476">
        <f>+GB!D1600</f>
        <v>0</v>
      </c>
    </row>
    <row r="131" spans="2:4">
      <c r="B131" s="515">
        <v>52400000</v>
      </c>
      <c r="C131" s="516" t="s">
        <v>1046</v>
      </c>
      <c r="D131" s="517">
        <f>+GB!D1601</f>
        <v>0</v>
      </c>
    </row>
    <row r="132" spans="2:4">
      <c r="B132" s="499">
        <v>52410000</v>
      </c>
      <c r="C132" s="518" t="s">
        <v>29</v>
      </c>
      <c r="D132" s="483">
        <f>+GB!D1602</f>
        <v>0</v>
      </c>
    </row>
    <row r="133" spans="2:4">
      <c r="B133" s="499">
        <v>52420000</v>
      </c>
      <c r="C133" s="518" t="s">
        <v>1047</v>
      </c>
      <c r="D133" s="483">
        <f>+GB!D1603</f>
        <v>0</v>
      </c>
    </row>
    <row r="134" spans="2:4">
      <c r="B134" s="499">
        <v>52430000</v>
      </c>
      <c r="C134" s="518" t="s">
        <v>919</v>
      </c>
      <c r="D134" s="483">
        <f>+GB!D1604</f>
        <v>0</v>
      </c>
    </row>
    <row r="135" spans="2:4">
      <c r="B135" s="515">
        <v>52500000</v>
      </c>
      <c r="C135" s="516" t="s">
        <v>1048</v>
      </c>
      <c r="D135" s="517">
        <f>+GB!D1605</f>
        <v>0</v>
      </c>
    </row>
    <row r="136" spans="2:4">
      <c r="B136" s="519">
        <v>52501000</v>
      </c>
      <c r="C136" s="520" t="s">
        <v>1049</v>
      </c>
      <c r="D136" s="483">
        <f>+GB!D1606</f>
        <v>0</v>
      </c>
    </row>
    <row r="137" spans="2:4">
      <c r="B137" s="519">
        <v>52501100</v>
      </c>
      <c r="C137" s="520" t="s">
        <v>1050</v>
      </c>
      <c r="D137" s="483">
        <f>+GB!D1607</f>
        <v>0</v>
      </c>
    </row>
    <row r="138" spans="2:4">
      <c r="B138" s="499">
        <v>52501110</v>
      </c>
      <c r="C138" s="518" t="s">
        <v>93</v>
      </c>
      <c r="D138" s="483">
        <f>+GB!D1608</f>
        <v>0</v>
      </c>
    </row>
    <row r="139" spans="2:4">
      <c r="B139" s="499">
        <v>52501120</v>
      </c>
      <c r="C139" s="518" t="s">
        <v>94</v>
      </c>
      <c r="D139" s="483">
        <f>+GB!D1609</f>
        <v>0</v>
      </c>
    </row>
    <row r="140" spans="2:4">
      <c r="B140" s="499">
        <v>52501130</v>
      </c>
      <c r="C140" s="518" t="s">
        <v>1051</v>
      </c>
      <c r="D140" s="483">
        <f>+GB!D1610</f>
        <v>0</v>
      </c>
    </row>
    <row r="141" spans="2:4">
      <c r="B141" s="499">
        <v>52501140</v>
      </c>
      <c r="C141" s="518" t="s">
        <v>1052</v>
      </c>
      <c r="D141" s="483">
        <f>+GB!D1611</f>
        <v>0</v>
      </c>
    </row>
    <row r="142" spans="2:4">
      <c r="B142" s="499">
        <v>52501150</v>
      </c>
      <c r="C142" s="518" t="s">
        <v>1053</v>
      </c>
      <c r="D142" s="483">
        <f>+GB!D1612</f>
        <v>0</v>
      </c>
    </row>
    <row r="143" spans="2:4">
      <c r="B143" s="499">
        <v>52501160</v>
      </c>
      <c r="C143" s="518" t="s">
        <v>55</v>
      </c>
      <c r="D143" s="483">
        <f>+GB!D1613</f>
        <v>0</v>
      </c>
    </row>
    <row r="144" spans="2:4">
      <c r="B144" s="519">
        <v>52501200</v>
      </c>
      <c r="C144" s="520" t="s">
        <v>1054</v>
      </c>
      <c r="D144" s="483">
        <f>+GB!D1614</f>
        <v>0</v>
      </c>
    </row>
    <row r="145" spans="2:4">
      <c r="B145" s="499">
        <v>52501210</v>
      </c>
      <c r="C145" s="518" t="s">
        <v>1055</v>
      </c>
      <c r="D145" s="483">
        <f>+GB!D1615</f>
        <v>0</v>
      </c>
    </row>
    <row r="146" spans="2:4">
      <c r="B146" s="499">
        <v>52501220</v>
      </c>
      <c r="C146" s="518" t="s">
        <v>1056</v>
      </c>
      <c r="D146" s="483">
        <f>+GB!D1616</f>
        <v>0</v>
      </c>
    </row>
    <row r="147" spans="2:4">
      <c r="B147" s="519">
        <v>52502000</v>
      </c>
      <c r="C147" s="520" t="s">
        <v>1057</v>
      </c>
      <c r="D147" s="483">
        <f>+GB!D1617</f>
        <v>0</v>
      </c>
    </row>
    <row r="148" spans="2:4">
      <c r="B148" s="519">
        <v>52503000</v>
      </c>
      <c r="C148" s="520" t="s">
        <v>1058</v>
      </c>
      <c r="D148" s="483">
        <f>+GB!D1618</f>
        <v>0</v>
      </c>
    </row>
    <row r="149" spans="2:4">
      <c r="B149" s="519">
        <v>52504000</v>
      </c>
      <c r="C149" s="520" t="s">
        <v>1059</v>
      </c>
      <c r="D149" s="483">
        <f>+GB!D1619</f>
        <v>0</v>
      </c>
    </row>
    <row r="150" spans="2:4">
      <c r="B150" s="499">
        <v>52504100</v>
      </c>
      <c r="C150" s="518" t="s">
        <v>1060</v>
      </c>
      <c r="D150" s="521">
        <f>+GB!D1620</f>
        <v>0</v>
      </c>
    </row>
    <row r="151" spans="2:4">
      <c r="B151" s="499">
        <v>52504200</v>
      </c>
      <c r="C151" s="518" t="s">
        <v>1061</v>
      </c>
      <c r="D151" s="483">
        <f>+GB!D1621</f>
        <v>0</v>
      </c>
    </row>
    <row r="152" spans="2:4">
      <c r="B152" s="499">
        <v>52504300</v>
      </c>
      <c r="C152" s="518" t="s">
        <v>1062</v>
      </c>
      <c r="D152" s="483">
        <f>+GB!D1622</f>
        <v>0</v>
      </c>
    </row>
    <row r="153" spans="2:4">
      <c r="B153" s="499">
        <v>52504400</v>
      </c>
      <c r="C153" s="518" t="s">
        <v>1063</v>
      </c>
      <c r="D153" s="483">
        <f>+GB!D1623</f>
        <v>0</v>
      </c>
    </row>
    <row r="154" spans="2:4">
      <c r="B154" s="499">
        <v>52504500</v>
      </c>
      <c r="C154" s="518" t="s">
        <v>1064</v>
      </c>
      <c r="D154" s="483">
        <f>+GB!D1624</f>
        <v>0</v>
      </c>
    </row>
    <row r="155" spans="2:4">
      <c r="B155" s="519">
        <v>52505000</v>
      </c>
      <c r="C155" s="520" t="s">
        <v>1065</v>
      </c>
      <c r="D155" s="483">
        <f>+GB!D1625</f>
        <v>0</v>
      </c>
    </row>
    <row r="156" spans="2:4">
      <c r="B156" s="519">
        <v>52506000</v>
      </c>
      <c r="C156" s="520" t="s">
        <v>1066</v>
      </c>
      <c r="D156" s="483">
        <f>+GB!D1626</f>
        <v>0</v>
      </c>
    </row>
    <row r="157" spans="2:4">
      <c r="B157" s="499">
        <v>52506100</v>
      </c>
      <c r="C157" s="518" t="s">
        <v>1067</v>
      </c>
      <c r="D157" s="483">
        <f>+GB!D1627</f>
        <v>0</v>
      </c>
    </row>
    <row r="158" spans="2:4">
      <c r="B158" s="499">
        <v>52506200</v>
      </c>
      <c r="C158" s="518" t="s">
        <v>100</v>
      </c>
      <c r="D158" s="483">
        <f>+GB!D1628</f>
        <v>0</v>
      </c>
    </row>
    <row r="159" spans="2:4">
      <c r="B159" s="499">
        <v>52506300</v>
      </c>
      <c r="C159" s="518" t="s">
        <v>96</v>
      </c>
      <c r="D159" s="483">
        <f>+GB!D1629</f>
        <v>0</v>
      </c>
    </row>
    <row r="160" spans="2:4">
      <c r="B160" s="499">
        <v>52506400</v>
      </c>
      <c r="C160" s="518" t="s">
        <v>1068</v>
      </c>
      <c r="D160" s="483">
        <f>+GB!D1630</f>
        <v>0</v>
      </c>
    </row>
    <row r="161" spans="2:4">
      <c r="B161" s="519">
        <v>52507000</v>
      </c>
      <c r="C161" s="520" t="s">
        <v>1069</v>
      </c>
      <c r="D161" s="483">
        <f>+GB!D1631</f>
        <v>0</v>
      </c>
    </row>
    <row r="162" spans="2:4">
      <c r="B162" s="499">
        <v>52507100</v>
      </c>
      <c r="C162" s="518" t="s">
        <v>1070</v>
      </c>
      <c r="D162" s="483">
        <f>+GB!D1632</f>
        <v>0</v>
      </c>
    </row>
    <row r="163" spans="2:4">
      <c r="B163" s="499">
        <v>52507200</v>
      </c>
      <c r="C163" s="518" t="s">
        <v>1071</v>
      </c>
      <c r="D163" s="483">
        <f>+GB!D1633</f>
        <v>0</v>
      </c>
    </row>
    <row r="164" spans="2:4">
      <c r="B164" s="499">
        <v>52507300</v>
      </c>
      <c r="C164" s="518" t="s">
        <v>1072</v>
      </c>
      <c r="D164" s="483">
        <f>+GB!D1634</f>
        <v>0</v>
      </c>
    </row>
    <row r="165" spans="2:4">
      <c r="B165" s="499">
        <v>52507400</v>
      </c>
      <c r="C165" s="518" t="s">
        <v>1073</v>
      </c>
      <c r="D165" s="483">
        <f>+GB!D1635</f>
        <v>0</v>
      </c>
    </row>
    <row r="166" spans="2:4">
      <c r="B166" s="519">
        <v>52508000</v>
      </c>
      <c r="C166" s="520" t="s">
        <v>1074</v>
      </c>
      <c r="D166" s="483">
        <f>+GB!D1636</f>
        <v>0</v>
      </c>
    </row>
    <row r="167" spans="2:4">
      <c r="B167" s="499">
        <v>52508100</v>
      </c>
      <c r="C167" s="518" t="s">
        <v>1075</v>
      </c>
      <c r="D167" s="483">
        <f>+GB!D1637</f>
        <v>0</v>
      </c>
    </row>
    <row r="168" spans="2:4">
      <c r="B168" s="499">
        <v>52508200</v>
      </c>
      <c r="C168" s="518" t="s">
        <v>1076</v>
      </c>
      <c r="D168" s="483">
        <f>+GB!D1638</f>
        <v>0</v>
      </c>
    </row>
    <row r="169" spans="2:4">
      <c r="B169" s="499">
        <v>52508300</v>
      </c>
      <c r="C169" s="518" t="s">
        <v>1077</v>
      </c>
      <c r="D169" s="483">
        <f>+GB!D1639</f>
        <v>0</v>
      </c>
    </row>
    <row r="170" spans="2:4">
      <c r="B170" s="519">
        <v>52509000</v>
      </c>
      <c r="C170" s="520" t="s">
        <v>1078</v>
      </c>
      <c r="D170" s="483">
        <f>+GB!D1640</f>
        <v>0</v>
      </c>
    </row>
    <row r="171" spans="2:4">
      <c r="B171" s="519">
        <v>52510000</v>
      </c>
      <c r="C171" s="520" t="s">
        <v>1079</v>
      </c>
      <c r="D171" s="483">
        <f>+GB!D1641</f>
        <v>0</v>
      </c>
    </row>
    <row r="172" spans="2:4">
      <c r="B172" s="519">
        <v>52511000</v>
      </c>
      <c r="C172" s="520" t="s">
        <v>1080</v>
      </c>
      <c r="D172" s="483">
        <f>+GB!D1642</f>
        <v>0</v>
      </c>
    </row>
    <row r="173" spans="2:4">
      <c r="B173" s="519">
        <v>52512000</v>
      </c>
      <c r="C173" s="520" t="s">
        <v>1081</v>
      </c>
      <c r="D173" s="483">
        <f>+GB!D1643</f>
        <v>0</v>
      </c>
    </row>
    <row r="174" spans="2:4">
      <c r="B174" s="519">
        <v>52513000</v>
      </c>
      <c r="C174" s="520" t="s">
        <v>97</v>
      </c>
      <c r="D174" s="483">
        <f>+GB!D1644</f>
        <v>0</v>
      </c>
    </row>
    <row r="175" spans="2:4">
      <c r="B175" s="519">
        <v>52514000</v>
      </c>
      <c r="C175" s="520" t="s">
        <v>1082</v>
      </c>
      <c r="D175" s="483">
        <f>+GB!D1645</f>
        <v>0</v>
      </c>
    </row>
    <row r="176" spans="2:4">
      <c r="B176" s="519">
        <v>52515000</v>
      </c>
      <c r="C176" s="520" t="s">
        <v>1083</v>
      </c>
      <c r="D176" s="483">
        <f>+GB!D1646</f>
        <v>0</v>
      </c>
    </row>
    <row r="177" spans="2:4">
      <c r="B177" s="519">
        <v>52516000</v>
      </c>
      <c r="C177" s="520" t="s">
        <v>1084</v>
      </c>
      <c r="D177" s="483">
        <f>+GB!D1647</f>
        <v>0</v>
      </c>
    </row>
    <row r="178" spans="2:4">
      <c r="B178" s="519">
        <v>52517000</v>
      </c>
      <c r="C178" s="520" t="s">
        <v>1494</v>
      </c>
      <c r="D178" s="483">
        <f>+GB!D1648</f>
        <v>0</v>
      </c>
    </row>
    <row r="179" spans="2:4">
      <c r="B179" s="519">
        <v>52518000</v>
      </c>
      <c r="C179" s="520" t="s">
        <v>95</v>
      </c>
      <c r="D179" s="483">
        <f>+GB!D1649</f>
        <v>0</v>
      </c>
    </row>
    <row r="180" spans="2:4">
      <c r="B180" s="519">
        <v>52519000</v>
      </c>
      <c r="C180" s="520" t="s">
        <v>1086</v>
      </c>
      <c r="D180" s="483">
        <f>+GB!D1650</f>
        <v>0</v>
      </c>
    </row>
    <row r="181" spans="2:4">
      <c r="B181" s="519">
        <v>52520000</v>
      </c>
      <c r="C181" s="520" t="s">
        <v>99</v>
      </c>
      <c r="D181" s="483">
        <f>+GB!D1651</f>
        <v>0</v>
      </c>
    </row>
    <row r="182" spans="2:4">
      <c r="B182" s="519">
        <v>52521000</v>
      </c>
      <c r="C182" s="520" t="s">
        <v>98</v>
      </c>
      <c r="D182" s="483">
        <f>+GB!D1652</f>
        <v>0</v>
      </c>
    </row>
    <row r="183" spans="2:4">
      <c r="B183" s="519">
        <v>52522000</v>
      </c>
      <c r="C183" s="520" t="s">
        <v>1087</v>
      </c>
      <c r="D183" s="483">
        <f>+GB!D1653</f>
        <v>0</v>
      </c>
    </row>
    <row r="184" spans="2:4">
      <c r="B184" s="519">
        <v>52523000</v>
      </c>
      <c r="C184" s="520" t="s">
        <v>1088</v>
      </c>
      <c r="D184" s="483">
        <f>+GB!D1654</f>
        <v>0</v>
      </c>
    </row>
    <row r="185" spans="2:4">
      <c r="B185" s="519">
        <v>52524000</v>
      </c>
      <c r="C185" s="520" t="s">
        <v>1089</v>
      </c>
      <c r="D185" s="483">
        <f>+GB!D1655</f>
        <v>0</v>
      </c>
    </row>
    <row r="186" spans="2:4">
      <c r="B186" s="519">
        <v>52525000</v>
      </c>
      <c r="C186" s="520" t="s">
        <v>1090</v>
      </c>
      <c r="D186" s="483">
        <f>+GB!D1656</f>
        <v>0</v>
      </c>
    </row>
    <row r="187" spans="2:4">
      <c r="B187" s="525" t="s">
        <v>1092</v>
      </c>
      <c r="C187" s="526" t="s">
        <v>1091</v>
      </c>
      <c r="D187" s="527">
        <f>SUM(D188:D196)</f>
        <v>0</v>
      </c>
    </row>
    <row r="188" spans="2:4">
      <c r="B188" s="499">
        <v>53010000</v>
      </c>
      <c r="C188" s="518" t="s">
        <v>101</v>
      </c>
      <c r="D188" s="483">
        <f>+GB!D1658</f>
        <v>0</v>
      </c>
    </row>
    <row r="189" spans="2:4">
      <c r="B189" s="499">
        <v>53020000</v>
      </c>
      <c r="C189" s="518" t="s">
        <v>1093</v>
      </c>
      <c r="D189" s="483">
        <f>+GB!D1659</f>
        <v>0</v>
      </c>
    </row>
    <row r="190" spans="2:4">
      <c r="B190" s="499">
        <v>53030000</v>
      </c>
      <c r="C190" s="518" t="s">
        <v>1094</v>
      </c>
      <c r="D190" s="483">
        <f>+GB!D1660</f>
        <v>0</v>
      </c>
    </row>
    <row r="191" spans="2:4">
      <c r="B191" s="499">
        <v>53040000</v>
      </c>
      <c r="C191" s="518" t="s">
        <v>79</v>
      </c>
      <c r="D191" s="483">
        <f>+GB!D1661</f>
        <v>0</v>
      </c>
    </row>
    <row r="192" spans="2:4">
      <c r="B192" s="499">
        <v>53050000</v>
      </c>
      <c r="C192" s="518" t="s">
        <v>1095</v>
      </c>
      <c r="D192" s="483">
        <f>+GB!D1662</f>
        <v>0</v>
      </c>
    </row>
    <row r="193" spans="2:4">
      <c r="B193" s="499">
        <v>53060000</v>
      </c>
      <c r="C193" s="726" t="s">
        <v>1096</v>
      </c>
      <c r="D193" s="483">
        <f>+GB!D1663</f>
        <v>0</v>
      </c>
    </row>
    <row r="194" spans="2:4">
      <c r="B194" s="499">
        <v>53070000</v>
      </c>
      <c r="C194" s="726" t="s">
        <v>1097</v>
      </c>
      <c r="D194" s="483">
        <f>+GB!D1664</f>
        <v>0</v>
      </c>
    </row>
    <row r="195" spans="2:4">
      <c r="B195" s="499">
        <v>53080000</v>
      </c>
      <c r="C195" s="726" t="s">
        <v>1098</v>
      </c>
      <c r="D195" s="483">
        <f>+GB!D1665</f>
        <v>0</v>
      </c>
    </row>
    <row r="196" spans="2:4">
      <c r="B196" s="499">
        <v>53090000</v>
      </c>
      <c r="C196" s="518" t="s">
        <v>55</v>
      </c>
      <c r="D196" s="483">
        <f>+GB!D1666</f>
        <v>0</v>
      </c>
    </row>
    <row r="197" spans="2:4">
      <c r="B197" s="511"/>
      <c r="C197" s="522" t="s">
        <v>1440</v>
      </c>
      <c r="D197" s="523">
        <f>+D83+D84+D108-D121-D187</f>
        <v>0</v>
      </c>
    </row>
    <row r="198" spans="2:4">
      <c r="B198" s="515" t="s">
        <v>1099</v>
      </c>
      <c r="C198" s="516" t="s">
        <v>102</v>
      </c>
      <c r="D198" s="517">
        <f>SUM(D199:D200)</f>
        <v>0</v>
      </c>
    </row>
    <row r="199" spans="2:4">
      <c r="B199" s="519">
        <v>54100000</v>
      </c>
      <c r="C199" s="524" t="s">
        <v>1100</v>
      </c>
      <c r="D199" s="483">
        <f>+GB!D1668</f>
        <v>0</v>
      </c>
    </row>
    <row r="200" spans="2:4">
      <c r="B200" s="519">
        <v>54200000</v>
      </c>
      <c r="C200" s="524" t="s">
        <v>1101</v>
      </c>
      <c r="D200" s="483">
        <f>+GB!D1669</f>
        <v>0</v>
      </c>
    </row>
    <row r="201" spans="2:4">
      <c r="B201" s="504">
        <v>55000000</v>
      </c>
      <c r="C201" s="505" t="s">
        <v>1102</v>
      </c>
      <c r="D201" s="506">
        <f>+GB!D1670</f>
        <v>0</v>
      </c>
    </row>
    <row r="202" spans="2:4">
      <c r="B202" s="515">
        <v>56000000</v>
      </c>
      <c r="C202" s="516" t="s">
        <v>1431</v>
      </c>
      <c r="D202" s="517">
        <f>+D197-D198+D201</f>
        <v>0</v>
      </c>
    </row>
    <row r="203" spans="2:4">
      <c r="B203" s="485"/>
      <c r="C203" s="524" t="s">
        <v>1421</v>
      </c>
      <c r="D203" s="841"/>
    </row>
    <row r="204" spans="2:4">
      <c r="B204" s="525"/>
      <c r="C204" s="526" t="s">
        <v>1437</v>
      </c>
      <c r="D204" s="527">
        <f>SUM(D202:D203)</f>
        <v>0</v>
      </c>
    </row>
    <row r="205" spans="2:4">
      <c r="B205" s="490"/>
      <c r="C205" s="491"/>
      <c r="D205" s="492"/>
    </row>
    <row r="206" spans="2:4">
      <c r="B206" s="31"/>
      <c r="C206" s="586" t="s">
        <v>1441</v>
      </c>
      <c r="D206" s="528">
        <f>+SUM(D8,D84,D108,D201,D203)</f>
        <v>0</v>
      </c>
    </row>
    <row r="207" spans="2:4">
      <c r="B207" s="31"/>
      <c r="C207" s="586" t="s">
        <v>1442</v>
      </c>
      <c r="D207" s="528">
        <f>SUM(D43,D73,D121,D187,D198)</f>
        <v>0</v>
      </c>
    </row>
    <row r="208" spans="2:4">
      <c r="C208" s="586" t="s">
        <v>1443</v>
      </c>
      <c r="D208" s="529">
        <f>+D206-D207</f>
        <v>0</v>
      </c>
    </row>
    <row r="210" spans="2:3">
      <c r="B210" s="3" t="str">
        <f>+Statistic!A56</f>
        <v>ТАМГА</v>
      </c>
    </row>
    <row r="211" spans="2:3">
      <c r="C211" s="3" t="str">
        <f>+Statistic!A58</f>
        <v xml:space="preserve">             ТАЙЛАНГ ҮНЭН ЗӨВ ГАРГАСАН:</v>
      </c>
    </row>
    <row r="212" spans="2:3">
      <c r="C212" s="454"/>
    </row>
    <row r="213" spans="2:3">
      <c r="C213" s="634" t="str">
        <f>+Statistic!B60</f>
        <v>ГҮЙЦЭТГЭХ ЗАХИРАЛ.......................//</v>
      </c>
    </row>
    <row r="214" spans="2:3">
      <c r="C214" s="635"/>
    </row>
    <row r="215" spans="2:3">
      <c r="C215" s="634" t="str">
        <f>+Statistic!B62</f>
        <v>ЕРӨНХИЙ НЯГТЛАН БОДОГЧ...................................................//</v>
      </c>
    </row>
  </sheetData>
  <sheetProtection algorithmName="SHA-512" hashValue="DrwY5YxY/ChJ/Msus5YcDhP+N9KGHslRaWT8m8Yq5u0A8HPGjrogK/mZfemOwve11HDRvcRpx5D0eG9gON5bFg==" saltValue="9XwPVIB1gz7rzKV/n3DUYw==" spinCount="100000" sheet="1" objects="1" scenarios="1"/>
  <autoFilter ref="B8:D204" xr:uid="{FAB33EAE-33DB-4C62-B04C-A078E6289D5B}"/>
  <mergeCells count="3">
    <mergeCell ref="A2:F2"/>
    <mergeCell ref="A3:F3"/>
    <mergeCell ref="A4:F4"/>
  </mergeCells>
  <pageMargins left="0.7" right="0.7" top="0.75" bottom="0.75" header="0.3" footer="0.3"/>
  <pageSetup paperSize="9" scale="62" fitToHeight="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452" t="s">
        <v>1426</v>
      </c>
    </row>
    <row r="2" spans="1:9">
      <c r="A2" s="982" t="s">
        <v>1427</v>
      </c>
      <c r="B2" s="982"/>
      <c r="C2" s="982"/>
      <c r="D2" s="982"/>
      <c r="E2" s="982"/>
      <c r="F2" s="982"/>
      <c r="G2" s="982"/>
      <c r="H2" s="982"/>
      <c r="I2" s="982"/>
    </row>
    <row r="3" spans="1:9">
      <c r="A3" s="1029" t="str">
        <f>+Statistic!A3</f>
        <v xml:space="preserve">БАНК БУС САНХҮҮГИЙН БАЙГУУЛЛАГЫН НЭР </v>
      </c>
      <c r="B3" s="1029"/>
      <c r="C3" s="1029"/>
      <c r="D3" s="1029"/>
      <c r="E3" s="1029"/>
      <c r="F3" s="1029"/>
      <c r="G3" s="1029"/>
      <c r="H3" s="1029"/>
      <c r="I3" s="1029"/>
    </row>
    <row r="4" spans="1:9">
      <c r="A4" s="1030" t="s">
        <v>1</v>
      </c>
      <c r="B4" s="1030"/>
      <c r="C4" s="1030"/>
      <c r="D4" s="1030"/>
      <c r="E4" s="1030"/>
      <c r="F4" s="1030"/>
      <c r="G4" s="1030"/>
      <c r="H4" s="1030"/>
      <c r="I4" s="1030"/>
    </row>
    <row r="5" spans="1:9">
      <c r="A5" s="1034">
        <f>+Statistic!A7</f>
        <v>45716</v>
      </c>
      <c r="B5" s="1034"/>
      <c r="I5" s="452" t="s">
        <v>1216</v>
      </c>
    </row>
    <row r="6" spans="1:9" ht="25.5">
      <c r="A6" s="546" t="s">
        <v>1428</v>
      </c>
      <c r="B6" s="546" t="s">
        <v>1414</v>
      </c>
      <c r="C6" s="546" t="s">
        <v>1223</v>
      </c>
      <c r="D6" s="546" t="s">
        <v>61</v>
      </c>
      <c r="E6" s="546" t="s">
        <v>60</v>
      </c>
      <c r="F6" s="546" t="s">
        <v>62</v>
      </c>
      <c r="G6" s="546" t="s">
        <v>1415</v>
      </c>
      <c r="H6" s="546" t="s">
        <v>1480</v>
      </c>
      <c r="I6" s="546" t="s">
        <v>1416</v>
      </c>
    </row>
    <row r="7" spans="1:9">
      <c r="A7" s="455">
        <v>1</v>
      </c>
      <c r="B7" s="881" t="s">
        <v>1417</v>
      </c>
      <c r="C7" s="840"/>
      <c r="D7" s="840"/>
      <c r="E7" s="840"/>
      <c r="F7" s="840"/>
      <c r="G7" s="840"/>
      <c r="H7" s="840"/>
      <c r="I7" s="530">
        <f>+SUM(C7:H7)</f>
        <v>0</v>
      </c>
    </row>
    <row r="8" spans="1:9">
      <c r="A8" s="457">
        <v>2</v>
      </c>
      <c r="B8" s="457" t="s">
        <v>1418</v>
      </c>
      <c r="C8" s="837"/>
      <c r="D8" s="837"/>
      <c r="E8" s="837"/>
      <c r="F8" s="837"/>
      <c r="G8" s="837"/>
      <c r="H8" s="837"/>
      <c r="I8" s="530">
        <f>+SUM(C8:H8)</f>
        <v>0</v>
      </c>
    </row>
    <row r="9" spans="1:9">
      <c r="A9" s="531">
        <v>3</v>
      </c>
      <c r="B9" s="531" t="s">
        <v>1419</v>
      </c>
      <c r="C9" s="530">
        <f>+C7+C8</f>
        <v>0</v>
      </c>
      <c r="D9" s="530">
        <f>+D7+D8</f>
        <v>0</v>
      </c>
      <c r="E9" s="530">
        <f t="shared" ref="E9:H9" si="0">+E7+E8</f>
        <v>0</v>
      </c>
      <c r="F9" s="530">
        <f t="shared" si="0"/>
        <v>0</v>
      </c>
      <c r="G9" s="530">
        <f t="shared" si="0"/>
        <v>0</v>
      </c>
      <c r="H9" s="530">
        <f t="shared" si="0"/>
        <v>0</v>
      </c>
      <c r="I9" s="530">
        <f>+I7+I8</f>
        <v>0</v>
      </c>
    </row>
    <row r="10" spans="1:9">
      <c r="A10" s="457">
        <v>4</v>
      </c>
      <c r="B10" s="457" t="s">
        <v>1420</v>
      </c>
      <c r="C10" s="837"/>
      <c r="D10" s="837"/>
      <c r="E10" s="837"/>
      <c r="F10" s="837"/>
      <c r="G10" s="837"/>
      <c r="H10" s="837"/>
      <c r="I10" s="530">
        <f>+SUM(C10:H10)</f>
        <v>0</v>
      </c>
    </row>
    <row r="11" spans="1:9">
      <c r="A11" s="457">
        <v>5</v>
      </c>
      <c r="B11" s="457" t="s">
        <v>1421</v>
      </c>
      <c r="C11" s="837"/>
      <c r="D11" s="837"/>
      <c r="E11" s="837"/>
      <c r="F11" s="837"/>
      <c r="G11" s="837"/>
      <c r="H11" s="837"/>
      <c r="I11" s="530">
        <f>+SUM(C11:H11)</f>
        <v>0</v>
      </c>
    </row>
    <row r="12" spans="1:9">
      <c r="A12" s="457">
        <v>6</v>
      </c>
      <c r="B12" s="457" t="s">
        <v>1422</v>
      </c>
      <c r="C12" s="837"/>
      <c r="D12" s="837"/>
      <c r="E12" s="837"/>
      <c r="F12" s="837"/>
      <c r="G12" s="837"/>
      <c r="H12" s="837"/>
      <c r="I12" s="530">
        <f t="shared" ref="I12:I14" si="1">+SUM(C12:H12)</f>
        <v>0</v>
      </c>
    </row>
    <row r="13" spans="1:9">
      <c r="A13" s="457">
        <v>7</v>
      </c>
      <c r="B13" s="457" t="s">
        <v>1423</v>
      </c>
      <c r="C13" s="837"/>
      <c r="D13" s="837"/>
      <c r="E13" s="837"/>
      <c r="F13" s="837"/>
      <c r="G13" s="837"/>
      <c r="H13" s="837"/>
      <c r="I13" s="530">
        <f t="shared" si="1"/>
        <v>0</v>
      </c>
    </row>
    <row r="14" spans="1:9">
      <c r="A14" s="457">
        <v>8</v>
      </c>
      <c r="B14" s="457" t="s">
        <v>1424</v>
      </c>
      <c r="C14" s="837"/>
      <c r="D14" s="837"/>
      <c r="E14" s="837"/>
      <c r="F14" s="837"/>
      <c r="G14" s="837"/>
      <c r="H14" s="837"/>
      <c r="I14" s="530">
        <f t="shared" si="1"/>
        <v>0</v>
      </c>
    </row>
    <row r="15" spans="1:9">
      <c r="A15" s="567">
        <v>9</v>
      </c>
      <c r="B15" s="882" t="s">
        <v>1425</v>
      </c>
      <c r="C15" s="583">
        <f>SUM(C9:C14)</f>
        <v>0</v>
      </c>
      <c r="D15" s="583">
        <f>SUM(D9:D14)</f>
        <v>0</v>
      </c>
      <c r="E15" s="583">
        <f t="shared" ref="E15:G15" si="2">SUM(E9:E14)</f>
        <v>0</v>
      </c>
      <c r="F15" s="583">
        <f t="shared" si="2"/>
        <v>0</v>
      </c>
      <c r="G15" s="583">
        <f t="shared" si="2"/>
        <v>0</v>
      </c>
      <c r="H15" s="583">
        <f>SUM(H9:H14)</f>
        <v>0</v>
      </c>
      <c r="I15" s="583">
        <f>SUM(C15:D15,-E15,F15:H15)</f>
        <v>0</v>
      </c>
    </row>
    <row r="16" spans="1:9" s="848" customFormat="1">
      <c r="C16" s="849" t="str">
        <f>IF(C15=BS!I90,"","Балансын дүнгээс зөрүүтэй")</f>
        <v/>
      </c>
      <c r="D16" s="849" t="str">
        <f>IF(D15=BS!I91,"","Балансын дүнгээс зөрүүтэй")</f>
        <v/>
      </c>
      <c r="E16" s="849" t="str">
        <f>IF(E15=BS!I92,"","Балансын дүнгээс зөрүүтэй")</f>
        <v/>
      </c>
      <c r="F16" s="849" t="str">
        <f>IF(F15=BS!I93,"","Балансын дүнгээс зөрүүтэй")</f>
        <v/>
      </c>
      <c r="G16" s="849" t="str">
        <f>IF(G15=BS!I95,"","Балансын дүнгээс зөрүүтэй")</f>
        <v/>
      </c>
      <c r="H16" s="849" t="str">
        <f>IF(H15=BS!I94,"","Балансын дүнгээс зөрүүтэй")</f>
        <v/>
      </c>
      <c r="I16" s="849" t="str">
        <f>IF(I15=BS!I96,"","Балансын дүнгээс зөрүүтэй")</f>
        <v/>
      </c>
    </row>
    <row r="17" spans="3:4">
      <c r="C17" s="3" t="str">
        <f>+Statistic!A56</f>
        <v>ТАМГА</v>
      </c>
    </row>
    <row r="19" spans="3:4">
      <c r="C19" s="3" t="str">
        <f>+Statistic!A58</f>
        <v xml:space="preserve">             ТАЙЛАНГ ҮНЭН ЗӨВ ГАРГАСАН:</v>
      </c>
    </row>
    <row r="21" spans="3:4">
      <c r="D21" s="454" t="str">
        <f>+Statistic!B60</f>
        <v>ГҮЙЦЭТГЭХ ЗАХИРАЛ.......................//</v>
      </c>
    </row>
    <row r="23" spans="3:4">
      <c r="D23" s="454" t="str">
        <f>+Statistic!B62</f>
        <v>ЕРӨНХИЙ НЯГТЛАН БОДОГЧ...................................................//</v>
      </c>
    </row>
  </sheetData>
  <sheetProtection algorithmName="SHA-512" hashValue="ZG3yLSFxBSwOXhrvTDeARo19YvEwTfcY6HZhGpHie5B76vx6H/45zFyuN4KUIqdX03xdFyhGYxnsWx92oXDulg==" saltValue="Oump9lu5dzTRPKuRBn1F7A=="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9"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453" customWidth="1"/>
    <col min="4" max="16384" width="9.140625" style="3"/>
  </cols>
  <sheetData>
    <row r="1" spans="1:8">
      <c r="C1" s="452" t="s">
        <v>1413</v>
      </c>
    </row>
    <row r="2" spans="1:8">
      <c r="A2" s="982" t="s">
        <v>1412</v>
      </c>
      <c r="B2" s="982"/>
      <c r="C2" s="982"/>
    </row>
    <row r="3" spans="1:8">
      <c r="A3" s="1029" t="str">
        <f>+Statistic!A3</f>
        <v xml:space="preserve">БАНК БУС САНХҮҮГИЙН БАЙГУУЛЛАГЫН НЭР </v>
      </c>
      <c r="B3" s="1029"/>
      <c r="C3" s="1029"/>
      <c r="D3" s="127"/>
      <c r="E3" s="127"/>
      <c r="F3" s="127"/>
      <c r="G3" s="127"/>
      <c r="H3" s="127"/>
    </row>
    <row r="4" spans="1:8">
      <c r="A4" s="1030" t="s">
        <v>1</v>
      </c>
      <c r="B4" s="1030"/>
      <c r="C4" s="1030"/>
      <c r="D4" s="447"/>
      <c r="E4" s="447"/>
      <c r="F4" s="447"/>
      <c r="G4" s="447"/>
      <c r="H4" s="447"/>
    </row>
    <row r="5" spans="1:8">
      <c r="A5" s="532">
        <f>+Statistic!A7</f>
        <v>45716</v>
      </c>
      <c r="C5" s="452" t="s">
        <v>1216</v>
      </c>
    </row>
    <row r="6" spans="1:8">
      <c r="A6" s="533" t="s">
        <v>1217</v>
      </c>
      <c r="B6" s="534" t="s">
        <v>1218</v>
      </c>
      <c r="C6" s="535" t="s">
        <v>1369</v>
      </c>
    </row>
    <row r="7" spans="1:8">
      <c r="A7" s="526">
        <v>1</v>
      </c>
      <c r="B7" s="567" t="s">
        <v>1370</v>
      </c>
      <c r="C7" s="569"/>
    </row>
    <row r="8" spans="1:8">
      <c r="A8" s="477">
        <v>1.1000000000000001</v>
      </c>
      <c r="B8" s="477" t="s">
        <v>1371</v>
      </c>
      <c r="C8" s="830"/>
    </row>
    <row r="9" spans="1:8">
      <c r="A9" s="477">
        <v>1.2</v>
      </c>
      <c r="B9" s="477" t="s">
        <v>1372</v>
      </c>
      <c r="C9" s="839"/>
    </row>
    <row r="10" spans="1:8">
      <c r="A10" s="477">
        <v>1.3</v>
      </c>
      <c r="B10" s="477" t="s">
        <v>1373</v>
      </c>
      <c r="C10" s="839"/>
    </row>
    <row r="11" spans="1:8">
      <c r="A11" s="477">
        <v>1.4</v>
      </c>
      <c r="B11" s="477" t="s">
        <v>1374</v>
      </c>
      <c r="C11" s="839"/>
    </row>
    <row r="12" spans="1:8">
      <c r="A12" s="477">
        <v>1.5</v>
      </c>
      <c r="B12" s="536" t="s">
        <v>55</v>
      </c>
      <c r="C12" s="831"/>
    </row>
    <row r="13" spans="1:8">
      <c r="A13" s="537">
        <v>1.6</v>
      </c>
      <c r="B13" s="538" t="s">
        <v>1375</v>
      </c>
      <c r="C13" s="539">
        <f>SUM(C8:C12)</f>
        <v>0</v>
      </c>
    </row>
    <row r="14" spans="1:8">
      <c r="A14" s="477">
        <v>1.7</v>
      </c>
      <c r="B14" s="536" t="s">
        <v>1376</v>
      </c>
      <c r="C14" s="831"/>
    </row>
    <row r="15" spans="1:8">
      <c r="A15" s="477">
        <v>1.8</v>
      </c>
      <c r="B15" s="536" t="s">
        <v>1377</v>
      </c>
      <c r="C15" s="831"/>
    </row>
    <row r="16" spans="1:8">
      <c r="A16" s="477">
        <v>1.9</v>
      </c>
      <c r="B16" s="536" t="s">
        <v>1378</v>
      </c>
      <c r="C16" s="831"/>
    </row>
    <row r="17" spans="1:3">
      <c r="A17" s="477">
        <v>1.1000000000000001</v>
      </c>
      <c r="B17" s="536" t="s">
        <v>1379</v>
      </c>
      <c r="C17" s="831"/>
    </row>
    <row r="18" spans="1:3">
      <c r="A18" s="477">
        <v>1.1100000000000001</v>
      </c>
      <c r="B18" s="536" t="s">
        <v>1380</v>
      </c>
      <c r="C18" s="831"/>
    </row>
    <row r="19" spans="1:3">
      <c r="A19" s="477">
        <v>1.1200000000000001</v>
      </c>
      <c r="B19" s="536" t="s">
        <v>1381</v>
      </c>
      <c r="C19" s="831"/>
    </row>
    <row r="20" spans="1:3">
      <c r="A20" s="477">
        <v>1.1299999999999999</v>
      </c>
      <c r="B20" s="536" t="s">
        <v>1382</v>
      </c>
      <c r="C20" s="831"/>
    </row>
    <row r="21" spans="1:3">
      <c r="A21" s="477">
        <v>1.1399999999999999</v>
      </c>
      <c r="B21" s="536" t="s">
        <v>56</v>
      </c>
      <c r="C21" s="831"/>
    </row>
    <row r="22" spans="1:3">
      <c r="A22" s="537">
        <v>1.1499999999999999</v>
      </c>
      <c r="B22" s="540" t="s">
        <v>1383</v>
      </c>
      <c r="C22" s="539">
        <f>SUM(C14:C21)</f>
        <v>0</v>
      </c>
    </row>
    <row r="23" spans="1:3">
      <c r="A23" s="572">
        <v>1.1599999999999999</v>
      </c>
      <c r="B23" s="560" t="s">
        <v>1384</v>
      </c>
      <c r="C23" s="573">
        <f>+C13-C22</f>
        <v>0</v>
      </c>
    </row>
    <row r="24" spans="1:3">
      <c r="A24" s="526">
        <v>2</v>
      </c>
      <c r="B24" s="567" t="s">
        <v>1385</v>
      </c>
      <c r="C24" s="570"/>
    </row>
    <row r="25" spans="1:3">
      <c r="A25" s="477">
        <v>2.1</v>
      </c>
      <c r="B25" s="541" t="s">
        <v>1386</v>
      </c>
      <c r="C25" s="830"/>
    </row>
    <row r="26" spans="1:3">
      <c r="A26" s="477">
        <v>2.2000000000000002</v>
      </c>
      <c r="B26" s="541" t="s">
        <v>1387</v>
      </c>
      <c r="C26" s="830"/>
    </row>
    <row r="27" spans="1:3">
      <c r="A27" s="477">
        <v>2.2999999999999998</v>
      </c>
      <c r="B27" s="541" t="s">
        <v>1388</v>
      </c>
      <c r="C27" s="839"/>
    </row>
    <row r="28" spans="1:3">
      <c r="A28" s="477">
        <v>2.4</v>
      </c>
      <c r="B28" s="541" t="s">
        <v>1389</v>
      </c>
      <c r="C28" s="839"/>
    </row>
    <row r="29" spans="1:3">
      <c r="A29" s="477">
        <v>2.5</v>
      </c>
      <c r="B29" s="541" t="s">
        <v>1390</v>
      </c>
      <c r="C29" s="839"/>
    </row>
    <row r="30" spans="1:3">
      <c r="A30" s="537">
        <v>2.6</v>
      </c>
      <c r="B30" s="540" t="s">
        <v>1391</v>
      </c>
      <c r="C30" s="539">
        <f>SUM(C25:C29)</f>
        <v>0</v>
      </c>
    </row>
    <row r="31" spans="1:3">
      <c r="A31" s="477">
        <v>2.7</v>
      </c>
      <c r="B31" s="541" t="s">
        <v>1392</v>
      </c>
      <c r="C31" s="830"/>
    </row>
    <row r="32" spans="1:3">
      <c r="A32" s="477">
        <v>2.8</v>
      </c>
      <c r="B32" s="541" t="s">
        <v>1393</v>
      </c>
      <c r="C32" s="830"/>
    </row>
    <row r="33" spans="1:3">
      <c r="A33" s="477">
        <v>2.9</v>
      </c>
      <c r="B33" s="541" t="s">
        <v>1394</v>
      </c>
      <c r="C33" s="830"/>
    </row>
    <row r="34" spans="1:3">
      <c r="A34" s="477">
        <v>2.1</v>
      </c>
      <c r="B34" s="541" t="s">
        <v>1395</v>
      </c>
      <c r="C34" s="830"/>
    </row>
    <row r="35" spans="1:3">
      <c r="A35" s="477">
        <v>2.11</v>
      </c>
      <c r="B35" s="541" t="s">
        <v>55</v>
      </c>
      <c r="C35" s="839"/>
    </row>
    <row r="36" spans="1:3">
      <c r="A36" s="537">
        <v>2.12</v>
      </c>
      <c r="B36" s="540" t="s">
        <v>1396</v>
      </c>
      <c r="C36" s="539">
        <f>SUM(C31:C35)</f>
        <v>0</v>
      </c>
    </row>
    <row r="37" spans="1:3">
      <c r="A37" s="572">
        <v>2.13</v>
      </c>
      <c r="B37" s="560" t="s">
        <v>1397</v>
      </c>
      <c r="C37" s="574">
        <f>+C30-C36</f>
        <v>0</v>
      </c>
    </row>
    <row r="38" spans="1:3">
      <c r="A38" s="526">
        <v>3</v>
      </c>
      <c r="B38" s="567" t="s">
        <v>1398</v>
      </c>
      <c r="C38" s="571"/>
    </row>
    <row r="39" spans="1:3">
      <c r="A39" s="477">
        <v>3.1</v>
      </c>
      <c r="B39" s="541" t="s">
        <v>1399</v>
      </c>
      <c r="C39" s="839"/>
    </row>
    <row r="40" spans="1:3">
      <c r="A40" s="477">
        <v>3.2</v>
      </c>
      <c r="B40" s="541" t="s">
        <v>1400</v>
      </c>
      <c r="C40" s="830"/>
    </row>
    <row r="41" spans="1:3">
      <c r="A41" s="477">
        <v>3.3</v>
      </c>
      <c r="B41" s="541" t="s">
        <v>1401</v>
      </c>
      <c r="C41" s="830"/>
    </row>
    <row r="42" spans="1:3">
      <c r="A42" s="477">
        <v>3.4</v>
      </c>
      <c r="B42" s="541" t="s">
        <v>55</v>
      </c>
      <c r="C42" s="830"/>
    </row>
    <row r="43" spans="1:3">
      <c r="A43" s="537">
        <v>3.5</v>
      </c>
      <c r="B43" s="540" t="s">
        <v>1402</v>
      </c>
      <c r="C43" s="539">
        <f>SUM(C39:C42)</f>
        <v>0</v>
      </c>
    </row>
    <row r="44" spans="1:3">
      <c r="A44" s="477">
        <v>3.6</v>
      </c>
      <c r="B44" s="541" t="s">
        <v>1403</v>
      </c>
      <c r="C44" s="830"/>
    </row>
    <row r="45" spans="1:3">
      <c r="A45" s="477">
        <v>3.7</v>
      </c>
      <c r="B45" s="541" t="s">
        <v>1404</v>
      </c>
      <c r="C45" s="839"/>
    </row>
    <row r="46" spans="1:3">
      <c r="A46" s="477">
        <v>3.8</v>
      </c>
      <c r="B46" s="541" t="s">
        <v>1405</v>
      </c>
      <c r="C46" s="831"/>
    </row>
    <row r="47" spans="1:3">
      <c r="A47" s="477">
        <v>3.9</v>
      </c>
      <c r="B47" s="541" t="s">
        <v>55</v>
      </c>
      <c r="C47" s="831"/>
    </row>
    <row r="48" spans="1:3">
      <c r="A48" s="537">
        <v>3.1</v>
      </c>
      <c r="B48" s="540" t="s">
        <v>1406</v>
      </c>
      <c r="C48" s="539">
        <f>SUM(C44:C47)</f>
        <v>0</v>
      </c>
    </row>
    <row r="49" spans="1:3">
      <c r="A49" s="572">
        <v>3.11</v>
      </c>
      <c r="B49" s="560" t="s">
        <v>1407</v>
      </c>
      <c r="C49" s="563">
        <f>+C43-C48</f>
        <v>0</v>
      </c>
    </row>
    <row r="50" spans="1:3">
      <c r="A50" s="542">
        <v>4</v>
      </c>
      <c r="B50" s="460" t="s">
        <v>1408</v>
      </c>
      <c r="C50" s="831"/>
    </row>
    <row r="51" spans="1:3">
      <c r="A51" s="542">
        <v>5</v>
      </c>
      <c r="B51" s="460" t="s">
        <v>1409</v>
      </c>
      <c r="C51" s="543">
        <f>ROUND((C23+C37+C49+C50),2)</f>
        <v>0</v>
      </c>
    </row>
    <row r="52" spans="1:3">
      <c r="A52" s="542">
        <v>6</v>
      </c>
      <c r="B52" s="460" t="s">
        <v>1410</v>
      </c>
      <c r="C52" s="831"/>
    </row>
    <row r="53" spans="1:3">
      <c r="A53" s="526">
        <v>7</v>
      </c>
      <c r="B53" s="567" t="s">
        <v>1411</v>
      </c>
      <c r="C53" s="527">
        <f>ROUND(GB!D9,2)</f>
        <v>0</v>
      </c>
    </row>
    <row r="54" spans="1:3">
      <c r="C54" s="869" t="str">
        <f>IF(C53=C51+C52,"","Балансын дүнгээс зөрүүтэй")</f>
        <v/>
      </c>
    </row>
    <row r="55" spans="1:3">
      <c r="A55" s="3" t="str">
        <f>+Statistic!A56</f>
        <v>ТАМГА</v>
      </c>
    </row>
    <row r="56" spans="1:3">
      <c r="B56" s="3" t="str">
        <f>+Statistic!A58</f>
        <v xml:space="preserve">             ТАЙЛАНГ ҮНЭН ЗӨВ ГАРГАСАН:</v>
      </c>
    </row>
    <row r="58" spans="1:3">
      <c r="B58" s="634" t="str">
        <f>+Statistic!B60</f>
        <v>ГҮЙЦЭТГЭХ ЗАХИРАЛ.......................//</v>
      </c>
    </row>
    <row r="59" spans="1:3">
      <c r="B59" s="635"/>
    </row>
    <row r="60" spans="1:3">
      <c r="B60" s="634" t="str">
        <f>+Statistic!B62</f>
        <v>ЕРӨНХИЙ НЯГТЛАН БОДОГЧ...................................................//</v>
      </c>
    </row>
  </sheetData>
  <sheetProtection algorithmName="SHA-512" hashValue="dqJPVyeoihR5ctKEKhLLXYzuGeKFv5TpCq7gehdhmzAchbUxENTiQ/xF78p9tX4P/GNkpbWtPOHSvQUxkm0fkw==" saltValue="xUxcaz6pV49yHacyiAyhU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F68"/>
  <sheetViews>
    <sheetView topLeftCell="A23" workbookViewId="0"/>
  </sheetViews>
  <sheetFormatPr defaultRowHeight="12.75"/>
  <cols>
    <col min="1" max="1" width="3.28515625" style="3" bestFit="1" customWidth="1"/>
    <col min="2" max="2" width="55.28515625" style="3" customWidth="1"/>
    <col min="3" max="3" width="12.140625" style="3" customWidth="1"/>
    <col min="4" max="4" width="23.28515625" style="90" customWidth="1"/>
    <col min="5" max="5" width="16.140625" style="90" customWidth="1"/>
    <col min="6" max="6" width="14.140625" style="3" customWidth="1"/>
    <col min="7" max="16384" width="9.140625" style="3"/>
  </cols>
  <sheetData>
    <row r="2" spans="1:5">
      <c r="A2" s="1035" t="s">
        <v>151</v>
      </c>
      <c r="B2" s="1035"/>
      <c r="C2" s="1035"/>
      <c r="D2" s="1035"/>
      <c r="E2" s="1035"/>
    </row>
    <row r="3" spans="1:5">
      <c r="A3" s="1036" t="str">
        <f>+GB!A3</f>
        <v xml:space="preserve">БАНК БУС САНХҮҮГИЙН БАЙГУУЛЛАГЫН НЭР </v>
      </c>
      <c r="B3" s="1036"/>
      <c r="C3" s="1036"/>
      <c r="D3" s="1036"/>
      <c r="E3" s="1036"/>
    </row>
    <row r="4" spans="1:5" ht="15" customHeight="1">
      <c r="A4" s="1037" t="str">
        <f>+GB!A4</f>
        <v>БАНК БУС САНХҮҮГИЙН БАЙГУУЛЛАГА</v>
      </c>
      <c r="B4" s="1037"/>
      <c r="C4" s="1037"/>
      <c r="D4" s="1037"/>
      <c r="E4" s="1037"/>
    </row>
    <row r="5" spans="1:5" ht="15" customHeight="1">
      <c r="A5" s="37"/>
      <c r="B5" s="37"/>
      <c r="C5" s="37"/>
      <c r="D5" s="37"/>
      <c r="E5" s="37"/>
    </row>
    <row r="6" spans="1:5" ht="13.5" thickBot="1">
      <c r="A6" s="1038">
        <f>+GB!A6</f>
        <v>45716</v>
      </c>
      <c r="B6" s="1039"/>
      <c r="C6" s="38"/>
      <c r="D6" s="97"/>
      <c r="E6" s="98" t="s">
        <v>41</v>
      </c>
    </row>
    <row r="7" spans="1:5" ht="13.5" thickTop="1">
      <c r="A7" s="39"/>
      <c r="B7" s="1040" t="s">
        <v>137</v>
      </c>
      <c r="C7" s="1041"/>
      <c r="D7" s="1042" t="s">
        <v>152</v>
      </c>
      <c r="E7" s="1043"/>
    </row>
    <row r="8" spans="1:5">
      <c r="A8" s="40" t="s">
        <v>153</v>
      </c>
      <c r="B8" s="1044" t="s">
        <v>154</v>
      </c>
      <c r="C8" s="1045"/>
      <c r="D8" s="1046">
        <f>+SUM(D9,D19)-D17</f>
        <v>0</v>
      </c>
      <c r="E8" s="1047"/>
    </row>
    <row r="9" spans="1:5">
      <c r="A9" s="1048" t="s">
        <v>155</v>
      </c>
      <c r="B9" s="1049"/>
      <c r="C9" s="1049"/>
      <c r="D9" s="1050">
        <f>+SUM(D10,-D11,D12:E16)</f>
        <v>0</v>
      </c>
      <c r="E9" s="1051"/>
    </row>
    <row r="10" spans="1:5">
      <c r="A10" s="41">
        <v>1</v>
      </c>
      <c r="B10" s="1052" t="s">
        <v>156</v>
      </c>
      <c r="C10" s="1053"/>
      <c r="D10" s="1054">
        <f>+GB!H419+GB!H420</f>
        <v>0</v>
      </c>
      <c r="E10" s="1055"/>
    </row>
    <row r="11" spans="1:5">
      <c r="A11" s="42">
        <v>2</v>
      </c>
      <c r="B11" s="1056" t="s">
        <v>60</v>
      </c>
      <c r="C11" s="1057"/>
      <c r="D11" s="1058">
        <f>+GB!H428</f>
        <v>0</v>
      </c>
      <c r="E11" s="1059"/>
    </row>
    <row r="12" spans="1:5">
      <c r="A12" s="43">
        <v>3</v>
      </c>
      <c r="B12" s="1060" t="s">
        <v>157</v>
      </c>
      <c r="C12" s="1061"/>
      <c r="D12" s="1058">
        <f>+GB!H425</f>
        <v>0</v>
      </c>
      <c r="E12" s="1062"/>
    </row>
    <row r="13" spans="1:5" hidden="1">
      <c r="A13" s="43">
        <v>4</v>
      </c>
      <c r="B13" s="1063" t="s">
        <v>63</v>
      </c>
      <c r="C13" s="1064"/>
      <c r="D13" s="1065"/>
      <c r="E13" s="1066"/>
    </row>
    <row r="14" spans="1:5">
      <c r="A14" s="43">
        <v>5</v>
      </c>
      <c r="B14" s="1060" t="s">
        <v>158</v>
      </c>
      <c r="C14" s="1067"/>
      <c r="D14" s="1058">
        <f>+GB!H434</f>
        <v>0</v>
      </c>
      <c r="E14" s="1062"/>
    </row>
    <row r="15" spans="1:5">
      <c r="A15" s="43">
        <v>6</v>
      </c>
      <c r="B15" s="1068" t="s">
        <v>133</v>
      </c>
      <c r="C15" s="1069"/>
      <c r="D15" s="1058">
        <f>+IS!D208</f>
        <v>0</v>
      </c>
      <c r="E15" s="1062"/>
    </row>
    <row r="16" spans="1:5">
      <c r="A16" s="44">
        <v>7</v>
      </c>
      <c r="B16" s="1070" t="s">
        <v>134</v>
      </c>
      <c r="C16" s="1071"/>
      <c r="D16" s="1072">
        <f>+GB!H432</f>
        <v>0</v>
      </c>
      <c r="E16" s="1073"/>
    </row>
    <row r="17" spans="1:6">
      <c r="A17" s="43">
        <v>8</v>
      </c>
      <c r="B17" s="1074" t="s">
        <v>159</v>
      </c>
      <c r="C17" s="1075"/>
      <c r="D17" s="1076"/>
      <c r="E17" s="1077"/>
    </row>
    <row r="18" spans="1:6" ht="15" customHeight="1">
      <c r="A18" s="1078" t="s">
        <v>160</v>
      </c>
      <c r="B18" s="1079"/>
      <c r="C18" s="1080"/>
      <c r="D18" s="1081">
        <f>+SUM(D9+D17)</f>
        <v>0</v>
      </c>
      <c r="E18" s="1082"/>
    </row>
    <row r="19" spans="1:6">
      <c r="A19" s="1083" t="s">
        <v>161</v>
      </c>
      <c r="B19" s="1084"/>
      <c r="C19" s="1085"/>
      <c r="D19" s="1086">
        <f>+SUM(D20:E23)</f>
        <v>0</v>
      </c>
      <c r="E19" s="1087"/>
    </row>
    <row r="20" spans="1:6">
      <c r="A20" s="42">
        <v>9</v>
      </c>
      <c r="B20" s="1052" t="s">
        <v>59</v>
      </c>
      <c r="C20" s="1088"/>
      <c r="D20" s="1089">
        <f>+GB!H418+GB!H424-GB!H427</f>
        <v>0</v>
      </c>
      <c r="E20" s="1090"/>
    </row>
    <row r="21" spans="1:6">
      <c r="A21" s="42">
        <v>10</v>
      </c>
      <c r="B21" s="1056" t="s">
        <v>62</v>
      </c>
      <c r="C21" s="1091"/>
      <c r="D21" s="1089">
        <f>+GB!H429</f>
        <v>0</v>
      </c>
      <c r="E21" s="1090"/>
    </row>
    <row r="22" spans="1:6">
      <c r="A22" s="42">
        <v>11</v>
      </c>
      <c r="B22" s="1060" t="s">
        <v>65</v>
      </c>
      <c r="C22" s="1057"/>
      <c r="D22" s="1089">
        <f>GB!H422+GB!H433-GB!H434</f>
        <v>0</v>
      </c>
      <c r="E22" s="1090"/>
    </row>
    <row r="23" spans="1:6">
      <c r="A23" s="46">
        <v>12</v>
      </c>
      <c r="B23" s="1095" t="s">
        <v>162</v>
      </c>
      <c r="C23" s="1096"/>
      <c r="D23" s="1089">
        <f>+GB!H421</f>
        <v>0</v>
      </c>
      <c r="E23" s="1090"/>
    </row>
    <row r="24" spans="1:6" ht="15" customHeight="1">
      <c r="A24" s="1097" t="s">
        <v>163</v>
      </c>
      <c r="B24" s="1099" t="s">
        <v>164</v>
      </c>
      <c r="C24" s="1101" t="s">
        <v>165</v>
      </c>
      <c r="D24" s="1103" t="s">
        <v>166</v>
      </c>
      <c r="E24" s="99">
        <f>+SUM(E26,E44,D17,E46,E47)</f>
        <v>0</v>
      </c>
    </row>
    <row r="25" spans="1:6" ht="25.5">
      <c r="A25" s="1098"/>
      <c r="B25" s="1100"/>
      <c r="C25" s="1102"/>
      <c r="D25" s="1104"/>
      <c r="E25" s="100" t="s">
        <v>167</v>
      </c>
    </row>
    <row r="26" spans="1:6" ht="13.5" customHeight="1">
      <c r="A26" s="1105" t="s">
        <v>168</v>
      </c>
      <c r="B26" s="1106"/>
      <c r="C26" s="1107"/>
      <c r="D26" s="101">
        <f>+SUM(D27:D43)</f>
        <v>0</v>
      </c>
      <c r="E26" s="102">
        <f>+SUM(E27:E43)</f>
        <v>0</v>
      </c>
    </row>
    <row r="27" spans="1:6">
      <c r="A27" s="43">
        <v>1</v>
      </c>
      <c r="B27" s="45" t="s">
        <v>169</v>
      </c>
      <c r="C27" s="47">
        <v>0</v>
      </c>
      <c r="D27" s="103">
        <f>GB!D12+GB!D21</f>
        <v>0</v>
      </c>
      <c r="E27" s="104">
        <f t="shared" ref="E27:E43" si="0">+C27*D27</f>
        <v>0</v>
      </c>
    </row>
    <row r="28" spans="1:6">
      <c r="A28" s="43">
        <v>2</v>
      </c>
      <c r="B28" s="45" t="s">
        <v>170</v>
      </c>
      <c r="C28" s="47">
        <v>0.2</v>
      </c>
      <c r="D28" s="105">
        <f>GB!D15+GB!D24</f>
        <v>0</v>
      </c>
      <c r="E28" s="106">
        <f t="shared" si="0"/>
        <v>0</v>
      </c>
    </row>
    <row r="29" spans="1:6">
      <c r="A29" s="43">
        <v>3</v>
      </c>
      <c r="B29" s="45" t="s">
        <v>171</v>
      </c>
      <c r="C29" s="47">
        <v>0</v>
      </c>
      <c r="D29" s="105">
        <f>GB!D18</f>
        <v>0</v>
      </c>
      <c r="E29" s="106">
        <f t="shared" si="0"/>
        <v>0</v>
      </c>
    </row>
    <row r="30" spans="1:6">
      <c r="A30" s="43">
        <v>4</v>
      </c>
      <c r="B30" s="45" t="s">
        <v>172</v>
      </c>
      <c r="C30" s="47">
        <v>0.2</v>
      </c>
      <c r="D30" s="105">
        <f>SUM(GB!D28,GB!D48,GB!D82,GB!D102,GB!D127,GB!D141,-GB!D155)</f>
        <v>0</v>
      </c>
      <c r="E30" s="106">
        <f t="shared" si="0"/>
        <v>0</v>
      </c>
    </row>
    <row r="31" spans="1:6">
      <c r="A31" s="43">
        <v>5</v>
      </c>
      <c r="B31" s="45" t="s">
        <v>173</v>
      </c>
      <c r="C31" s="47">
        <v>0.2</v>
      </c>
      <c r="D31" s="105">
        <f>+IF(ROUND(SUM(F31:F34),1)&gt;ROUND(SUM(GB!D38,GB!D58,GB!D92,GB!D112,GB!D134,GB!D148),1),"БУРУУ ӨГӨГДӨЛ",ROUND(F31,1))</f>
        <v>0</v>
      </c>
      <c r="E31" s="106">
        <f t="shared" si="0"/>
        <v>0</v>
      </c>
      <c r="F31" s="865"/>
    </row>
    <row r="32" spans="1:6">
      <c r="A32" s="43">
        <v>6</v>
      </c>
      <c r="B32" s="45" t="s">
        <v>173</v>
      </c>
      <c r="C32" s="47">
        <v>0.5</v>
      </c>
      <c r="D32" s="105">
        <f>+IF(ROUND(SUM(F31:F34),1)&gt;ROUND(SUM(GB!D38,GB!D58,GB!D92,GB!D112,GB!D134,GB!D148),1),"БУРУУ ӨГӨГДӨЛ",ROUND(F32,1))</f>
        <v>0</v>
      </c>
      <c r="E32" s="106">
        <f t="shared" si="0"/>
        <v>0</v>
      </c>
      <c r="F32" s="865"/>
    </row>
    <row r="33" spans="1:6">
      <c r="A33" s="43">
        <v>7</v>
      </c>
      <c r="B33" s="45" t="s">
        <v>173</v>
      </c>
      <c r="C33" s="47">
        <v>1</v>
      </c>
      <c r="D33" s="105">
        <f>+IF(ROUND(SUM(F31:F34),1)&gt;ROUND(SUM(GB!D38,GB!D58,GB!D92,GB!D112,GB!D134,GB!D148),1),"БУРУУ ӨГӨГДӨЛ",ROUND(F33,1))</f>
        <v>0</v>
      </c>
      <c r="E33" s="106">
        <f t="shared" si="0"/>
        <v>0</v>
      </c>
      <c r="F33" s="865"/>
    </row>
    <row r="34" spans="1:6">
      <c r="A34" s="43">
        <v>8</v>
      </c>
      <c r="B34" s="45" t="s">
        <v>173</v>
      </c>
      <c r="C34" s="47">
        <v>1.5</v>
      </c>
      <c r="D34" s="105">
        <f>+IF(ROUND(SUM(F31:F34),1)&gt;ROUND(SUM(GB!D38,GB!D58,GB!D92,GB!D112,GB!D134,GB!D148),1),"БУРУУ ӨГӨГДӨЛ",ROUND(F34,1))</f>
        <v>0</v>
      </c>
      <c r="E34" s="106">
        <f t="shared" si="0"/>
        <v>0</v>
      </c>
      <c r="F34" s="865"/>
    </row>
    <row r="35" spans="1:6">
      <c r="A35" s="43">
        <v>9</v>
      </c>
      <c r="B35" s="45" t="s">
        <v>174</v>
      </c>
      <c r="C35" s="47">
        <v>0</v>
      </c>
      <c r="D35" s="105">
        <f>SUM(GB!D70,GB!D74,-GB!D78,GB!D124,GB!D223,GB!D256,-GB!D281,GB!D306,GB!D402,-GB!D427,GB!D452,GB!D536,-GB!D561,GB!D586,GB!D619,-GB!D644,GB!D669)</f>
        <v>0</v>
      </c>
      <c r="E35" s="106">
        <f t="shared" si="0"/>
        <v>0</v>
      </c>
    </row>
    <row r="36" spans="1:6">
      <c r="A36" s="43">
        <v>10</v>
      </c>
      <c r="B36" s="45" t="s">
        <v>175</v>
      </c>
      <c r="C36" s="47">
        <v>0</v>
      </c>
      <c r="D36" s="105">
        <f>SUM(GB!D69,GB!D75,-GB!D79,GB!D123,GB!D224,GB!D257,-GB!D282,GB!D310,GB!D403,-GB!D428,GB!D456,GB!D537,-GB!D562,GB!D587,GB!D620,-GB!D645,GB!D670)</f>
        <v>0</v>
      </c>
      <c r="E36" s="106">
        <f t="shared" si="0"/>
        <v>0</v>
      </c>
    </row>
    <row r="37" spans="1:6">
      <c r="A37" s="43">
        <v>11</v>
      </c>
      <c r="B37" s="45" t="s">
        <v>176</v>
      </c>
      <c r="C37" s="47">
        <v>1</v>
      </c>
      <c r="D37" s="105">
        <f>SUM(GB!D71,GB!D76,-GB!D80,GB!D125,GB!D159,GB!D225,GB!D232,GB!D239,GB!D240,GB!D247,GB!D258,GB!D265,GB!D266,GB!D273,-GB!D283,-GB!D290,-GB!D291,-GB!D298,GB!D314,GB!D337,GB!D344,GB!D350,GB!D373,GB!D404,GB!D411,GB!D412,GB!D419,-GB!D429,-GB!D436,-GB!D437,-GB!D444,GB!D460,GB!D483,GB!D488,GB!D511,GB!D538,GB!D545,GB!D546,GB!D553,-GB!D563,-GB!D570,-GB!D571,-GB!D578,GB!D588,GB!D595,GB!D602,GB!D603,GB!D610,GB!D621,GB!D628,GB!D629,GB!D636,-GB!D646,-GB!D653,-GB!D654,-GB!D661,GB!D671,GB!D678,GB!D679,GB!D686,-GB!D693)</f>
        <v>0</v>
      </c>
      <c r="E37" s="106">
        <f>+C37*D37</f>
        <v>0</v>
      </c>
    </row>
    <row r="38" spans="1:6">
      <c r="A38" s="42">
        <v>12</v>
      </c>
      <c r="B38" s="45" t="s">
        <v>177</v>
      </c>
      <c r="C38" s="48">
        <v>1</v>
      </c>
      <c r="D38" s="107">
        <f>+GB!D694</f>
        <v>0</v>
      </c>
      <c r="E38" s="108">
        <f t="shared" si="0"/>
        <v>0</v>
      </c>
    </row>
    <row r="39" spans="1:6">
      <c r="A39" s="49">
        <v>13</v>
      </c>
      <c r="B39" s="45" t="s">
        <v>178</v>
      </c>
      <c r="C39" s="48">
        <v>1</v>
      </c>
      <c r="D39" s="105">
        <f>+GB!D1298</f>
        <v>0</v>
      </c>
      <c r="E39" s="109">
        <f t="shared" si="0"/>
        <v>0</v>
      </c>
    </row>
    <row r="40" spans="1:6">
      <c r="A40" s="42">
        <v>14</v>
      </c>
      <c r="B40" s="45" t="s">
        <v>179</v>
      </c>
      <c r="C40" s="48">
        <v>1</v>
      </c>
      <c r="D40" s="105">
        <f>+GB!D1091</f>
        <v>0</v>
      </c>
      <c r="E40" s="109">
        <f t="shared" si="0"/>
        <v>0</v>
      </c>
    </row>
    <row r="41" spans="1:6">
      <c r="A41" s="42">
        <v>15</v>
      </c>
      <c r="B41" s="45" t="s">
        <v>180</v>
      </c>
      <c r="C41" s="48">
        <v>1</v>
      </c>
      <c r="D41" s="105">
        <f>+GB!D1467</f>
        <v>0</v>
      </c>
      <c r="E41" s="106">
        <f t="shared" si="0"/>
        <v>0</v>
      </c>
    </row>
    <row r="42" spans="1:6">
      <c r="A42" s="42">
        <v>16</v>
      </c>
      <c r="B42" s="45" t="s">
        <v>181</v>
      </c>
      <c r="C42" s="48">
        <v>1</v>
      </c>
      <c r="D42" s="105">
        <f>+GB!D1484</f>
        <v>0</v>
      </c>
      <c r="E42" s="106">
        <f t="shared" si="0"/>
        <v>0</v>
      </c>
    </row>
    <row r="43" spans="1:6">
      <c r="A43" s="42">
        <v>17</v>
      </c>
      <c r="B43" s="50" t="s">
        <v>182</v>
      </c>
      <c r="C43" s="48">
        <v>1</v>
      </c>
      <c r="D43" s="110">
        <f>SUM(GB!D1235,GB!D1442,GB!D1443,GB!D1454,GB!D1455,GB!D1458,GB!D1460,GB!D1461,GB!D1471,GB!D1472,GB!D1473,GB!D1474,GB!D1475,GB!D1479,GB!D1483)</f>
        <v>0</v>
      </c>
      <c r="E43" s="111">
        <f t="shared" si="0"/>
        <v>0</v>
      </c>
    </row>
    <row r="44" spans="1:6" ht="13.5" customHeight="1">
      <c r="A44" s="1108" t="s">
        <v>183</v>
      </c>
      <c r="B44" s="1109"/>
      <c r="C44" s="1109"/>
      <c r="D44" s="1110"/>
      <c r="E44" s="112">
        <f>+E45</f>
        <v>0</v>
      </c>
    </row>
    <row r="45" spans="1:6">
      <c r="A45" s="51">
        <v>18</v>
      </c>
      <c r="B45" s="52" t="s">
        <v>184</v>
      </c>
      <c r="C45" s="53">
        <v>1</v>
      </c>
      <c r="D45" s="113">
        <f>+GB!D1674</f>
        <v>0</v>
      </c>
      <c r="E45" s="114">
        <f>+C45*D45</f>
        <v>0</v>
      </c>
    </row>
    <row r="46" spans="1:6">
      <c r="A46" s="54" t="s">
        <v>149</v>
      </c>
      <c r="B46" s="1111" t="s">
        <v>185</v>
      </c>
      <c r="C46" s="1112"/>
      <c r="D46" s="1113"/>
      <c r="E46" s="115">
        <f>ABS(Forex!M26)</f>
        <v>0</v>
      </c>
    </row>
    <row r="47" spans="1:6">
      <c r="A47" s="55" t="s">
        <v>150</v>
      </c>
      <c r="B47" s="1114" t="s">
        <v>186</v>
      </c>
      <c r="C47" s="1115"/>
      <c r="D47" s="1116"/>
      <c r="E47" s="116">
        <f>Statistic!C52*0.15/0.2</f>
        <v>0</v>
      </c>
      <c r="F47" s="9"/>
    </row>
    <row r="48" spans="1:6">
      <c r="A48" s="56" t="s">
        <v>187</v>
      </c>
      <c r="B48" s="1117" t="s">
        <v>188</v>
      </c>
      <c r="C48" s="1118"/>
      <c r="D48" s="1119"/>
      <c r="E48" s="117" t="s">
        <v>189</v>
      </c>
    </row>
    <row r="49" spans="1:5">
      <c r="A49" s="57">
        <v>1</v>
      </c>
      <c r="B49" s="1092" t="s">
        <v>190</v>
      </c>
      <c r="C49" s="1093"/>
      <c r="D49" s="1094"/>
      <c r="E49" s="118" t="e">
        <f>+D9/E24*100%</f>
        <v>#DIV/0!</v>
      </c>
    </row>
    <row r="50" spans="1:5">
      <c r="A50" s="58">
        <v>2</v>
      </c>
      <c r="B50" s="1121" t="s">
        <v>191</v>
      </c>
      <c r="C50" s="1122"/>
      <c r="D50" s="1123"/>
      <c r="E50" s="119" t="e">
        <f>IF(E49&lt;0.1,"Хангаагүй","Хангасан")</f>
        <v>#DIV/0!</v>
      </c>
    </row>
    <row r="51" spans="1:5" ht="12.75" customHeight="1">
      <c r="A51" s="56" t="s">
        <v>192</v>
      </c>
      <c r="B51" s="1117" t="s">
        <v>193</v>
      </c>
      <c r="C51" s="1118"/>
      <c r="D51" s="1119"/>
      <c r="E51" s="120" t="s">
        <v>194</v>
      </c>
    </row>
    <row r="52" spans="1:5">
      <c r="A52" s="51">
        <v>1</v>
      </c>
      <c r="B52" s="1121" t="s">
        <v>190</v>
      </c>
      <c r="C52" s="1122"/>
      <c r="D52" s="1123"/>
      <c r="E52" s="914" t="e">
        <f>BS!I96/E24</f>
        <v>#DIV/0!</v>
      </c>
    </row>
    <row r="53" spans="1:5">
      <c r="A53" s="51">
        <v>2</v>
      </c>
      <c r="B53" s="1121" t="s">
        <v>191</v>
      </c>
      <c r="C53" s="1122"/>
      <c r="D53" s="1123"/>
      <c r="E53" s="119" t="e">
        <f>+IF(E52&lt;0.2,"Хангаагүй","Хангасан")</f>
        <v>#DIV/0!</v>
      </c>
    </row>
    <row r="54" spans="1:5" ht="12.75" customHeight="1">
      <c r="A54" s="59" t="s">
        <v>195</v>
      </c>
      <c r="B54" s="1117" t="s">
        <v>196</v>
      </c>
      <c r="C54" s="1118"/>
      <c r="D54" s="1119"/>
      <c r="E54" s="120" t="s">
        <v>189</v>
      </c>
    </row>
    <row r="55" spans="1:5">
      <c r="A55" s="58">
        <v>1</v>
      </c>
      <c r="B55" s="1121" t="s">
        <v>190</v>
      </c>
      <c r="C55" s="1122"/>
      <c r="D55" s="1123"/>
      <c r="E55" s="915" t="e">
        <f>+D9/BS!D102</f>
        <v>#DIV/0!</v>
      </c>
    </row>
    <row r="56" spans="1:5" ht="13.5" thickBot="1">
      <c r="A56" s="60">
        <v>2</v>
      </c>
      <c r="B56" s="1124" t="s">
        <v>191</v>
      </c>
      <c r="C56" s="1125"/>
      <c r="D56" s="1126"/>
      <c r="E56" s="121" t="e">
        <f>+IF(E55&lt;0.1,"Хангаагүй","Хангасан")</f>
        <v>#DIV/0!</v>
      </c>
    </row>
    <row r="57" spans="1:5" ht="13.5" thickTop="1"/>
    <row r="59" spans="1:5">
      <c r="A59" s="976" t="s">
        <v>33</v>
      </c>
      <c r="B59" s="976"/>
      <c r="C59" s="92"/>
      <c r="D59" s="13"/>
      <c r="E59" s="14"/>
    </row>
    <row r="60" spans="1:5">
      <c r="A60" s="34"/>
      <c r="B60" s="93"/>
      <c r="C60" s="92"/>
      <c r="D60" s="13"/>
      <c r="E60" s="14"/>
    </row>
    <row r="61" spans="1:5" ht="15" customHeight="1">
      <c r="A61" s="1028" t="s">
        <v>122</v>
      </c>
      <c r="B61" s="1028"/>
      <c r="C61" s="94"/>
      <c r="D61" s="17"/>
      <c r="E61" s="3"/>
    </row>
    <row r="62" spans="1:5">
      <c r="A62" s="16"/>
      <c r="B62" s="93"/>
      <c r="C62" s="92"/>
      <c r="D62" s="13"/>
      <c r="E62" s="14"/>
    </row>
    <row r="63" spans="1:5">
      <c r="A63" s="1120" t="str">
        <f>+Statistic!B60</f>
        <v>ГҮЙЦЭТГЭХ ЗАХИРАЛ.......................//</v>
      </c>
      <c r="B63" s="1120"/>
      <c r="C63" s="1120"/>
      <c r="D63" s="1120"/>
      <c r="E63" s="1120"/>
    </row>
    <row r="64" spans="1:5">
      <c r="A64" s="95"/>
      <c r="B64" s="95"/>
      <c r="C64" s="95"/>
      <c r="D64" s="95"/>
      <c r="E64" s="95"/>
    </row>
    <row r="65" spans="1:5">
      <c r="A65" s="1120" t="str">
        <f>+Statistic!B62</f>
        <v>ЕРӨНХИЙ НЯГТЛАН БОДОГЧ...................................................//</v>
      </c>
      <c r="B65" s="1120"/>
      <c r="C65" s="1120"/>
      <c r="D65" s="1120"/>
      <c r="E65" s="1120"/>
    </row>
    <row r="66" spans="1:5">
      <c r="A66" s="95"/>
      <c r="B66" s="95"/>
      <c r="C66" s="95"/>
      <c r="D66" s="95"/>
      <c r="E66" s="95"/>
    </row>
    <row r="67" spans="1:5">
      <c r="A67" s="1120"/>
      <c r="B67" s="1120"/>
      <c r="C67" s="1120"/>
      <c r="D67" s="1120"/>
      <c r="E67" s="1120"/>
    </row>
    <row r="68" spans="1:5">
      <c r="A68" s="90"/>
      <c r="B68" s="90"/>
      <c r="C68" s="91"/>
      <c r="D68" s="3"/>
      <c r="E68" s="3"/>
    </row>
  </sheetData>
  <sheetProtection algorithmName="SHA-512" hashValue="VgEngiwjr6tlhYipMVUm+HHxNhm6oTBnqttU2EMjLryZggPPyVoJplFQdTrWvRoS4FMoyqdYZxD9g3LqX8nLgA==" saltValue="1Krbb4VuKIzjQuwtacRsRg==" spinCount="100000" sheet="1" objects="1" scenarios="1"/>
  <mergeCells count="60">
    <mergeCell ref="A67:E67"/>
    <mergeCell ref="B50:D50"/>
    <mergeCell ref="B51:D51"/>
    <mergeCell ref="B52:D52"/>
    <mergeCell ref="B53:D53"/>
    <mergeCell ref="B54:D54"/>
    <mergeCell ref="B55:D55"/>
    <mergeCell ref="B56:D56"/>
    <mergeCell ref="A59:B59"/>
    <mergeCell ref="A61:B61"/>
    <mergeCell ref="A63:E63"/>
    <mergeCell ref="A65:E65"/>
    <mergeCell ref="B49:D49"/>
    <mergeCell ref="B23:C23"/>
    <mergeCell ref="D23:E23"/>
    <mergeCell ref="A24:A25"/>
    <mergeCell ref="B24:B25"/>
    <mergeCell ref="C24:C25"/>
    <mergeCell ref="D24:D25"/>
    <mergeCell ref="A26:C26"/>
    <mergeCell ref="A44:D44"/>
    <mergeCell ref="B46:D46"/>
    <mergeCell ref="B47:D47"/>
    <mergeCell ref="B48:D48"/>
    <mergeCell ref="B20:C20"/>
    <mergeCell ref="D20:E20"/>
    <mergeCell ref="B21:C21"/>
    <mergeCell ref="D21:E21"/>
    <mergeCell ref="B22:C22"/>
    <mergeCell ref="D22:E22"/>
    <mergeCell ref="B17:C17"/>
    <mergeCell ref="D17:E17"/>
    <mergeCell ref="A18:C18"/>
    <mergeCell ref="D18:E18"/>
    <mergeCell ref="A19:C19"/>
    <mergeCell ref="D19:E19"/>
    <mergeCell ref="B14:C14"/>
    <mergeCell ref="D14:E14"/>
    <mergeCell ref="B15:C15"/>
    <mergeCell ref="D15:E15"/>
    <mergeCell ref="B16:C16"/>
    <mergeCell ref="D16:E16"/>
    <mergeCell ref="B11:C11"/>
    <mergeCell ref="D11:E11"/>
    <mergeCell ref="B12:C12"/>
    <mergeCell ref="D12:E12"/>
    <mergeCell ref="B13:C13"/>
    <mergeCell ref="D13:E13"/>
    <mergeCell ref="B8:C8"/>
    <mergeCell ref="D8:E8"/>
    <mergeCell ref="A9:C9"/>
    <mergeCell ref="D9:E9"/>
    <mergeCell ref="B10:C10"/>
    <mergeCell ref="D10:E10"/>
    <mergeCell ref="A2:E2"/>
    <mergeCell ref="A3:E3"/>
    <mergeCell ref="A4:E4"/>
    <mergeCell ref="A6:B6"/>
    <mergeCell ref="B7:C7"/>
    <mergeCell ref="D7:E7"/>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63.28515625" style="3" customWidth="1"/>
    <col min="3" max="4" width="17.7109375" style="863" customWidth="1"/>
    <col min="5" max="5" width="17.7109375" style="863" bestFit="1" customWidth="1"/>
    <col min="6" max="16384" width="9.140625" style="3"/>
  </cols>
  <sheetData>
    <row r="2" spans="1:6">
      <c r="A2" s="982" t="s">
        <v>197</v>
      </c>
      <c r="B2" s="982"/>
      <c r="C2" s="982"/>
      <c r="D2" s="982"/>
      <c r="E2" s="982"/>
    </row>
    <row r="3" spans="1:6">
      <c r="A3" s="990" t="str">
        <f>GB!A3</f>
        <v xml:space="preserve">БАНК БУС САНХҮҮГИЙН БАЙГУУЛЛАГЫН НЭР </v>
      </c>
      <c r="B3" s="990"/>
      <c r="C3" s="990"/>
      <c r="D3" s="990"/>
      <c r="E3" s="990"/>
    </row>
    <row r="4" spans="1:6">
      <c r="A4" s="982" t="str">
        <f>GB!A4</f>
        <v>БАНК БУС САНХҮҮГИЙН БАЙГУУЛЛАГА</v>
      </c>
      <c r="B4" s="982"/>
      <c r="C4" s="982"/>
      <c r="D4" s="982"/>
      <c r="E4" s="982"/>
    </row>
    <row r="5" spans="1:6">
      <c r="A5" s="1"/>
      <c r="B5" s="1"/>
      <c r="C5" s="1"/>
      <c r="D5" s="1"/>
      <c r="E5" s="1"/>
    </row>
    <row r="6" spans="1:6">
      <c r="A6" s="1128">
        <f>GB!A6</f>
        <v>45716</v>
      </c>
      <c r="B6" s="1128"/>
      <c r="C6" s="842"/>
      <c r="D6" s="842"/>
      <c r="E6" s="843" t="s">
        <v>41</v>
      </c>
    </row>
    <row r="7" spans="1:6">
      <c r="A7" s="1129" t="s">
        <v>137</v>
      </c>
      <c r="B7" s="1129"/>
      <c r="C7" s="844" t="s">
        <v>198</v>
      </c>
      <c r="D7" s="844" t="s">
        <v>199</v>
      </c>
      <c r="E7" s="844" t="s">
        <v>152</v>
      </c>
    </row>
    <row r="8" spans="1:6">
      <c r="A8" s="1130" t="s">
        <v>200</v>
      </c>
      <c r="B8" s="1130"/>
      <c r="C8" s="845">
        <f>+SUM(C9:C13)</f>
        <v>0</v>
      </c>
      <c r="D8" s="845">
        <f>+SUM(D9:D13)</f>
        <v>0</v>
      </c>
      <c r="E8" s="846">
        <f>+SUM(E9:E13)</f>
        <v>0</v>
      </c>
    </row>
    <row r="9" spans="1:6">
      <c r="A9" s="847">
        <v>1</v>
      </c>
      <c r="B9" s="23" t="s">
        <v>169</v>
      </c>
      <c r="C9" s="395">
        <f>SUM(GB!D13,GB!D16,GB!D19,GB!D22,GB!D25)</f>
        <v>0</v>
      </c>
      <c r="D9" s="395">
        <f>+SUM(GB!D14,GB!D17,GB!D20,GB!D23,GB!D26)</f>
        <v>0</v>
      </c>
      <c r="E9" s="395">
        <f>+C9+D9</f>
        <v>0</v>
      </c>
    </row>
    <row r="10" spans="1:6">
      <c r="A10" s="847">
        <v>2</v>
      </c>
      <c r="B10" s="23" t="s">
        <v>201</v>
      </c>
      <c r="C10" s="395">
        <f>+SUM(GB!D30,GB!D40,GB!D50,GB!D60,GB!D84,GB!D94,GB!D104,GB!D114)</f>
        <v>0</v>
      </c>
      <c r="D10" s="395">
        <f>+SUM(GB!D31,GB!D41,GB!D51,GB!D61,GB!D85,GB!D95,GB!D105,GB!D115)</f>
        <v>0</v>
      </c>
      <c r="E10" s="395">
        <f>+C10+D10</f>
        <v>0</v>
      </c>
    </row>
    <row r="11" spans="1:6">
      <c r="A11" s="847">
        <v>3</v>
      </c>
      <c r="B11" s="23" t="s">
        <v>202</v>
      </c>
      <c r="C11" s="395">
        <f>+SUM(GB!D33,GB!D36,GB!D43,GB!D46,GB!D53,GB!D56,GB!D63,GB!D66,GB!D87,GB!D90,GB!D97,GB!D100,GB!D107,GB!D110,GB!D117,GB!D120,GB!D128,GB!D135,GB!D142,GB!D149,-GB!D156,GB!D71,GB!D76,-GB!D80,GB!D125,GB!D161,GB!D170,GB!D179,GB!D187,GB!D192,GB!D201,GB!D210,-GB!D219)</f>
        <v>0</v>
      </c>
      <c r="D11" s="395">
        <f>SUM(GB!D34,GB!D37,GB!D44,GB!D47,GB!D54,GB!D57,GB!D64,GB!D67,GB!D88,GB!D91,GB!D98,GB!D101,GB!D108,GB!D111,GB!D118,GB!D121,GB!D131,GB!D138,GB!D145,GB!D152,-GB!D157,GB!D165,GB!D174,GB!D183,GB!D196,GB!D205,GB!D214,-GB!D220)</f>
        <v>0</v>
      </c>
      <c r="E11" s="395">
        <f>+C11+D11</f>
        <v>0</v>
      </c>
    </row>
    <row r="12" spans="1:6">
      <c r="A12" s="847">
        <v>4</v>
      </c>
      <c r="B12" s="23" t="s">
        <v>47</v>
      </c>
      <c r="C12" s="395">
        <f>SUM(GB!D70,GB!D74,-GB!D78,GB!D124,GB!D223,GB!D256,-GB!D281,GB!D306,GB!D402,-GB!D427,GB!D452,GB!D536,-GB!D561,GB!D586,GB!D691,-GB!D644,GB!D669)</f>
        <v>0</v>
      </c>
      <c r="D12" s="395">
        <v>0</v>
      </c>
      <c r="E12" s="395">
        <f>+C12+D12</f>
        <v>0</v>
      </c>
    </row>
    <row r="13" spans="1:6">
      <c r="A13" s="847">
        <v>5</v>
      </c>
      <c r="B13" s="23" t="s">
        <v>48</v>
      </c>
      <c r="C13" s="395">
        <f>SUM(GB!D69,GB!D75,-GB!D79,GB!D123,GB!D224,GB!D257,-GB!D282,GB!D310,GB!D403,-GB!D428,GB!D456,GB!D537,-GB!D562,GB!D587,GB!D620,-GB!D645,GB!D670)</f>
        <v>0</v>
      </c>
      <c r="D13" s="395">
        <v>0</v>
      </c>
      <c r="E13" s="395">
        <f>+C13+D13</f>
        <v>0</v>
      </c>
    </row>
    <row r="14" spans="1:6">
      <c r="A14" s="1130" t="s">
        <v>203</v>
      </c>
      <c r="B14" s="1130"/>
      <c r="C14" s="845">
        <f>+SUM(C15:C17,C21:C25)</f>
        <v>0</v>
      </c>
      <c r="D14" s="845">
        <f t="shared" ref="D14:E14" si="0">+SUM(D15:D17,D21:D25)</f>
        <v>0</v>
      </c>
      <c r="E14" s="845">
        <f t="shared" si="0"/>
        <v>0</v>
      </c>
    </row>
    <row r="15" spans="1:6">
      <c r="A15" s="847">
        <v>1</v>
      </c>
      <c r="B15" s="23" t="s">
        <v>710</v>
      </c>
      <c r="C15" s="395">
        <f>SUM(GB!H12,GB!H19,GB!H26,GB!H33,GB!H40,GB!H43,GB!H46,GB!H49)</f>
        <v>0</v>
      </c>
      <c r="D15" s="395">
        <f>SUM(GB!H15,GB!H22,GB!H29,GB!H36,GB!H41,GB!H44,GB!H47,GB!H50)</f>
        <v>0</v>
      </c>
      <c r="E15" s="395">
        <f>SUM(C15:D15)</f>
        <v>0</v>
      </c>
      <c r="F15" s="848"/>
    </row>
    <row r="16" spans="1:6">
      <c r="A16" s="847">
        <v>2</v>
      </c>
      <c r="B16" s="23" t="s">
        <v>735</v>
      </c>
      <c r="C16" s="864">
        <f>SUM(ALM!C20:G20)</f>
        <v>0</v>
      </c>
      <c r="D16" s="864">
        <f>SUM(ALM!C21:G21)</f>
        <v>0</v>
      </c>
      <c r="E16" s="395">
        <f t="shared" ref="E16:E17" si="1">SUM(C16:D16)</f>
        <v>0</v>
      </c>
      <c r="F16" s="849"/>
    </row>
    <row r="17" spans="1:8">
      <c r="A17" s="847">
        <v>3</v>
      </c>
      <c r="B17" s="23" t="s">
        <v>773</v>
      </c>
      <c r="C17" s="864">
        <f>SUM(C18:C20)</f>
        <v>0</v>
      </c>
      <c r="D17" s="864">
        <f>SUM(D18:D20)</f>
        <v>0</v>
      </c>
      <c r="E17" s="395">
        <f t="shared" si="1"/>
        <v>0</v>
      </c>
      <c r="F17" s="848"/>
    </row>
    <row r="18" spans="1:8">
      <c r="A18" s="847">
        <v>4</v>
      </c>
      <c r="B18" s="850" t="s">
        <v>1475</v>
      </c>
      <c r="C18" s="864">
        <f>SUM(GB!H179,GB!H186,GB!H191)</f>
        <v>0</v>
      </c>
      <c r="D18" s="864">
        <f>SUM(GB!H182,GB!H189)</f>
        <v>0</v>
      </c>
      <c r="E18" s="395">
        <f>SUM(C18:D18)</f>
        <v>0</v>
      </c>
      <c r="F18" s="848"/>
    </row>
    <row r="19" spans="1:8">
      <c r="A19" s="847">
        <v>5</v>
      </c>
      <c r="B19" s="850" t="s">
        <v>1476</v>
      </c>
      <c r="C19" s="864">
        <f>SUM(ALM!C25:G25)</f>
        <v>0</v>
      </c>
      <c r="D19" s="864">
        <f>SUM(ALM!C26:G26)</f>
        <v>0</v>
      </c>
      <c r="E19" s="395">
        <f>SUM(C19:D19)</f>
        <v>0</v>
      </c>
      <c r="F19" s="848"/>
    </row>
    <row r="20" spans="1:8">
      <c r="A20" s="847">
        <v>6</v>
      </c>
      <c r="B20" s="850" t="s">
        <v>1477</v>
      </c>
      <c r="C20" s="864">
        <f>SUM(ALM!C28:G28)</f>
        <v>0</v>
      </c>
      <c r="D20" s="864">
        <f>SUM(ALM!C29:G29)</f>
        <v>0</v>
      </c>
      <c r="E20" s="395">
        <f>E17-E18-E19</f>
        <v>0</v>
      </c>
      <c r="F20" s="848"/>
    </row>
    <row r="21" spans="1:8">
      <c r="A21" s="847">
        <v>7</v>
      </c>
      <c r="B21" s="23" t="s">
        <v>1161</v>
      </c>
      <c r="C21" s="395">
        <f>+GB!H313</f>
        <v>0</v>
      </c>
      <c r="D21" s="864">
        <v>0</v>
      </c>
      <c r="E21" s="395">
        <f>+GB!H313</f>
        <v>0</v>
      </c>
      <c r="F21" s="848"/>
    </row>
    <row r="22" spans="1:8">
      <c r="A22" s="847">
        <v>8</v>
      </c>
      <c r="B22" s="23" t="s">
        <v>832</v>
      </c>
      <c r="C22" s="395">
        <f>+GB!H374</f>
        <v>0</v>
      </c>
      <c r="D22" s="864">
        <v>0</v>
      </c>
      <c r="E22" s="395">
        <f>+GB!H374</f>
        <v>0</v>
      </c>
      <c r="F22" s="848"/>
    </row>
    <row r="23" spans="1:8">
      <c r="A23" s="847">
        <v>9</v>
      </c>
      <c r="B23" s="23" t="s">
        <v>66</v>
      </c>
      <c r="C23" s="395">
        <f>+GB!H384</f>
        <v>0</v>
      </c>
      <c r="D23" s="864">
        <v>0</v>
      </c>
      <c r="E23" s="395">
        <f>+GB!H384</f>
        <v>0</v>
      </c>
      <c r="F23" s="848"/>
    </row>
    <row r="24" spans="1:8">
      <c r="A24" s="847">
        <v>10</v>
      </c>
      <c r="B24" s="23" t="s">
        <v>855</v>
      </c>
      <c r="C24" s="395">
        <f>+GB!H401</f>
        <v>0</v>
      </c>
      <c r="D24" s="864">
        <v>0</v>
      </c>
      <c r="E24" s="395">
        <f>+GB!H401</f>
        <v>0</v>
      </c>
      <c r="F24" s="848"/>
    </row>
    <row r="25" spans="1:8">
      <c r="A25" s="847">
        <v>11</v>
      </c>
      <c r="B25" s="23" t="s">
        <v>1478</v>
      </c>
      <c r="C25" s="395">
        <f>+GB!H402</f>
        <v>0</v>
      </c>
      <c r="D25" s="864">
        <v>0</v>
      </c>
      <c r="E25" s="395">
        <f>+GB!H402</f>
        <v>0</v>
      </c>
      <c r="F25" s="848"/>
    </row>
    <row r="26" spans="1:8" ht="15" customHeight="1">
      <c r="A26" s="1131" t="s">
        <v>204</v>
      </c>
      <c r="B26" s="1131"/>
      <c r="C26" s="851">
        <v>0.08</v>
      </c>
      <c r="D26" s="851">
        <v>0.08</v>
      </c>
      <c r="E26" s="852">
        <v>0.08</v>
      </c>
    </row>
    <row r="27" spans="1:8">
      <c r="A27" s="853">
        <v>1</v>
      </c>
      <c r="B27" s="83" t="s">
        <v>190</v>
      </c>
      <c r="C27" s="854" t="str">
        <f>IF(C14=0,"-",C8/C14)</f>
        <v>-</v>
      </c>
      <c r="D27" s="854" t="str">
        <f>IF(D14=0,"-",D8/D14)</f>
        <v>-</v>
      </c>
      <c r="E27" s="854" t="str">
        <f>IF(E14=0,"-",E8/E14)</f>
        <v>-</v>
      </c>
    </row>
    <row r="28" spans="1:8">
      <c r="A28" s="847">
        <v>2</v>
      </c>
      <c r="B28" s="23" t="s">
        <v>191</v>
      </c>
      <c r="C28" s="855" t="str">
        <f>IF(C27="-","-",IF(C27&lt;0.08,"Хангаагүй","Хангасан"))</f>
        <v>-</v>
      </c>
      <c r="D28" s="855" t="str">
        <f>IF(D27="-","-",IF(D27&lt;0.08,"Хангаагүй","Хангасан"))</f>
        <v>-</v>
      </c>
      <c r="E28" s="855" t="str">
        <f>IF(E27="-","-",IF(E27&lt;0.08,"Хангаагүй","Хангасан"))</f>
        <v>-</v>
      </c>
    </row>
    <row r="29" spans="1:8" ht="15.75" customHeight="1">
      <c r="A29" s="26"/>
      <c r="C29" s="856"/>
      <c r="D29" s="856"/>
      <c r="E29" s="857"/>
    </row>
    <row r="30" spans="1:8" ht="12.75" customHeight="1">
      <c r="A30" s="976" t="s">
        <v>33</v>
      </c>
      <c r="B30" s="976"/>
      <c r="C30" s="858"/>
      <c r="D30" s="858"/>
      <c r="E30" s="252"/>
      <c r="F30" s="252"/>
      <c r="G30" s="13"/>
      <c r="H30" s="14"/>
    </row>
    <row r="31" spans="1:8">
      <c r="A31" s="15"/>
      <c r="B31" s="16"/>
      <c r="C31" s="859"/>
      <c r="D31" s="859"/>
      <c r="E31" s="252"/>
      <c r="F31" s="252"/>
      <c r="G31" s="13"/>
      <c r="H31" s="14"/>
    </row>
    <row r="32" spans="1:8">
      <c r="A32" s="15"/>
      <c r="B32" s="36" t="s">
        <v>122</v>
      </c>
      <c r="C32" s="860"/>
      <c r="D32" s="860"/>
      <c r="E32" s="36"/>
      <c r="F32" s="36"/>
      <c r="G32" s="13"/>
      <c r="H32" s="14"/>
    </row>
    <row r="33" spans="1:8">
      <c r="A33" s="15"/>
      <c r="B33" s="16"/>
      <c r="C33" s="859"/>
      <c r="D33" s="859"/>
      <c r="E33" s="252"/>
      <c r="F33" s="252"/>
      <c r="G33" s="13"/>
      <c r="H33" s="14"/>
    </row>
    <row r="34" spans="1:8">
      <c r="A34" s="15"/>
      <c r="B34" s="1127" t="str">
        <f>+Statistic!B60</f>
        <v>ГҮЙЦЭТГЭХ ЗАХИРАЛ.......................//</v>
      </c>
      <c r="C34" s="1127"/>
      <c r="D34" s="1127"/>
      <c r="E34" s="1127"/>
      <c r="F34" s="861"/>
    </row>
    <row r="35" spans="1:8">
      <c r="A35" s="15"/>
      <c r="B35" s="861"/>
      <c r="C35" s="862"/>
      <c r="D35" s="862"/>
      <c r="E35" s="861"/>
      <c r="F35" s="861"/>
    </row>
    <row r="36" spans="1:8">
      <c r="A36" s="15"/>
      <c r="B36" s="1127" t="str">
        <f>+Statistic!B62</f>
        <v>ЕРӨНХИЙ НЯГТЛАН БОДОГЧ...................................................//</v>
      </c>
      <c r="C36" s="1127"/>
      <c r="D36" s="1127"/>
      <c r="E36" s="1127"/>
      <c r="F36" s="861"/>
    </row>
    <row r="37" spans="1:8">
      <c r="A37" s="15"/>
      <c r="B37" s="861"/>
      <c r="C37" s="862"/>
      <c r="D37" s="862"/>
      <c r="E37" s="861"/>
      <c r="F37" s="861"/>
    </row>
    <row r="38" spans="1:8">
      <c r="A38" s="15"/>
      <c r="B38" s="1127"/>
      <c r="C38" s="1127"/>
      <c r="D38" s="1127"/>
      <c r="E38" s="1127"/>
      <c r="F38" s="861"/>
    </row>
  </sheetData>
  <sheetProtection algorithmName="SHA-512" hashValue="51imsr+PkLtlWI6nb5AZxfsKjlka8SUzC1P1nnfJ2VAoZSHMVnVku42TyClIFLK9kmSMQUJbLK9mWZcbRfliPA==" saltValue="jOPQHEBHWTYva2gXYF+Efw=="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dataValidations count="1">
    <dataValidation allowBlank="1" showInputMessage="1" showErrorMessage="1" prompt="Бусдаас татан төвлөрүүлсэн хөрөнгийн нийт дүнгээс 1 жилээс дээш урт хугацаат өр төлбөрийг хассан дүнг оруулна уу." sqref="C16:D16 C19:D20" xr:uid="{A394D17C-C8B9-4B24-A3A9-92F791AA272A}"/>
  </dataValidations>
  <pageMargins left="0.78740157480314965" right="0.78740157480314965" top="1.1811023622047243" bottom="0.59055118110236215" header="0.78740157480314965" footer="0.78740157480314965"/>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90" customWidth="1"/>
    <col min="12" max="13" width="15.28515625" style="90" customWidth="1"/>
    <col min="14" max="16384" width="9.140625" style="3"/>
  </cols>
  <sheetData>
    <row r="2" spans="1:13">
      <c r="A2" s="982" t="s">
        <v>205</v>
      </c>
      <c r="B2" s="982"/>
      <c r="C2" s="982"/>
      <c r="D2" s="982"/>
      <c r="E2" s="982"/>
      <c r="F2" s="982"/>
      <c r="G2" s="982"/>
      <c r="H2" s="982"/>
      <c r="I2" s="982"/>
      <c r="J2" s="982"/>
      <c r="K2" s="982"/>
      <c r="L2" s="982"/>
      <c r="M2" s="982"/>
    </row>
    <row r="3" spans="1:13">
      <c r="A3" s="990" t="str">
        <f>GB!A3</f>
        <v xml:space="preserve">БАНК БУС САНХҮҮГИЙН БАЙГУУЛЛАГЫН НЭР </v>
      </c>
      <c r="B3" s="990"/>
      <c r="C3" s="990"/>
      <c r="D3" s="990"/>
      <c r="E3" s="990"/>
      <c r="F3" s="990"/>
      <c r="G3" s="990"/>
      <c r="H3" s="990"/>
      <c r="I3" s="990"/>
      <c r="J3" s="990"/>
      <c r="K3" s="990"/>
      <c r="L3" s="990"/>
      <c r="M3" s="990"/>
    </row>
    <row r="4" spans="1:13" ht="13.5" customHeight="1">
      <c r="A4" s="982" t="str">
        <f>GB!A4</f>
        <v>БАНК БУС САНХҮҮГИЙН БАЙГУУЛЛАГА</v>
      </c>
      <c r="B4" s="982"/>
      <c r="C4" s="982"/>
      <c r="D4" s="982"/>
      <c r="E4" s="982"/>
      <c r="F4" s="982"/>
      <c r="G4" s="982"/>
      <c r="H4" s="982"/>
      <c r="I4" s="982"/>
      <c r="J4" s="982"/>
      <c r="K4" s="982"/>
      <c r="L4" s="982"/>
      <c r="M4" s="982"/>
    </row>
    <row r="5" spans="1:13" ht="13.5" customHeight="1">
      <c r="A5" s="1"/>
      <c r="B5" s="1"/>
      <c r="C5" s="1"/>
      <c r="D5" s="1"/>
      <c r="E5" s="1"/>
      <c r="F5" s="1"/>
      <c r="G5" s="1"/>
      <c r="H5" s="1"/>
      <c r="I5" s="1"/>
      <c r="J5" s="1"/>
      <c r="K5" s="1"/>
      <c r="L5" s="1"/>
      <c r="M5" s="1"/>
    </row>
    <row r="6" spans="1:13">
      <c r="A6" s="1034">
        <f>GB!A6</f>
        <v>45716</v>
      </c>
      <c r="B6" s="1034"/>
      <c r="L6" s="1132" t="s">
        <v>1453</v>
      </c>
      <c r="M6" s="1132"/>
    </row>
    <row r="7" spans="1:13">
      <c r="A7" s="1133" t="s">
        <v>137</v>
      </c>
      <c r="B7" s="1133"/>
      <c r="C7" s="1134" t="s">
        <v>206</v>
      </c>
      <c r="D7" s="1134"/>
      <c r="E7" s="1134"/>
      <c r="F7" s="1134"/>
      <c r="G7" s="1134"/>
      <c r="H7" s="1134"/>
      <c r="I7" s="1134"/>
      <c r="J7" s="1134"/>
      <c r="K7" s="1134"/>
      <c r="L7" s="1134" t="s">
        <v>152</v>
      </c>
      <c r="M7" s="1134"/>
    </row>
    <row r="8" spans="1:13">
      <c r="A8" s="1133"/>
      <c r="B8" s="1133"/>
      <c r="C8" s="270" t="s">
        <v>111</v>
      </c>
      <c r="D8" s="270" t="s">
        <v>113</v>
      </c>
      <c r="E8" s="270" t="s">
        <v>115</v>
      </c>
      <c r="F8" s="270" t="s">
        <v>116</v>
      </c>
      <c r="G8" s="270" t="s">
        <v>117</v>
      </c>
      <c r="H8" s="270" t="s">
        <v>119</v>
      </c>
      <c r="I8" s="270" t="s">
        <v>120</v>
      </c>
      <c r="J8" s="270" t="s">
        <v>121</v>
      </c>
      <c r="K8" s="270" t="s">
        <v>55</v>
      </c>
      <c r="L8" s="270" t="s">
        <v>207</v>
      </c>
      <c r="M8" s="270" t="s">
        <v>208</v>
      </c>
    </row>
    <row r="9" spans="1:13">
      <c r="A9" s="1141" t="s">
        <v>209</v>
      </c>
      <c r="B9" s="1141"/>
      <c r="C9" s="158">
        <f t="shared" ref="C9:K9" si="0">+SUM(C10:C15)</f>
        <v>0</v>
      </c>
      <c r="D9" s="158">
        <f t="shared" si="0"/>
        <v>0</v>
      </c>
      <c r="E9" s="158">
        <f t="shared" si="0"/>
        <v>0</v>
      </c>
      <c r="F9" s="158">
        <f t="shared" si="0"/>
        <v>0</v>
      </c>
      <c r="G9" s="158">
        <f t="shared" si="0"/>
        <v>0</v>
      </c>
      <c r="H9" s="158">
        <f t="shared" si="0"/>
        <v>0</v>
      </c>
      <c r="I9" s="158">
        <f t="shared" si="0"/>
        <v>0</v>
      </c>
      <c r="J9" s="158">
        <f t="shared" si="0"/>
        <v>0</v>
      </c>
      <c r="K9" s="158">
        <f t="shared" si="0"/>
        <v>0</v>
      </c>
      <c r="L9" s="158">
        <f>+SUM(L10:L15)</f>
        <v>0</v>
      </c>
      <c r="M9" s="158">
        <f>+SUM(M10:M15)</f>
        <v>0</v>
      </c>
    </row>
    <row r="10" spans="1:13">
      <c r="A10" s="25">
        <v>1</v>
      </c>
      <c r="B10" s="22" t="s">
        <v>210</v>
      </c>
      <c r="C10" s="148"/>
      <c r="D10" s="148"/>
      <c r="E10" s="148"/>
      <c r="F10" s="148"/>
      <c r="G10" s="148"/>
      <c r="H10" s="148"/>
      <c r="I10" s="148"/>
      <c r="J10" s="148"/>
      <c r="K10" s="148"/>
      <c r="L10" s="162">
        <f>+SUMPRODUCT(C10:K10,$C$32:$K$32)/$M$32</f>
        <v>0</v>
      </c>
      <c r="M10" s="159">
        <f>+SUM(GB!D14,GB!D17,GB!D20,GB!D23,GB!D26)</f>
        <v>0</v>
      </c>
    </row>
    <row r="11" spans="1:13" ht="25.5">
      <c r="A11" s="25">
        <v>2</v>
      </c>
      <c r="B11" s="157" t="s">
        <v>211</v>
      </c>
      <c r="C11" s="148"/>
      <c r="D11" s="148"/>
      <c r="E11" s="148"/>
      <c r="F11" s="148"/>
      <c r="G11" s="148"/>
      <c r="H11" s="148"/>
      <c r="I11" s="148"/>
      <c r="J11" s="148"/>
      <c r="K11" s="148"/>
      <c r="L11" s="159">
        <f t="shared" ref="L11:L14" si="1">+SUMPRODUCT(C11:K11,$C$32:$K$32)/$M$32</f>
        <v>0</v>
      </c>
      <c r="M11" s="159">
        <f>+SUM(GB!D31,GB!D34,GB!D37,GB!D41,GB!D44,GB!D47,GB!D51,GB!D54,GB!D57,GB!D61,GB!D64,GB!D67,GB!D85,GB!D88,GB!D91,GB!D95,GB!D98,GB!D101,GB!D105,GB!D108,GB!D111,GB!D115,GB!D118,GB!D121,GB!D131,GB!D138,GB!D145,GB!D152,GB!D165,GB!D174,GB!D183,GB!D196,GB!D205,GB!D214)</f>
        <v>0</v>
      </c>
    </row>
    <row r="12" spans="1:13">
      <c r="A12" s="25">
        <v>3</v>
      </c>
      <c r="B12" s="157" t="s">
        <v>212</v>
      </c>
      <c r="C12" s="148"/>
      <c r="D12" s="148"/>
      <c r="E12" s="148"/>
      <c r="F12" s="148"/>
      <c r="G12" s="148"/>
      <c r="H12" s="148"/>
      <c r="I12" s="148"/>
      <c r="J12" s="148"/>
      <c r="K12" s="148"/>
      <c r="L12" s="159">
        <f t="shared" si="1"/>
        <v>0</v>
      </c>
      <c r="M12" s="159">
        <f>+SUM(GB!D704,GB!D717,GB!D727,GB!D734,GB!D737,GB!D741,GB!D744,GB!D748,GB!D753,GB!D758,GB!D761,GB!D764,GB!D774,GB!D787,GB!D797,GB!D804,GB!D807,GB!D811,GB!D814,GB!D818,GB!D823,GB!D828,GB!D831,GB!D834,GB!D844,GB!D857,GB!D867,GB!D874,GB!D877,GB!D881,GB!D884,GB!D888,GB!D893,GB!D898,GB!D901,GB!D904,GB!D914,GB!D927,GB!D937,GB!D944,GB!D947,GB!D951,GB!D954,GB!D958,GB!D963,GB!D968,GB!D971,GB!D974,GB!D984,GB!D997,GB!D1007,GB!D1014,GB!D1017,GB!D1021,GB!D1024,GB!D1028,GB!D1033,GB!D1038,GB!D1041,GB!D1044,GB!D1048,GB!D1053,GB!D1058,GB!D1061,GB!D1064,GB!D1068,GB!D1073,GB!D1078,GB!D1081,GB!D1084,-GB!D1087,-GB!D1090)</f>
        <v>0</v>
      </c>
    </row>
    <row r="13" spans="1:13">
      <c r="A13" s="25">
        <v>4</v>
      </c>
      <c r="B13" s="157" t="s">
        <v>213</v>
      </c>
      <c r="C13" s="148"/>
      <c r="D13" s="148"/>
      <c r="E13" s="148"/>
      <c r="F13" s="148"/>
      <c r="G13" s="148"/>
      <c r="H13" s="148"/>
      <c r="I13" s="148"/>
      <c r="J13" s="148"/>
      <c r="K13" s="148"/>
      <c r="L13" s="159">
        <f t="shared" si="1"/>
        <v>0</v>
      </c>
      <c r="M13" s="159">
        <f>+SUM(GB!D1302,GB!D1307,GB!D1312,GB!D1315,GB!D1318,GB!D1322,GB!D1327,GB!D1332,GB!D1335,GB!D1338,GB!D1342,GB!D1347,GB!D1352,GB!D1355,GB!D1358,GB!D1362,GB!D1367,GB!D1372,GB!D1375,GB!D1378,GB!D1382,GB!D1387,GB!D1392,GB!D1395,GB!D1398,GB!D1402,GB!D1407,GB!D1412,GB!D1415,GB!D1418,GB!D1422,GB!D1427,GB!D1432,GB!D1435,GB!D1438,-GB!D1441)</f>
        <v>0</v>
      </c>
    </row>
    <row r="14" spans="1:13">
      <c r="A14" s="25">
        <v>5</v>
      </c>
      <c r="B14" s="157" t="s">
        <v>214</v>
      </c>
      <c r="C14" s="148"/>
      <c r="D14" s="148"/>
      <c r="E14" s="148"/>
      <c r="F14" s="148"/>
      <c r="G14" s="148"/>
      <c r="H14" s="148"/>
      <c r="I14" s="148"/>
      <c r="J14" s="148"/>
      <c r="K14" s="148"/>
      <c r="L14" s="159">
        <f t="shared" si="1"/>
        <v>0</v>
      </c>
      <c r="M14" s="159">
        <f>+SUM(GB!D1095,GB!D1100,GB!D1105,GB!D1108,GB!D1111,GB!D1115,GB!D1120,GB!D1125,GB!D1128,GB!D1131,GB!D1135,GB!D1140,GB!D1145,GB!D1148,GB!D1151,GB!D1155,GB!D1160,GB!D1165,GB!D1168,GB!D1171,GB!D1175,GB!D1180,GB!D1185,GB!D1188,GB!D1191,GB!D1195,GB!D1200,GB!D1205,GB!D1208,GB!D1211,GB!D1215,GB!D1220,GB!D1225,GB!D1228,GB!D1231,-GB!D1234)</f>
        <v>0</v>
      </c>
    </row>
    <row r="15" spans="1:13">
      <c r="A15" s="25">
        <v>6</v>
      </c>
      <c r="B15" s="157" t="s">
        <v>215</v>
      </c>
      <c r="C15" s="148"/>
      <c r="D15" s="148"/>
      <c r="E15" s="148"/>
      <c r="F15" s="148"/>
      <c r="G15" s="148"/>
      <c r="H15" s="148"/>
      <c r="I15" s="148"/>
      <c r="J15" s="148"/>
      <c r="K15" s="148"/>
      <c r="L15" s="159">
        <f>+SUMPRODUCT(C15:K15,$C$32:$K$32)/$M$32</f>
        <v>0</v>
      </c>
      <c r="M15" s="159">
        <f>+SUMPRODUCT(C15:K15,$C$32:$K$32)</f>
        <v>0</v>
      </c>
    </row>
    <row r="16" spans="1:13">
      <c r="A16" s="1141" t="s">
        <v>216</v>
      </c>
      <c r="B16" s="1141"/>
      <c r="C16" s="158">
        <f t="shared" ref="C16:K16" si="2">+SUM(C17:C22)</f>
        <v>0</v>
      </c>
      <c r="D16" s="158">
        <f t="shared" si="2"/>
        <v>0</v>
      </c>
      <c r="E16" s="158">
        <f t="shared" si="2"/>
        <v>0</v>
      </c>
      <c r="F16" s="158">
        <f t="shared" si="2"/>
        <v>0</v>
      </c>
      <c r="G16" s="158">
        <f t="shared" si="2"/>
        <v>0</v>
      </c>
      <c r="H16" s="158">
        <f t="shared" si="2"/>
        <v>0</v>
      </c>
      <c r="I16" s="158">
        <f t="shared" si="2"/>
        <v>0</v>
      </c>
      <c r="J16" s="158">
        <f t="shared" si="2"/>
        <v>0</v>
      </c>
      <c r="K16" s="158">
        <f t="shared" si="2"/>
        <v>0</v>
      </c>
      <c r="L16" s="158">
        <f>+SUM(L17:L22)</f>
        <v>0</v>
      </c>
      <c r="M16" s="158">
        <f>+SUM(M17:M22)</f>
        <v>0</v>
      </c>
    </row>
    <row r="17" spans="1:13">
      <c r="A17" s="160">
        <v>1</v>
      </c>
      <c r="B17" s="157" t="s">
        <v>217</v>
      </c>
      <c r="C17" s="148"/>
      <c r="D17" s="148"/>
      <c r="E17" s="148"/>
      <c r="F17" s="148"/>
      <c r="G17" s="148"/>
      <c r="H17" s="148"/>
      <c r="I17" s="148"/>
      <c r="J17" s="148"/>
      <c r="K17" s="148"/>
      <c r="L17" s="159">
        <f t="shared" ref="L17:L20" si="3">+SUMPRODUCT(C17:K17,$C$32:$K$32)/$M$32</f>
        <v>0</v>
      </c>
      <c r="M17" s="159">
        <f>SUM(GB!H14,GB!H21,GB!H28,GB!H35,GB!H41,GB!H44,GB!H47,GB!H50,GB!H54,GB!H57,GB!H60,GB!H63)</f>
        <v>0</v>
      </c>
    </row>
    <row r="18" spans="1:13">
      <c r="A18" s="160">
        <v>2</v>
      </c>
      <c r="B18" s="157" t="s">
        <v>218</v>
      </c>
      <c r="C18" s="148"/>
      <c r="D18" s="148"/>
      <c r="E18" s="148"/>
      <c r="F18" s="148"/>
      <c r="G18" s="148"/>
      <c r="H18" s="148"/>
      <c r="I18" s="148"/>
      <c r="J18" s="148"/>
      <c r="K18" s="148"/>
      <c r="L18" s="159">
        <f t="shared" si="3"/>
        <v>0</v>
      </c>
      <c r="M18" s="159">
        <f>SUM(GB!H68,GB!H71,GB!H75,GB!H78,GB!H81,GB!H84,GB!H87,GB!H90,-GB!H93,GB!H97,GB!H100,GB!H104,GB!H107,GB!H110,GB!H113,GB!H116,GB!H119,GB!H122,GB!H126,GB!H129,GB!H133,GB!H136,GB!H139,GB!H142,GB!H145,GB!H148,GB!H152,GB!H155,GB!H159,GB!H162,GB!H165,GB!H168,GB!H171,GB!H174)</f>
        <v>0</v>
      </c>
    </row>
    <row r="19" spans="1:13">
      <c r="A19" s="160">
        <v>3</v>
      </c>
      <c r="B19" s="22" t="s">
        <v>219</v>
      </c>
      <c r="C19" s="148"/>
      <c r="D19" s="148"/>
      <c r="E19" s="148"/>
      <c r="F19" s="148"/>
      <c r="G19" s="148"/>
      <c r="H19" s="148"/>
      <c r="I19" s="148"/>
      <c r="J19" s="148"/>
      <c r="K19" s="148"/>
      <c r="L19" s="159">
        <f t="shared" si="3"/>
        <v>0</v>
      </c>
      <c r="M19" s="159">
        <f>+SUM(GB!H224,GB!H227,GB!H230,GB!H233,GB!H236,GB!H239,-GB!H242)</f>
        <v>0</v>
      </c>
    </row>
    <row r="20" spans="1:13">
      <c r="A20" s="160">
        <v>4</v>
      </c>
      <c r="B20" s="22" t="s">
        <v>50</v>
      </c>
      <c r="C20" s="148"/>
      <c r="D20" s="148"/>
      <c r="E20" s="148"/>
      <c r="F20" s="148"/>
      <c r="G20" s="148"/>
      <c r="H20" s="148"/>
      <c r="I20" s="148"/>
      <c r="J20" s="148"/>
      <c r="K20" s="148"/>
      <c r="L20" s="159">
        <f t="shared" si="3"/>
        <v>0</v>
      </c>
      <c r="M20" s="159">
        <f>SUM(GB!H181,GB!H188,-GB!H194,-GB!H197)</f>
        <v>0</v>
      </c>
    </row>
    <row r="21" spans="1:13">
      <c r="A21" s="160">
        <v>5</v>
      </c>
      <c r="B21" s="157" t="s">
        <v>220</v>
      </c>
      <c r="C21" s="148"/>
      <c r="D21" s="148"/>
      <c r="E21" s="148"/>
      <c r="F21" s="148"/>
      <c r="G21" s="148"/>
      <c r="H21" s="148"/>
      <c r="I21" s="148"/>
      <c r="J21" s="148"/>
      <c r="K21" s="148"/>
      <c r="L21" s="159">
        <f>+SUMPRODUCT(C21:K21,$C$32:$K$32)/$M$32</f>
        <v>0</v>
      </c>
      <c r="M21" s="159">
        <f>+SUMPRODUCT(C21:K21,$C$32:$K$32)</f>
        <v>0</v>
      </c>
    </row>
    <row r="22" spans="1:13">
      <c r="A22" s="160">
        <v>6</v>
      </c>
      <c r="B22" s="157" t="s">
        <v>221</v>
      </c>
      <c r="C22" s="148"/>
      <c r="D22" s="148"/>
      <c r="E22" s="148"/>
      <c r="F22" s="148"/>
      <c r="G22" s="148"/>
      <c r="H22" s="148"/>
      <c r="I22" s="148"/>
      <c r="J22" s="148"/>
      <c r="K22" s="148"/>
      <c r="L22" s="159">
        <f>+SUMPRODUCT(C22:K22,$C$32:$K$32)/$M$32</f>
        <v>0</v>
      </c>
      <c r="M22" s="159">
        <f>+SUMPRODUCT(C22:K22,$C$32:$K$32)</f>
        <v>0</v>
      </c>
    </row>
    <row r="23" spans="1:13">
      <c r="A23" s="1141" t="s">
        <v>222</v>
      </c>
      <c r="B23" s="1141"/>
      <c r="C23" s="158">
        <f t="shared" ref="C23:K23" si="4">+SUM(C24:C25)</f>
        <v>0</v>
      </c>
      <c r="D23" s="158">
        <f t="shared" si="4"/>
        <v>0</v>
      </c>
      <c r="E23" s="158">
        <f t="shared" si="4"/>
        <v>0</v>
      </c>
      <c r="F23" s="158">
        <f t="shared" si="4"/>
        <v>0</v>
      </c>
      <c r="G23" s="158">
        <f t="shared" si="4"/>
        <v>0</v>
      </c>
      <c r="H23" s="158">
        <f t="shared" si="4"/>
        <v>0</v>
      </c>
      <c r="I23" s="158">
        <f t="shared" si="4"/>
        <v>0</v>
      </c>
      <c r="J23" s="158">
        <f t="shared" si="4"/>
        <v>0</v>
      </c>
      <c r="K23" s="158">
        <f t="shared" si="4"/>
        <v>0</v>
      </c>
      <c r="L23" s="158">
        <f>+SUM(L24:L25)</f>
        <v>0</v>
      </c>
      <c r="M23" s="158">
        <f>+SUM(M24:M25)</f>
        <v>0</v>
      </c>
    </row>
    <row r="24" spans="1:13">
      <c r="A24" s="160">
        <v>1</v>
      </c>
      <c r="B24" s="155" t="s">
        <v>223</v>
      </c>
      <c r="C24" s="148"/>
      <c r="D24" s="148"/>
      <c r="E24" s="148"/>
      <c r="F24" s="148"/>
      <c r="G24" s="148"/>
      <c r="H24" s="148"/>
      <c r="I24" s="148"/>
      <c r="J24" s="148"/>
      <c r="K24" s="148"/>
      <c r="L24" s="159">
        <f>+SUMPRODUCT(C24:K24,$C$32:$K$32)/$M$32</f>
        <v>0</v>
      </c>
      <c r="M24" s="161">
        <f>+SUMPRODUCT(C24:K24,$C$32:$K$32)</f>
        <v>0</v>
      </c>
    </row>
    <row r="25" spans="1:13">
      <c r="A25" s="160">
        <v>2</v>
      </c>
      <c r="B25" s="155" t="s">
        <v>224</v>
      </c>
      <c r="C25" s="148"/>
      <c r="D25" s="148"/>
      <c r="E25" s="148"/>
      <c r="F25" s="148"/>
      <c r="G25" s="148"/>
      <c r="H25" s="148"/>
      <c r="I25" s="148"/>
      <c r="J25" s="148"/>
      <c r="K25" s="148"/>
      <c r="L25" s="159">
        <f>+SUMPRODUCT(C25:K25,$C$32:$K$32)/$M$32</f>
        <v>0</v>
      </c>
      <c r="M25" s="161">
        <f>+SUMPRODUCT(C25:K25,$C$32:$K$32)</f>
        <v>0</v>
      </c>
    </row>
    <row r="26" spans="1:13">
      <c r="A26" s="1139" t="s">
        <v>225</v>
      </c>
      <c r="B26" s="1139"/>
      <c r="C26" s="149">
        <f>+SUM(C27:C28)</f>
        <v>0</v>
      </c>
      <c r="D26" s="149">
        <f>+SUM(D27,D28)</f>
        <v>0</v>
      </c>
      <c r="E26" s="149">
        <f t="shared" ref="E26:K26" si="5">+SUM(E27:E28)</f>
        <v>0</v>
      </c>
      <c r="F26" s="149">
        <f t="shared" si="5"/>
        <v>0</v>
      </c>
      <c r="G26" s="149">
        <f t="shared" si="5"/>
        <v>0</v>
      </c>
      <c r="H26" s="149">
        <f t="shared" si="5"/>
        <v>0</v>
      </c>
      <c r="I26" s="149">
        <f t="shared" si="5"/>
        <v>0</v>
      </c>
      <c r="J26" s="149">
        <f t="shared" si="5"/>
        <v>0</v>
      </c>
      <c r="K26" s="149">
        <f t="shared" si="5"/>
        <v>0</v>
      </c>
      <c r="L26" s="149">
        <f>+M26/M32</f>
        <v>0</v>
      </c>
      <c r="M26" s="149">
        <f>+SUM(M27:M28)</f>
        <v>0</v>
      </c>
    </row>
    <row r="27" spans="1:13" ht="15.75" customHeight="1">
      <c r="A27" s="1138" t="s">
        <v>226</v>
      </c>
      <c r="B27" s="1138"/>
      <c r="C27" s="395">
        <f t="shared" ref="C27:J27" si="6">+C9-C16</f>
        <v>0</v>
      </c>
      <c r="D27" s="395">
        <f>+D9-D16</f>
        <v>0</v>
      </c>
      <c r="E27" s="395">
        <f t="shared" si="6"/>
        <v>0</v>
      </c>
      <c r="F27" s="395">
        <f t="shared" si="6"/>
        <v>0</v>
      </c>
      <c r="G27" s="395">
        <f t="shared" si="6"/>
        <v>0</v>
      </c>
      <c r="H27" s="395">
        <f t="shared" si="6"/>
        <v>0</v>
      </c>
      <c r="I27" s="395">
        <f t="shared" si="6"/>
        <v>0</v>
      </c>
      <c r="J27" s="395">
        <f t="shared" si="6"/>
        <v>0</v>
      </c>
      <c r="K27" s="395">
        <f>+K9-K16</f>
        <v>0</v>
      </c>
      <c r="L27" s="161">
        <f>+M27/M32</f>
        <v>0</v>
      </c>
      <c r="M27" s="161">
        <f>+M9-M16</f>
        <v>0</v>
      </c>
    </row>
    <row r="28" spans="1:13" ht="15.75" customHeight="1">
      <c r="A28" s="1138" t="s">
        <v>227</v>
      </c>
      <c r="B28" s="1138"/>
      <c r="C28" s="395">
        <f t="shared" ref="C28:K28" si="7">+C23</f>
        <v>0</v>
      </c>
      <c r="D28" s="395">
        <f t="shared" si="7"/>
        <v>0</v>
      </c>
      <c r="E28" s="395">
        <f t="shared" si="7"/>
        <v>0</v>
      </c>
      <c r="F28" s="395">
        <f t="shared" si="7"/>
        <v>0</v>
      </c>
      <c r="G28" s="395">
        <f t="shared" si="7"/>
        <v>0</v>
      </c>
      <c r="H28" s="395">
        <f t="shared" si="7"/>
        <v>0</v>
      </c>
      <c r="I28" s="395">
        <f t="shared" si="7"/>
        <v>0</v>
      </c>
      <c r="J28" s="395">
        <f t="shared" si="7"/>
        <v>0</v>
      </c>
      <c r="K28" s="395">
        <f t="shared" si="7"/>
        <v>0</v>
      </c>
      <c r="L28" s="161">
        <f>+M28/M32</f>
        <v>0</v>
      </c>
      <c r="M28" s="161">
        <f>+M23</f>
        <v>0</v>
      </c>
    </row>
    <row r="29" spans="1:13" ht="15.75" customHeight="1">
      <c r="A29" s="1143" t="s">
        <v>228</v>
      </c>
      <c r="B29" s="1143"/>
      <c r="C29" s="162">
        <f>+M29/C32</f>
        <v>0</v>
      </c>
      <c r="D29" s="162">
        <f>+M29/D32</f>
        <v>0</v>
      </c>
      <c r="E29" s="162">
        <f>+M29/E32</f>
        <v>0</v>
      </c>
      <c r="F29" s="162">
        <f>+M29/F32</f>
        <v>0</v>
      </c>
      <c r="G29" s="162">
        <f>+M29/G32</f>
        <v>0</v>
      </c>
      <c r="H29" s="162">
        <f>+M29/H32</f>
        <v>0</v>
      </c>
      <c r="I29" s="162">
        <f>+M29/I32</f>
        <v>0</v>
      </c>
      <c r="J29" s="162">
        <f>+M29/J32</f>
        <v>0</v>
      </c>
      <c r="K29" s="163" t="e">
        <f>+M29/K32</f>
        <v>#DIV/0!</v>
      </c>
      <c r="L29" s="162">
        <f>+M29/M32</f>
        <v>0</v>
      </c>
      <c r="M29" s="159">
        <f>BS!I96</f>
        <v>0</v>
      </c>
    </row>
    <row r="30" spans="1:13">
      <c r="A30" s="1137" t="s">
        <v>229</v>
      </c>
      <c r="B30" s="1137"/>
      <c r="C30" s="913" t="e">
        <f>+C26/C29</f>
        <v>#DIV/0!</v>
      </c>
      <c r="D30" s="913" t="e">
        <f t="shared" ref="D30:K30" si="8">+D26/D29</f>
        <v>#DIV/0!</v>
      </c>
      <c r="E30" s="913" t="e">
        <f t="shared" si="8"/>
        <v>#DIV/0!</v>
      </c>
      <c r="F30" s="913" t="e">
        <f t="shared" si="8"/>
        <v>#DIV/0!</v>
      </c>
      <c r="G30" s="913" t="e">
        <f t="shared" si="8"/>
        <v>#DIV/0!</v>
      </c>
      <c r="H30" s="913" t="e">
        <f t="shared" si="8"/>
        <v>#DIV/0!</v>
      </c>
      <c r="I30" s="913" t="e">
        <f t="shared" si="8"/>
        <v>#DIV/0!</v>
      </c>
      <c r="J30" s="913" t="e">
        <f t="shared" si="8"/>
        <v>#DIV/0!</v>
      </c>
      <c r="K30" s="913" t="e">
        <f t="shared" si="8"/>
        <v>#DIV/0!</v>
      </c>
      <c r="L30" s="913" t="e">
        <f>+L26/L29</f>
        <v>#DIV/0!</v>
      </c>
      <c r="M30" s="913" t="e">
        <f>+M26/M29</f>
        <v>#DIV/0!</v>
      </c>
    </row>
    <row r="31" spans="1:13" ht="16.5" customHeight="1">
      <c r="A31" s="1138" t="s">
        <v>230</v>
      </c>
      <c r="B31" s="1138"/>
      <c r="C31" s="164" t="s">
        <v>231</v>
      </c>
      <c r="D31" s="164" t="s">
        <v>231</v>
      </c>
      <c r="E31" s="164" t="s">
        <v>231</v>
      </c>
      <c r="F31" s="164" t="s">
        <v>231</v>
      </c>
      <c r="G31" s="164" t="s">
        <v>231</v>
      </c>
      <c r="H31" s="164" t="s">
        <v>231</v>
      </c>
      <c r="I31" s="164" t="s">
        <v>231</v>
      </c>
      <c r="J31" s="164" t="s">
        <v>231</v>
      </c>
      <c r="K31" s="164" t="s">
        <v>231</v>
      </c>
      <c r="L31" s="164" t="s">
        <v>231</v>
      </c>
      <c r="M31" s="164" t="s">
        <v>231</v>
      </c>
    </row>
    <row r="32" spans="1:13">
      <c r="A32" s="1135" t="s">
        <v>232</v>
      </c>
      <c r="B32" s="1135"/>
      <c r="C32" s="165">
        <f>+GB!H1679</f>
        <v>3465.69</v>
      </c>
      <c r="D32" s="165">
        <f>+GB!H1680</f>
        <v>3630.48</v>
      </c>
      <c r="E32" s="165">
        <f>+GB!H1681</f>
        <v>23.22</v>
      </c>
      <c r="F32" s="165">
        <f>+GB!H1682</f>
        <v>3866.02</v>
      </c>
      <c r="G32" s="165">
        <f>+GB!H1683</f>
        <v>4389.82</v>
      </c>
      <c r="H32" s="165">
        <f>+GB!H1684</f>
        <v>476.87</v>
      </c>
      <c r="I32" s="165">
        <f>+GB!H1685</f>
        <v>39.74</v>
      </c>
      <c r="J32" s="165">
        <f>+GB!H1686</f>
        <v>2.4</v>
      </c>
      <c r="K32" s="165">
        <f>+GB!H1687</f>
        <v>0</v>
      </c>
      <c r="L32" s="165">
        <v>1</v>
      </c>
      <c r="M32" s="165">
        <f>+C32</f>
        <v>3465.69</v>
      </c>
    </row>
    <row r="33" spans="1:13">
      <c r="A33" s="399"/>
      <c r="B33" s="399"/>
      <c r="C33" s="400"/>
      <c r="D33" s="400"/>
      <c r="E33" s="400"/>
      <c r="F33" s="400"/>
      <c r="G33" s="400"/>
      <c r="H33" s="400"/>
      <c r="I33" s="400"/>
      <c r="J33" s="400"/>
      <c r="K33" s="400"/>
      <c r="L33" s="400"/>
      <c r="M33" s="400"/>
    </row>
    <row r="34" spans="1:13" s="90" customFormat="1">
      <c r="A34" s="1142" t="s">
        <v>588</v>
      </c>
      <c r="B34" s="1142"/>
      <c r="C34" s="1142"/>
      <c r="D34" s="1142"/>
      <c r="E34" s="1142"/>
      <c r="F34" s="1142"/>
      <c r="G34" s="1142"/>
      <c r="H34" s="1142"/>
      <c r="I34" s="1142"/>
      <c r="J34" s="1142"/>
      <c r="K34" s="1142"/>
      <c r="L34" s="1142"/>
      <c r="M34" s="1142"/>
    </row>
    <row r="35" spans="1:13">
      <c r="A35" s="1142" t="s">
        <v>587</v>
      </c>
      <c r="B35" s="1142"/>
      <c r="C35" s="1142"/>
      <c r="D35" s="1142"/>
      <c r="E35" s="1142"/>
      <c r="F35" s="1142"/>
      <c r="G35" s="1142"/>
      <c r="H35" s="1142"/>
      <c r="I35" s="1142"/>
      <c r="J35" s="1142"/>
      <c r="K35" s="1142"/>
      <c r="L35" s="1142"/>
      <c r="M35" s="1142"/>
    </row>
    <row r="36" spans="1:13">
      <c r="A36" s="66"/>
      <c r="B36" s="66"/>
      <c r="C36" s="66"/>
      <c r="D36" s="66"/>
      <c r="E36" s="66"/>
      <c r="F36" s="66"/>
      <c r="G36" s="66"/>
      <c r="H36" s="66"/>
      <c r="I36" s="66"/>
      <c r="J36" s="66"/>
      <c r="K36" s="66"/>
      <c r="L36" s="66"/>
      <c r="M36" s="66"/>
    </row>
    <row r="37" spans="1:13" s="90" customFormat="1">
      <c r="A37" s="16"/>
      <c r="B37" s="3"/>
      <c r="C37" s="32" t="s">
        <v>33</v>
      </c>
      <c r="D37" s="61"/>
      <c r="E37" s="93"/>
      <c r="F37" s="93"/>
      <c r="G37" s="13"/>
      <c r="H37" s="14"/>
    </row>
    <row r="38" spans="1:13" s="90" customFormat="1">
      <c r="A38" s="16"/>
      <c r="B38" s="3"/>
      <c r="C38" s="15"/>
      <c r="D38" s="16"/>
      <c r="E38" s="93"/>
      <c r="F38" s="93"/>
      <c r="G38" s="13"/>
      <c r="H38" s="14"/>
    </row>
    <row r="39" spans="1:13" s="90" customFormat="1">
      <c r="A39" s="16"/>
      <c r="B39" s="3"/>
      <c r="C39" s="15"/>
      <c r="D39" s="1136" t="s">
        <v>122</v>
      </c>
      <c r="E39" s="1136"/>
      <c r="F39" s="1136"/>
      <c r="G39" s="13"/>
      <c r="H39" s="14"/>
    </row>
    <row r="40" spans="1:13" s="90" customFormat="1">
      <c r="A40" s="16"/>
      <c r="B40" s="3"/>
      <c r="C40" s="15"/>
      <c r="D40" s="16"/>
      <c r="E40" s="93"/>
      <c r="F40" s="93"/>
      <c r="G40" s="13"/>
      <c r="H40" s="14"/>
    </row>
    <row r="41" spans="1:13" s="90" customFormat="1" ht="15" customHeight="1">
      <c r="A41" s="16"/>
      <c r="B41" s="3"/>
      <c r="C41" s="15"/>
      <c r="D41" s="1140" t="str">
        <f>+Statistic!B60</f>
        <v>ГҮЙЦЭТГЭХ ЗАХИРАЛ.......................//</v>
      </c>
      <c r="E41" s="1140" t="e">
        <f>+Statistic!#REF!</f>
        <v>#REF!</v>
      </c>
      <c r="F41" s="1140" t="e">
        <f>+Statistic!#REF!</f>
        <v>#REF!</v>
      </c>
      <c r="G41" s="1140" t="e">
        <f>+Statistic!#REF!</f>
        <v>#REF!</v>
      </c>
      <c r="H41" s="1140" t="e">
        <f>+Statistic!#REF!</f>
        <v>#REF!</v>
      </c>
      <c r="I41" s="1140" t="e">
        <f>+Statistic!#REF!</f>
        <v>#REF!</v>
      </c>
      <c r="J41" s="1140" t="e">
        <f>+Statistic!#REF!</f>
        <v>#REF!</v>
      </c>
      <c r="K41" s="1140" t="e">
        <f>+Statistic!#REF!</f>
        <v>#REF!</v>
      </c>
    </row>
    <row r="42" spans="1:13" s="90" customFormat="1">
      <c r="A42" s="16"/>
      <c r="B42" s="3"/>
      <c r="C42" s="15"/>
      <c r="D42" s="30"/>
      <c r="E42" s="298"/>
      <c r="F42" s="96"/>
      <c r="G42" s="96"/>
      <c r="H42" s="96"/>
      <c r="I42" s="328"/>
      <c r="J42" s="328"/>
      <c r="K42" s="328"/>
    </row>
    <row r="43" spans="1:13" s="90" customFormat="1" ht="15" customHeight="1">
      <c r="A43" s="16"/>
      <c r="B43" s="3"/>
      <c r="C43" s="15"/>
      <c r="D43" s="1140" t="str">
        <f>+Statistic!B62</f>
        <v>ЕРӨНХИЙ НЯГТЛАН БОДОГЧ...................................................//</v>
      </c>
      <c r="E43" s="1140" t="e">
        <f>+Statistic!#REF!</f>
        <v>#REF!</v>
      </c>
      <c r="F43" s="1140" t="e">
        <f>+Statistic!#REF!</f>
        <v>#REF!</v>
      </c>
      <c r="G43" s="1140" t="e">
        <f>+Statistic!#REF!</f>
        <v>#REF!</v>
      </c>
      <c r="H43" s="1140" t="e">
        <f>+Statistic!#REF!</f>
        <v>#REF!</v>
      </c>
      <c r="I43" s="1140" t="e">
        <f>+Statistic!#REF!</f>
        <v>#REF!</v>
      </c>
      <c r="J43" s="1140" t="e">
        <f>+Statistic!#REF!</f>
        <v>#REF!</v>
      </c>
      <c r="K43" s="1140" t="e">
        <f>+Statistic!#REF!</f>
        <v>#REF!</v>
      </c>
    </row>
    <row r="44" spans="1:13" s="90" customFormat="1">
      <c r="A44" s="16"/>
      <c r="B44" s="3"/>
      <c r="C44" s="15"/>
      <c r="D44" s="30"/>
      <c r="E44" s="298"/>
      <c r="F44" s="96"/>
      <c r="G44" s="96"/>
      <c r="H44" s="96"/>
      <c r="I44" s="328"/>
      <c r="J44" s="328"/>
      <c r="K44" s="328"/>
    </row>
    <row r="45" spans="1:13" s="90" customFormat="1" ht="15" customHeight="1">
      <c r="A45" s="16"/>
      <c r="B45" s="3"/>
      <c r="C45" s="15"/>
      <c r="D45" s="126"/>
      <c r="E45" s="126"/>
      <c r="F45" s="126"/>
      <c r="G45" s="126"/>
      <c r="H45" s="126"/>
      <c r="I45" s="126"/>
      <c r="J45" s="126"/>
      <c r="K45" s="126"/>
    </row>
  </sheetData>
  <sheetProtection algorithmName="SHA-512" hashValue="uQ5Q/paSHfepLDqn8cDx+eaHXxcDDErL90wV8G/i++Da5Pyv5wH9K4JNXmF6LVYpUvyA12dn45B1O/jC7dzimg==" saltValue="eHMMSeLnJh20Dp3OpWa5Xg==" spinCount="100000" sheet="1" objects="1" scenarios="1"/>
  <mergeCells count="23">
    <mergeCell ref="D41:K41"/>
    <mergeCell ref="A9:B9"/>
    <mergeCell ref="D43:K43"/>
    <mergeCell ref="A34:M34"/>
    <mergeCell ref="A35:M35"/>
    <mergeCell ref="A16:B16"/>
    <mergeCell ref="A23:B23"/>
    <mergeCell ref="A28:B28"/>
    <mergeCell ref="A29:B29"/>
    <mergeCell ref="A7:B8"/>
    <mergeCell ref="C7:K7"/>
    <mergeCell ref="A32:B32"/>
    <mergeCell ref="D39:F39"/>
    <mergeCell ref="L7:M7"/>
    <mergeCell ref="A30:B30"/>
    <mergeCell ref="A31:B31"/>
    <mergeCell ref="A26:B26"/>
    <mergeCell ref="A27:B27"/>
    <mergeCell ref="A2:M2"/>
    <mergeCell ref="A3:M3"/>
    <mergeCell ref="A4:M4"/>
    <mergeCell ref="A6:B6"/>
    <mergeCell ref="L6:M6"/>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election activeCell="A2" sqref="A2:G2"/>
    </sheetView>
  </sheetViews>
  <sheetFormatPr defaultRowHeight="12.75"/>
  <cols>
    <col min="1" max="1" width="3.7109375" style="16" bestFit="1" customWidth="1"/>
    <col min="2" max="2" width="30.42578125" style="3" customWidth="1"/>
    <col min="3" max="3" width="17.7109375" style="90" customWidth="1"/>
    <col min="4" max="4" width="8.85546875" style="3" bestFit="1" customWidth="1"/>
    <col min="5" max="5" width="17.7109375" style="90" customWidth="1"/>
    <col min="6" max="7" width="17.7109375" style="122" customWidth="1"/>
    <col min="8" max="8" width="9.140625" style="3"/>
    <col min="9" max="9" width="16.5703125" style="3" bestFit="1" customWidth="1"/>
    <col min="10" max="16384" width="9.140625" style="3"/>
  </cols>
  <sheetData>
    <row r="2" spans="1:9">
      <c r="A2" s="982" t="s">
        <v>233</v>
      </c>
      <c r="B2" s="982"/>
      <c r="C2" s="982"/>
      <c r="D2" s="982"/>
      <c r="E2" s="982"/>
      <c r="F2" s="982"/>
      <c r="G2" s="982"/>
    </row>
    <row r="3" spans="1:9">
      <c r="A3" s="990" t="str">
        <f>+GB!A3</f>
        <v xml:space="preserve">БАНК БУС САНХҮҮГИЙН БАЙГУУЛЛАГЫН НЭР </v>
      </c>
      <c r="B3" s="990"/>
      <c r="C3" s="990"/>
      <c r="D3" s="990"/>
      <c r="E3" s="990"/>
      <c r="F3" s="990"/>
      <c r="G3" s="990"/>
      <c r="H3" s="9"/>
      <c r="I3" s="9"/>
    </row>
    <row r="4" spans="1:9">
      <c r="A4" s="982" t="str">
        <f>+GB!A4</f>
        <v>БАНК БУС САНХҮҮГИЙН БАЙГУУЛЛАГА</v>
      </c>
      <c r="B4" s="982"/>
      <c r="C4" s="982"/>
      <c r="D4" s="982"/>
      <c r="E4" s="982"/>
      <c r="F4" s="982"/>
      <c r="G4" s="982"/>
      <c r="H4" s="2"/>
      <c r="I4" s="2"/>
    </row>
    <row r="5" spans="1:9">
      <c r="A5" s="1034">
        <f>+GB!A6</f>
        <v>45716</v>
      </c>
      <c r="B5" s="1034"/>
      <c r="G5" s="123" t="s">
        <v>41</v>
      </c>
    </row>
    <row r="6" spans="1:9" ht="16.5" customHeight="1">
      <c r="A6" s="1129" t="s">
        <v>137</v>
      </c>
      <c r="B6" s="1129"/>
      <c r="C6" s="1129"/>
      <c r="D6" s="1129"/>
      <c r="E6" s="1129"/>
      <c r="F6" s="1154" t="s">
        <v>152</v>
      </c>
      <c r="G6" s="1154"/>
    </row>
    <row r="7" spans="1:9" ht="43.5" customHeight="1">
      <c r="A7" s="25" t="s">
        <v>2</v>
      </c>
      <c r="B7" s="166" t="s">
        <v>234</v>
      </c>
      <c r="C7" s="167" t="s">
        <v>235</v>
      </c>
      <c r="D7" s="166" t="s">
        <v>236</v>
      </c>
      <c r="E7" s="167" t="s">
        <v>237</v>
      </c>
      <c r="F7" s="167" t="s">
        <v>238</v>
      </c>
      <c r="G7" s="167" t="s">
        <v>528</v>
      </c>
    </row>
    <row r="8" spans="1:9">
      <c r="A8" s="168" t="s">
        <v>239</v>
      </c>
      <c r="B8" s="168" t="s">
        <v>240</v>
      </c>
      <c r="C8" s="169">
        <f>+C9+C10+C11</f>
        <v>0</v>
      </c>
      <c r="D8" s="170">
        <v>1</v>
      </c>
      <c r="E8" s="169">
        <f>ROUND(SUM(E9:E11),2)</f>
        <v>0</v>
      </c>
      <c r="F8" s="1145">
        <f>+BS!D32</f>
        <v>0</v>
      </c>
      <c r="G8" s="1152">
        <f>+F8-E8</f>
        <v>0</v>
      </c>
    </row>
    <row r="9" spans="1:9" ht="15" customHeight="1">
      <c r="A9" s="166">
        <v>1</v>
      </c>
      <c r="B9" s="62" t="s">
        <v>241</v>
      </c>
      <c r="C9" s="124">
        <f>+BS!D26</f>
        <v>0</v>
      </c>
      <c r="D9" s="171">
        <v>0</v>
      </c>
      <c r="E9" s="172">
        <f>C9*D9</f>
        <v>0</v>
      </c>
      <c r="F9" s="1145"/>
      <c r="G9" s="1152"/>
    </row>
    <row r="10" spans="1:9" ht="15" customHeight="1">
      <c r="A10" s="166">
        <v>2</v>
      </c>
      <c r="B10" s="62" t="s">
        <v>611</v>
      </c>
      <c r="C10" s="124">
        <f>+BS!D27</f>
        <v>0</v>
      </c>
      <c r="D10" s="63">
        <v>0.05</v>
      </c>
      <c r="E10" s="172">
        <f>C10*D10</f>
        <v>0</v>
      </c>
      <c r="F10" s="1145"/>
      <c r="G10" s="1152"/>
    </row>
    <row r="11" spans="1:9" ht="15" customHeight="1">
      <c r="A11" s="173">
        <v>3</v>
      </c>
      <c r="B11" s="174" t="s">
        <v>242</v>
      </c>
      <c r="C11" s="124">
        <f>+BS!D28</f>
        <v>0</v>
      </c>
      <c r="D11" s="176"/>
      <c r="E11" s="177">
        <f>SUM(E12:E14)</f>
        <v>0</v>
      </c>
      <c r="F11" s="1145"/>
      <c r="G11" s="1152"/>
    </row>
    <row r="12" spans="1:9">
      <c r="A12" s="178"/>
      <c r="B12" s="64" t="s">
        <v>243</v>
      </c>
      <c r="C12" s="124">
        <f>+BS!D29</f>
        <v>0</v>
      </c>
      <c r="D12" s="63">
        <v>0.25</v>
      </c>
      <c r="E12" s="124">
        <f>C12*D12</f>
        <v>0</v>
      </c>
      <c r="F12" s="1145"/>
      <c r="G12" s="1152"/>
    </row>
    <row r="13" spans="1:9">
      <c r="A13" s="178"/>
      <c r="B13" s="64" t="s">
        <v>244</v>
      </c>
      <c r="C13" s="124">
        <f>+BS!D30</f>
        <v>0</v>
      </c>
      <c r="D13" s="63">
        <v>0.5</v>
      </c>
      <c r="E13" s="124">
        <f>C13*D13</f>
        <v>0</v>
      </c>
      <c r="F13" s="1145"/>
      <c r="G13" s="1152"/>
    </row>
    <row r="14" spans="1:9">
      <c r="A14" s="178"/>
      <c r="B14" s="64" t="s">
        <v>245</v>
      </c>
      <c r="C14" s="124">
        <f>+BS!D31</f>
        <v>0</v>
      </c>
      <c r="D14" s="63">
        <v>1</v>
      </c>
      <c r="E14" s="124">
        <f>C14*D14</f>
        <v>0</v>
      </c>
      <c r="F14" s="1145"/>
      <c r="G14" s="1152"/>
    </row>
    <row r="15" spans="1:9">
      <c r="A15" s="179" t="s">
        <v>246</v>
      </c>
      <c r="B15" s="179" t="s">
        <v>247</v>
      </c>
      <c r="C15" s="180">
        <f>+SUM(C16:C18)</f>
        <v>0</v>
      </c>
      <c r="D15" s="181">
        <v>1</v>
      </c>
      <c r="E15" s="180">
        <f>+SUM(E16:E18)</f>
        <v>0</v>
      </c>
      <c r="F15" s="1148">
        <f>+BS!D63</f>
        <v>0</v>
      </c>
      <c r="G15" s="1149">
        <f>+F15-E15</f>
        <v>0</v>
      </c>
    </row>
    <row r="16" spans="1:9" ht="15" customHeight="1">
      <c r="A16" s="166">
        <v>4</v>
      </c>
      <c r="B16" s="64" t="s">
        <v>248</v>
      </c>
      <c r="C16" s="182">
        <f>+BS!D57</f>
        <v>0</v>
      </c>
      <c r="D16" s="183">
        <v>0</v>
      </c>
      <c r="E16" s="125">
        <f>+C16*D16</f>
        <v>0</v>
      </c>
      <c r="F16" s="1148"/>
      <c r="G16" s="1149"/>
    </row>
    <row r="17" spans="1:7" ht="14.25" customHeight="1">
      <c r="A17" s="166">
        <v>5</v>
      </c>
      <c r="B17" s="64" t="s">
        <v>612</v>
      </c>
      <c r="C17" s="182">
        <f>+BS!D58</f>
        <v>0</v>
      </c>
      <c r="D17" s="65">
        <v>0.05</v>
      </c>
      <c r="E17" s="125">
        <f>+C17*D17</f>
        <v>0</v>
      </c>
      <c r="F17" s="1148"/>
      <c r="G17" s="1149"/>
    </row>
    <row r="18" spans="1:7">
      <c r="A18" s="184">
        <v>6</v>
      </c>
      <c r="B18" s="174" t="s">
        <v>249</v>
      </c>
      <c r="C18" s="182">
        <f>+BS!D59</f>
        <v>0</v>
      </c>
      <c r="D18" s="186"/>
      <c r="E18" s="185">
        <f>+SUM(E19:E21)</f>
        <v>0</v>
      </c>
      <c r="F18" s="1148"/>
      <c r="G18" s="1149"/>
    </row>
    <row r="19" spans="1:7">
      <c r="A19" s="166"/>
      <c r="B19" s="64" t="s">
        <v>243</v>
      </c>
      <c r="C19" s="182">
        <f>+BS!D60</f>
        <v>0</v>
      </c>
      <c r="D19" s="65">
        <v>0.25</v>
      </c>
      <c r="E19" s="125">
        <f>+C19*D19</f>
        <v>0</v>
      </c>
      <c r="F19" s="1148"/>
      <c r="G19" s="1149"/>
    </row>
    <row r="20" spans="1:7">
      <c r="A20" s="166"/>
      <c r="B20" s="64" t="s">
        <v>244</v>
      </c>
      <c r="C20" s="182">
        <f>+BS!D61</f>
        <v>0</v>
      </c>
      <c r="D20" s="65">
        <v>0.5</v>
      </c>
      <c r="E20" s="125">
        <f>+C20*D20</f>
        <v>0</v>
      </c>
      <c r="F20" s="1148"/>
      <c r="G20" s="1149"/>
    </row>
    <row r="21" spans="1:7">
      <c r="A21" s="166"/>
      <c r="B21" s="64" t="s">
        <v>245</v>
      </c>
      <c r="C21" s="182">
        <f>+BS!D62</f>
        <v>0</v>
      </c>
      <c r="D21" s="65">
        <v>1</v>
      </c>
      <c r="E21" s="125">
        <f>+C21*D21</f>
        <v>0</v>
      </c>
      <c r="F21" s="1148"/>
      <c r="G21" s="1149"/>
    </row>
    <row r="22" spans="1:7">
      <c r="A22" s="168" t="s">
        <v>250</v>
      </c>
      <c r="B22" s="187" t="s">
        <v>251</v>
      </c>
      <c r="C22" s="188">
        <f>+SUM(C23:C25)</f>
        <v>0</v>
      </c>
      <c r="D22" s="189">
        <v>1</v>
      </c>
      <c r="E22" s="188">
        <f>ROUND(SUM(E23:E25),2)</f>
        <v>0</v>
      </c>
      <c r="F22" s="1153">
        <f>+BS!D44</f>
        <v>0</v>
      </c>
      <c r="G22" s="1144">
        <f>+F22-E22</f>
        <v>0</v>
      </c>
    </row>
    <row r="23" spans="1:7">
      <c r="A23" s="166">
        <v>7</v>
      </c>
      <c r="B23" s="64" t="s">
        <v>252</v>
      </c>
      <c r="C23" s="190">
        <f>+BS!D38</f>
        <v>0</v>
      </c>
      <c r="D23" s="183">
        <v>0</v>
      </c>
      <c r="E23" s="124">
        <f>+C23*D23</f>
        <v>0</v>
      </c>
      <c r="F23" s="1153"/>
      <c r="G23" s="1144"/>
    </row>
    <row r="24" spans="1:7">
      <c r="A24" s="166">
        <v>8</v>
      </c>
      <c r="B24" s="62" t="s">
        <v>613</v>
      </c>
      <c r="C24" s="190">
        <f>+BS!D39</f>
        <v>0</v>
      </c>
      <c r="D24" s="65">
        <v>0.05</v>
      </c>
      <c r="E24" s="124">
        <f>+C24*D24</f>
        <v>0</v>
      </c>
      <c r="F24" s="1153"/>
      <c r="G24" s="1144"/>
    </row>
    <row r="25" spans="1:7">
      <c r="A25" s="184">
        <v>9</v>
      </c>
      <c r="B25" s="191" t="s">
        <v>253</v>
      </c>
      <c r="C25" s="190">
        <f>+BS!D40</f>
        <v>0</v>
      </c>
      <c r="D25" s="186"/>
      <c r="E25" s="175">
        <f>+SUM(E26:E28)</f>
        <v>0</v>
      </c>
      <c r="F25" s="1153"/>
      <c r="G25" s="1144"/>
    </row>
    <row r="26" spans="1:7">
      <c r="A26" s="166"/>
      <c r="B26" s="62" t="s">
        <v>243</v>
      </c>
      <c r="C26" s="190">
        <f>+BS!D41</f>
        <v>0</v>
      </c>
      <c r="D26" s="65">
        <v>0.25</v>
      </c>
      <c r="E26" s="124">
        <f>+C26*D26</f>
        <v>0</v>
      </c>
      <c r="F26" s="1153"/>
      <c r="G26" s="1144"/>
    </row>
    <row r="27" spans="1:7">
      <c r="A27" s="166"/>
      <c r="B27" s="62" t="s">
        <v>244</v>
      </c>
      <c r="C27" s="190">
        <f>+BS!D42</f>
        <v>0</v>
      </c>
      <c r="D27" s="65">
        <v>0.5</v>
      </c>
      <c r="E27" s="124">
        <f>+C27*D27</f>
        <v>0</v>
      </c>
      <c r="F27" s="1153"/>
      <c r="G27" s="1144"/>
    </row>
    <row r="28" spans="1:7">
      <c r="A28" s="166"/>
      <c r="B28" s="62" t="s">
        <v>245</v>
      </c>
      <c r="C28" s="190">
        <f>+BS!D43</f>
        <v>0</v>
      </c>
      <c r="D28" s="65">
        <v>1</v>
      </c>
      <c r="E28" s="124">
        <f>+C28*D28</f>
        <v>0</v>
      </c>
      <c r="F28" s="1153"/>
      <c r="G28" s="1144"/>
    </row>
    <row r="29" spans="1:7">
      <c r="A29" s="168" t="s">
        <v>254</v>
      </c>
      <c r="B29" s="187" t="s">
        <v>132</v>
      </c>
      <c r="C29" s="188">
        <f>+SUM(C30:C32)</f>
        <v>0</v>
      </c>
      <c r="D29" s="189">
        <v>1</v>
      </c>
      <c r="E29" s="188">
        <f>ROUND(SUM(E30:E32),2)</f>
        <v>0</v>
      </c>
      <c r="F29" s="1148">
        <f>+GB!D1453</f>
        <v>0</v>
      </c>
      <c r="G29" s="1149">
        <f>+F29-E29</f>
        <v>0</v>
      </c>
    </row>
    <row r="30" spans="1:7">
      <c r="A30" s="166">
        <v>10</v>
      </c>
      <c r="B30" s="62" t="s">
        <v>78</v>
      </c>
      <c r="C30" s="965"/>
      <c r="D30" s="171">
        <v>0</v>
      </c>
      <c r="E30" s="124">
        <f>+C30*D30</f>
        <v>0</v>
      </c>
      <c r="F30" s="1148"/>
      <c r="G30" s="1149"/>
    </row>
    <row r="31" spans="1:7">
      <c r="A31" s="166">
        <v>11</v>
      </c>
      <c r="B31" s="62" t="s">
        <v>610</v>
      </c>
      <c r="C31" s="965"/>
      <c r="D31" s="65">
        <v>0.05</v>
      </c>
      <c r="E31" s="124">
        <f>+C31*D31</f>
        <v>0</v>
      </c>
      <c r="F31" s="1148"/>
      <c r="G31" s="1149"/>
    </row>
    <row r="32" spans="1:7">
      <c r="A32" s="184">
        <v>12</v>
      </c>
      <c r="B32" s="191" t="s">
        <v>255</v>
      </c>
      <c r="C32" s="175">
        <v>0</v>
      </c>
      <c r="D32" s="186"/>
      <c r="E32" s="175">
        <f>+SUM(E33:E35)</f>
        <v>0</v>
      </c>
      <c r="F32" s="1148"/>
      <c r="G32" s="1149"/>
    </row>
    <row r="33" spans="1:7">
      <c r="A33" s="192"/>
      <c r="B33" s="62" t="s">
        <v>243</v>
      </c>
      <c r="C33" s="965"/>
      <c r="D33" s="65">
        <v>0.25</v>
      </c>
      <c r="E33" s="124">
        <f>+C33*D33</f>
        <v>0</v>
      </c>
      <c r="F33" s="1148"/>
      <c r="G33" s="1149"/>
    </row>
    <row r="34" spans="1:7">
      <c r="A34" s="192"/>
      <c r="B34" s="62" t="s">
        <v>244</v>
      </c>
      <c r="C34" s="965"/>
      <c r="D34" s="65">
        <v>0.5</v>
      </c>
      <c r="E34" s="124">
        <f>+C34*D34</f>
        <v>0</v>
      </c>
      <c r="F34" s="1148"/>
      <c r="G34" s="1149"/>
    </row>
    <row r="35" spans="1:7">
      <c r="A35" s="192"/>
      <c r="B35" s="62" t="s">
        <v>245</v>
      </c>
      <c r="C35" s="965"/>
      <c r="D35" s="65">
        <v>1</v>
      </c>
      <c r="E35" s="124">
        <f>+C35*D35</f>
        <v>0</v>
      </c>
      <c r="F35" s="1148"/>
      <c r="G35" s="1149"/>
    </row>
    <row r="36" spans="1:7">
      <c r="A36" s="168" t="s">
        <v>256</v>
      </c>
      <c r="B36" s="187" t="s">
        <v>257</v>
      </c>
      <c r="C36" s="193">
        <f>+BS!D16+BS!D17</f>
        <v>0</v>
      </c>
      <c r="D36" s="194">
        <v>0</v>
      </c>
      <c r="E36" s="193">
        <f>+C36*D36</f>
        <v>0</v>
      </c>
      <c r="F36" s="195">
        <f>+BS!D23</f>
        <v>0</v>
      </c>
      <c r="G36" s="196">
        <f>+F36-E36</f>
        <v>0</v>
      </c>
    </row>
    <row r="37" spans="1:7">
      <c r="A37" s="168" t="s">
        <v>258</v>
      </c>
      <c r="B37" s="187" t="s">
        <v>259</v>
      </c>
      <c r="C37" s="188">
        <f>+SUM(C38:C40)</f>
        <v>0</v>
      </c>
      <c r="D37" s="197">
        <v>1</v>
      </c>
      <c r="E37" s="188">
        <f>ROUND(SUM(E38:E40),2)</f>
        <v>0</v>
      </c>
      <c r="F37" s="1150">
        <f>+GB!D1457+GB!D1470</f>
        <v>0</v>
      </c>
      <c r="G37" s="1151">
        <f>+F37-E37</f>
        <v>0</v>
      </c>
    </row>
    <row r="38" spans="1:7">
      <c r="A38" s="152">
        <v>13</v>
      </c>
      <c r="B38" s="64" t="s">
        <v>260</v>
      </c>
      <c r="C38" s="966"/>
      <c r="D38" s="198">
        <v>0</v>
      </c>
      <c r="E38" s="124">
        <f>+C38*D38</f>
        <v>0</v>
      </c>
      <c r="F38" s="1150"/>
      <c r="G38" s="1151"/>
    </row>
    <row r="39" spans="1:7">
      <c r="A39" s="166">
        <v>14</v>
      </c>
      <c r="B39" s="62" t="s">
        <v>614</v>
      </c>
      <c r="C39" s="965"/>
      <c r="D39" s="65">
        <v>0.05</v>
      </c>
      <c r="E39" s="124">
        <f>+C39*D39</f>
        <v>0</v>
      </c>
      <c r="F39" s="1150"/>
      <c r="G39" s="1151"/>
    </row>
    <row r="40" spans="1:7">
      <c r="A40" s="184">
        <v>15</v>
      </c>
      <c r="B40" s="191" t="s">
        <v>261</v>
      </c>
      <c r="C40" s="175">
        <v>0</v>
      </c>
      <c r="D40" s="186"/>
      <c r="E40" s="175">
        <f>+SUM(E41:E43)</f>
        <v>0</v>
      </c>
      <c r="F40" s="1150"/>
      <c r="G40" s="1151"/>
    </row>
    <row r="41" spans="1:7">
      <c r="A41" s="166"/>
      <c r="B41" s="62" t="s">
        <v>243</v>
      </c>
      <c r="C41" s="965"/>
      <c r="D41" s="65">
        <v>0.25</v>
      </c>
      <c r="E41" s="124">
        <f>+C41*D41</f>
        <v>0</v>
      </c>
      <c r="F41" s="1150"/>
      <c r="G41" s="1151"/>
    </row>
    <row r="42" spans="1:7">
      <c r="A42" s="166"/>
      <c r="B42" s="62" t="s">
        <v>244</v>
      </c>
      <c r="C42" s="965"/>
      <c r="D42" s="65">
        <v>0.5</v>
      </c>
      <c r="E42" s="124">
        <f>+C42*D42</f>
        <v>0</v>
      </c>
      <c r="F42" s="1150"/>
      <c r="G42" s="1151"/>
    </row>
    <row r="43" spans="1:7">
      <c r="A43" s="166"/>
      <c r="B43" s="62" t="s">
        <v>245</v>
      </c>
      <c r="C43" s="965"/>
      <c r="D43" s="65">
        <v>1</v>
      </c>
      <c r="E43" s="124">
        <f>+C43*D43</f>
        <v>0</v>
      </c>
      <c r="F43" s="1150"/>
      <c r="G43" s="1151"/>
    </row>
    <row r="44" spans="1:7" ht="25.5">
      <c r="A44" s="168" t="s">
        <v>262</v>
      </c>
      <c r="B44" s="187" t="s">
        <v>263</v>
      </c>
      <c r="C44" s="199">
        <f>GB!D1674</f>
        <v>0</v>
      </c>
      <c r="D44" s="200">
        <v>0</v>
      </c>
      <c r="E44" s="199">
        <f>+C44*D44</f>
        <v>0</v>
      </c>
      <c r="F44" s="201"/>
      <c r="G44" s="196"/>
    </row>
    <row r="45" spans="1:7" ht="15.75" customHeight="1">
      <c r="A45" s="1146" t="s">
        <v>264</v>
      </c>
      <c r="B45" s="1146"/>
      <c r="C45" s="202">
        <f>+C44+C37+C36+C29+C22+C15+C8</f>
        <v>0</v>
      </c>
      <c r="D45" s="203"/>
      <c r="E45" s="202">
        <f>+E8+E15+E22+E29+E36+E37+E44</f>
        <v>0</v>
      </c>
      <c r="F45" s="204">
        <f>+F8+F15+F22+F29+F36+F37+F44</f>
        <v>0</v>
      </c>
      <c r="G45" s="205">
        <f>+G8+G15+G22+G29+G36+G37+G44</f>
        <v>0</v>
      </c>
    </row>
    <row r="47" spans="1:7">
      <c r="A47" s="1147" t="s">
        <v>33</v>
      </c>
      <c r="B47" s="1147"/>
      <c r="C47" s="3"/>
      <c r="D47" s="93"/>
      <c r="E47" s="93"/>
      <c r="F47" s="13"/>
      <c r="G47" s="14"/>
    </row>
    <row r="48" spans="1:7">
      <c r="B48" s="15"/>
      <c r="C48" s="16"/>
      <c r="D48" s="93"/>
      <c r="E48" s="93"/>
      <c r="F48" s="13"/>
      <c r="G48" s="14"/>
    </row>
    <row r="49" spans="2:7">
      <c r="B49" s="1028" t="s">
        <v>122</v>
      </c>
      <c r="C49" s="1028"/>
      <c r="D49" s="17"/>
      <c r="F49" s="13"/>
      <c r="G49" s="14"/>
    </row>
    <row r="50" spans="2:7">
      <c r="B50" s="15"/>
      <c r="C50" s="16"/>
      <c r="D50" s="93"/>
      <c r="E50" s="93"/>
      <c r="F50" s="13"/>
      <c r="G50" s="14"/>
    </row>
    <row r="51" spans="2:7" ht="15" customHeight="1">
      <c r="B51" s="126" t="str">
        <f>+Statistic!B60</f>
        <v>ГҮЙЦЭТГЭХ ЗАХИРАЛ.......................//</v>
      </c>
      <c r="C51" s="126"/>
      <c r="D51" s="126"/>
      <c r="E51" s="126"/>
      <c r="F51" s="126"/>
      <c r="G51" s="126"/>
    </row>
    <row r="52" spans="2:7">
      <c r="B52" s="15"/>
      <c r="C52" s="30"/>
      <c r="D52" s="298"/>
      <c r="E52" s="96"/>
      <c r="F52" s="96"/>
      <c r="G52" s="96"/>
    </row>
    <row r="53" spans="2:7" ht="15" customHeight="1">
      <c r="B53" s="126" t="str">
        <f>+Statistic!B62</f>
        <v>ЕРӨНХИЙ НЯГТЛАН БОДОГЧ...................................................//</v>
      </c>
      <c r="C53" s="126"/>
      <c r="D53" s="126"/>
      <c r="E53" s="126"/>
      <c r="F53" s="126"/>
      <c r="G53" s="126"/>
    </row>
    <row r="54" spans="2:7">
      <c r="B54" s="15"/>
      <c r="C54" s="30"/>
      <c r="D54" s="298"/>
      <c r="E54" s="96"/>
      <c r="F54" s="96"/>
      <c r="G54" s="96"/>
    </row>
    <row r="55" spans="2:7" ht="15" customHeight="1">
      <c r="B55" s="126"/>
      <c r="C55" s="126"/>
      <c r="D55" s="126"/>
      <c r="E55" s="126"/>
      <c r="F55" s="126"/>
      <c r="G55" s="126"/>
    </row>
  </sheetData>
  <sheetProtection algorithmName="SHA-512" hashValue="VuweW3T36JAJO/hUNYuUYyaETCZeef+IlzE/83F6XUZlyborpU7KM8Nw9xL8YUOLwu+7eXLxxXFMd7kJ+IzdEw==" saltValue="Yr0vj81TFqbhAF512Yh6vA==" spinCount="100000" sheet="1" objects="1" scenarios="1"/>
  <mergeCells count="19">
    <mergeCell ref="A2:G2"/>
    <mergeCell ref="A3:G3"/>
    <mergeCell ref="A4:G4"/>
    <mergeCell ref="A5:B5"/>
    <mergeCell ref="A6:E6"/>
    <mergeCell ref="F6:G6"/>
    <mergeCell ref="G22:G28"/>
    <mergeCell ref="F8:F14"/>
    <mergeCell ref="A45:B45"/>
    <mergeCell ref="A47:B47"/>
    <mergeCell ref="B49:C49"/>
    <mergeCell ref="F29:F35"/>
    <mergeCell ref="G29:G35"/>
    <mergeCell ref="F37:F43"/>
    <mergeCell ref="G37:G43"/>
    <mergeCell ref="G8:G14"/>
    <mergeCell ref="F15:F21"/>
    <mergeCell ref="G15:G21"/>
    <mergeCell ref="F22:F28"/>
  </mergeCells>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workbookViewId="0"/>
  </sheetViews>
  <sheetFormatPr defaultRowHeight="12.75"/>
  <cols>
    <col min="1" max="1" width="4" style="3" bestFit="1" customWidth="1"/>
    <col min="2" max="2" width="27.28515625" style="66" bestFit="1" customWidth="1"/>
    <col min="3" max="3" width="10.85546875" style="66" customWidth="1"/>
    <col min="4" max="4" width="26.140625" style="66" customWidth="1"/>
    <col min="5" max="5" width="18.85546875" style="90" customWidth="1"/>
    <col min="6" max="6" width="11.140625" style="322" bestFit="1" customWidth="1"/>
    <col min="7" max="7" width="44.85546875" style="90" bestFit="1" customWidth="1"/>
    <col min="8" max="10" width="9.85546875" style="3" customWidth="1"/>
    <col min="11" max="11" width="20.28515625" style="3" customWidth="1"/>
    <col min="12" max="13" width="13.28515625" style="90" customWidth="1"/>
    <col min="14" max="14" width="13.28515625" style="33" customWidth="1"/>
    <col min="15" max="15" width="11" style="33" bestFit="1" customWidth="1"/>
    <col min="16" max="16" width="20.7109375" style="90" customWidth="1"/>
    <col min="17" max="17" width="17.42578125" style="263" customWidth="1"/>
    <col min="18" max="18" width="15.42578125" style="90" customWidth="1"/>
    <col min="19" max="19" width="12.42578125" style="134" customWidth="1"/>
    <col min="20" max="16384" width="9.140625" style="3"/>
  </cols>
  <sheetData>
    <row r="2" spans="1:21">
      <c r="A2" s="984" t="s">
        <v>286</v>
      </c>
      <c r="B2" s="984"/>
      <c r="C2" s="984"/>
      <c r="D2" s="984"/>
      <c r="E2" s="984"/>
      <c r="F2" s="984"/>
      <c r="G2" s="984"/>
      <c r="H2" s="984"/>
      <c r="I2" s="984"/>
      <c r="J2" s="984"/>
      <c r="K2" s="984"/>
      <c r="L2" s="984"/>
      <c r="M2" s="984"/>
      <c r="N2" s="984"/>
      <c r="O2" s="984"/>
      <c r="P2" s="984"/>
      <c r="Q2" s="984"/>
      <c r="R2" s="984"/>
      <c r="S2" s="984"/>
    </row>
    <row r="3" spans="1:21">
      <c r="A3" s="990" t="str">
        <f>GB!A3</f>
        <v xml:space="preserve">БАНК БУС САНХҮҮГИЙН БАЙГУУЛЛАГЫН НЭР </v>
      </c>
      <c r="B3" s="990"/>
      <c r="C3" s="990"/>
      <c r="D3" s="990"/>
      <c r="E3" s="990"/>
      <c r="F3" s="990"/>
      <c r="G3" s="990"/>
      <c r="H3" s="990"/>
      <c r="I3" s="990"/>
      <c r="J3" s="990"/>
      <c r="K3" s="990"/>
      <c r="L3" s="990"/>
      <c r="M3" s="990"/>
      <c r="N3" s="990"/>
      <c r="O3" s="990"/>
      <c r="P3" s="990"/>
      <c r="Q3" s="990"/>
      <c r="R3" s="990"/>
      <c r="S3" s="990"/>
    </row>
    <row r="4" spans="1:21">
      <c r="A4" s="982" t="str">
        <f>GB!A4</f>
        <v>БАНК БУС САНХҮҮГИЙН БАЙГУУЛЛАГА</v>
      </c>
      <c r="B4" s="982"/>
      <c r="C4" s="982"/>
      <c r="D4" s="982"/>
      <c r="E4" s="982"/>
      <c r="F4" s="982"/>
      <c r="G4" s="982"/>
      <c r="H4" s="982"/>
      <c r="I4" s="982"/>
      <c r="J4" s="982"/>
      <c r="K4" s="982"/>
      <c r="L4" s="982"/>
      <c r="M4" s="982"/>
      <c r="N4" s="982"/>
      <c r="O4" s="982"/>
      <c r="P4" s="982"/>
      <c r="Q4" s="982"/>
      <c r="R4" s="982"/>
      <c r="S4" s="982"/>
    </row>
    <row r="5" spans="1:21">
      <c r="A5" s="1128">
        <f>GB!A6</f>
        <v>45716</v>
      </c>
      <c r="B5" s="1128"/>
      <c r="C5" s="244"/>
      <c r="D5" s="244"/>
      <c r="E5" s="128"/>
      <c r="F5" s="306"/>
      <c r="G5" s="1"/>
      <c r="H5" s="1"/>
      <c r="I5" s="1"/>
      <c r="J5" s="1"/>
      <c r="K5" s="1"/>
      <c r="L5" s="128"/>
      <c r="M5" s="128"/>
      <c r="N5" s="307"/>
      <c r="O5" s="307"/>
      <c r="P5" s="128"/>
      <c r="Q5" s="128"/>
      <c r="R5" s="1172" t="s">
        <v>41</v>
      </c>
      <c r="S5" s="1172"/>
    </row>
    <row r="6" spans="1:21" ht="51" customHeight="1">
      <c r="A6" s="1155" t="s">
        <v>287</v>
      </c>
      <c r="B6" s="1177" t="s">
        <v>529</v>
      </c>
      <c r="C6" s="1178"/>
      <c r="D6" s="1163" t="s">
        <v>532</v>
      </c>
      <c r="E6" s="1157" t="s">
        <v>706</v>
      </c>
      <c r="F6" s="1168" t="s">
        <v>533</v>
      </c>
      <c r="G6" s="1157" t="s">
        <v>288</v>
      </c>
      <c r="H6" s="1163" t="s">
        <v>289</v>
      </c>
      <c r="I6" s="1163" t="s">
        <v>290</v>
      </c>
      <c r="J6" s="1163" t="s">
        <v>291</v>
      </c>
      <c r="K6" s="1163" t="s">
        <v>292</v>
      </c>
      <c r="L6" s="1179" t="s">
        <v>293</v>
      </c>
      <c r="M6" s="1173" t="s">
        <v>534</v>
      </c>
      <c r="N6" s="1174" t="s">
        <v>571</v>
      </c>
      <c r="O6" s="1174" t="s">
        <v>535</v>
      </c>
      <c r="P6" s="1165" t="s">
        <v>294</v>
      </c>
      <c r="Q6" s="1157" t="s">
        <v>295</v>
      </c>
      <c r="R6" s="1157" t="s">
        <v>296</v>
      </c>
      <c r="S6" s="1175" t="s">
        <v>297</v>
      </c>
    </row>
    <row r="7" spans="1:21">
      <c r="A7" s="1156"/>
      <c r="B7" s="297" t="s">
        <v>607</v>
      </c>
      <c r="C7" s="82" t="s">
        <v>531</v>
      </c>
      <c r="D7" s="1164"/>
      <c r="E7" s="1167"/>
      <c r="F7" s="1169"/>
      <c r="G7" s="1158"/>
      <c r="H7" s="1164"/>
      <c r="I7" s="1164"/>
      <c r="J7" s="1164"/>
      <c r="K7" s="1164"/>
      <c r="L7" s="1180"/>
      <c r="M7" s="1173"/>
      <c r="N7" s="1174"/>
      <c r="O7" s="1174"/>
      <c r="P7" s="1166"/>
      <c r="Q7" s="1158"/>
      <c r="R7" s="1158"/>
      <c r="S7" s="1176"/>
    </row>
    <row r="8" spans="1:21">
      <c r="A8" s="269">
        <v>1</v>
      </c>
      <c r="B8" s="137"/>
      <c r="C8" s="265"/>
      <c r="D8" s="288"/>
      <c r="E8" s="138"/>
      <c r="F8" s="308"/>
      <c r="G8" s="253"/>
      <c r="H8" s="140"/>
      <c r="I8" s="140"/>
      <c r="J8" s="919"/>
      <c r="K8" s="141"/>
      <c r="L8" s="254"/>
      <c r="M8" s="378"/>
      <c r="N8" s="378"/>
      <c r="O8" s="382" t="e">
        <f>+N8/M8</f>
        <v>#DIV/0!</v>
      </c>
      <c r="P8" s="254"/>
      <c r="Q8" s="259"/>
      <c r="R8" s="142"/>
      <c r="S8" s="916" t="e">
        <f>+P8/BS!I$96</f>
        <v>#DIV/0!</v>
      </c>
      <c r="T8" s="10" t="str">
        <f>IF(B8&gt;0,IF(AND(N8&gt;0,C8&gt;0,M8&gt;0),"","C, M болон N баганын холбогдох утгыг нөхнө үү"),"")</f>
        <v/>
      </c>
      <c r="U8" s="10"/>
    </row>
    <row r="9" spans="1:21">
      <c r="A9" s="269">
        <f>+A8+1</f>
        <v>2</v>
      </c>
      <c r="B9" s="137"/>
      <c r="C9" s="265"/>
      <c r="D9" s="288"/>
      <c r="E9" s="138"/>
      <c r="F9" s="308"/>
      <c r="G9" s="253"/>
      <c r="H9" s="140"/>
      <c r="I9" s="140"/>
      <c r="J9" s="919"/>
      <c r="K9" s="141"/>
      <c r="L9" s="254"/>
      <c r="M9" s="254"/>
      <c r="N9" s="378"/>
      <c r="O9" s="382" t="e">
        <f>+N9/M9</f>
        <v>#DIV/0!</v>
      </c>
      <c r="P9" s="254"/>
      <c r="Q9" s="259"/>
      <c r="R9" s="142"/>
      <c r="S9" s="916" t="e">
        <f>+P9/BS!I$96</f>
        <v>#DIV/0!</v>
      </c>
      <c r="T9" s="10" t="str">
        <f t="shared" ref="T9:T47" si="0">IF(B9&gt;0,IF(AND(N9&gt;0,C9&gt;0,M9&gt;0),"","C, M болон N баганын холбогдох утгыг нөхнө үү"),"")</f>
        <v/>
      </c>
      <c r="U9" s="10"/>
    </row>
    <row r="10" spans="1:21">
      <c r="A10" s="269">
        <f t="shared" ref="A10:A47" si="1">+A9+1</f>
        <v>3</v>
      </c>
      <c r="B10" s="137"/>
      <c r="C10" s="265"/>
      <c r="D10" s="288"/>
      <c r="E10" s="138"/>
      <c r="F10" s="308"/>
      <c r="G10" s="253"/>
      <c r="H10" s="140"/>
      <c r="I10" s="140"/>
      <c r="J10" s="919"/>
      <c r="K10" s="141"/>
      <c r="L10" s="254"/>
      <c r="M10" s="254"/>
      <c r="N10" s="378"/>
      <c r="O10" s="382" t="e">
        <f t="shared" ref="O10:O46" si="2">+N10/M10</f>
        <v>#DIV/0!</v>
      </c>
      <c r="P10" s="254"/>
      <c r="Q10" s="259"/>
      <c r="R10" s="142"/>
      <c r="S10" s="916" t="e">
        <f>+P10/BS!I$96</f>
        <v>#DIV/0!</v>
      </c>
      <c r="T10" s="10" t="str">
        <f t="shared" si="0"/>
        <v/>
      </c>
      <c r="U10" s="10"/>
    </row>
    <row r="11" spans="1:21">
      <c r="A11" s="269">
        <f t="shared" si="1"/>
        <v>4</v>
      </c>
      <c r="B11" s="137"/>
      <c r="C11" s="265"/>
      <c r="D11" s="288"/>
      <c r="E11" s="138"/>
      <c r="F11" s="308"/>
      <c r="G11" s="253"/>
      <c r="H11" s="140"/>
      <c r="I11" s="77"/>
      <c r="J11" s="919"/>
      <c r="K11" s="141"/>
      <c r="L11" s="255"/>
      <c r="M11" s="255"/>
      <c r="N11" s="378"/>
      <c r="O11" s="382" t="e">
        <f t="shared" si="2"/>
        <v>#DIV/0!</v>
      </c>
      <c r="P11" s="256"/>
      <c r="Q11" s="259"/>
      <c r="R11" s="142"/>
      <c r="S11" s="916" t="e">
        <f>+P11/BS!I$96</f>
        <v>#DIV/0!</v>
      </c>
      <c r="T11" s="10" t="str">
        <f t="shared" si="0"/>
        <v/>
      </c>
      <c r="U11" s="10"/>
    </row>
    <row r="12" spans="1:21">
      <c r="A12" s="269">
        <f t="shared" si="1"/>
        <v>5</v>
      </c>
      <c r="B12" s="137"/>
      <c r="C12" s="265"/>
      <c r="D12" s="288"/>
      <c r="E12" s="138"/>
      <c r="F12" s="308"/>
      <c r="G12" s="253"/>
      <c r="H12" s="140"/>
      <c r="I12" s="140"/>
      <c r="J12" s="140"/>
      <c r="K12" s="141"/>
      <c r="L12" s="257"/>
      <c r="M12" s="257"/>
      <c r="N12" s="378"/>
      <c r="O12" s="382" t="e">
        <f t="shared" si="2"/>
        <v>#DIV/0!</v>
      </c>
      <c r="P12" s="257"/>
      <c r="Q12" s="259"/>
      <c r="R12" s="142"/>
      <c r="S12" s="916" t="e">
        <f>+P12/BS!I$96</f>
        <v>#DIV/0!</v>
      </c>
      <c r="T12" s="10" t="str">
        <f t="shared" si="0"/>
        <v/>
      </c>
      <c r="U12" s="10"/>
    </row>
    <row r="13" spans="1:21">
      <c r="A13" s="269">
        <f t="shared" si="1"/>
        <v>6</v>
      </c>
      <c r="B13" s="137"/>
      <c r="C13" s="265"/>
      <c r="D13" s="288"/>
      <c r="E13" s="138"/>
      <c r="F13" s="308"/>
      <c r="G13" s="253"/>
      <c r="H13" s="140"/>
      <c r="I13" s="140"/>
      <c r="J13" s="140"/>
      <c r="K13" s="141"/>
      <c r="L13" s="257"/>
      <c r="M13" s="257"/>
      <c r="N13" s="378"/>
      <c r="O13" s="382" t="e">
        <f t="shared" si="2"/>
        <v>#DIV/0!</v>
      </c>
      <c r="P13" s="257"/>
      <c r="Q13" s="259"/>
      <c r="R13" s="142"/>
      <c r="S13" s="916" t="e">
        <f>+P13/BS!I$96</f>
        <v>#DIV/0!</v>
      </c>
      <c r="T13" s="10" t="str">
        <f t="shared" si="0"/>
        <v/>
      </c>
      <c r="U13" s="10"/>
    </row>
    <row r="14" spans="1:21">
      <c r="A14" s="269">
        <f t="shared" si="1"/>
        <v>7</v>
      </c>
      <c r="B14" s="137"/>
      <c r="C14" s="265"/>
      <c r="D14" s="288"/>
      <c r="E14" s="138"/>
      <c r="F14" s="308"/>
      <c r="G14" s="253"/>
      <c r="H14" s="140"/>
      <c r="I14" s="140"/>
      <c r="J14" s="140"/>
      <c r="K14" s="141"/>
      <c r="L14" s="257"/>
      <c r="M14" s="257"/>
      <c r="N14" s="378"/>
      <c r="O14" s="382" t="e">
        <f t="shared" si="2"/>
        <v>#DIV/0!</v>
      </c>
      <c r="P14" s="257"/>
      <c r="Q14" s="259"/>
      <c r="R14" s="142"/>
      <c r="S14" s="916" t="e">
        <f>+P14/BS!I$96</f>
        <v>#DIV/0!</v>
      </c>
      <c r="T14" s="10" t="str">
        <f t="shared" si="0"/>
        <v/>
      </c>
      <c r="U14" s="10"/>
    </row>
    <row r="15" spans="1:21">
      <c r="A15" s="269">
        <f t="shared" si="1"/>
        <v>8</v>
      </c>
      <c r="B15" s="137"/>
      <c r="C15" s="265"/>
      <c r="D15" s="288"/>
      <c r="E15" s="138"/>
      <c r="F15" s="308"/>
      <c r="G15" s="253"/>
      <c r="H15" s="140"/>
      <c r="I15" s="140"/>
      <c r="J15" s="140"/>
      <c r="K15" s="141"/>
      <c r="L15" s="257"/>
      <c r="M15" s="257"/>
      <c r="N15" s="378"/>
      <c r="O15" s="382" t="e">
        <f t="shared" si="2"/>
        <v>#DIV/0!</v>
      </c>
      <c r="P15" s="257"/>
      <c r="Q15" s="259"/>
      <c r="R15" s="142"/>
      <c r="S15" s="916" t="e">
        <f>+P15/BS!I$96</f>
        <v>#DIV/0!</v>
      </c>
      <c r="T15" s="10" t="str">
        <f t="shared" si="0"/>
        <v/>
      </c>
      <c r="U15" s="10"/>
    </row>
    <row r="16" spans="1:21">
      <c r="A16" s="269">
        <f t="shared" si="1"/>
        <v>9</v>
      </c>
      <c r="B16" s="137"/>
      <c r="C16" s="265"/>
      <c r="D16" s="288"/>
      <c r="E16" s="138"/>
      <c r="F16" s="308"/>
      <c r="G16" s="253"/>
      <c r="H16" s="140"/>
      <c r="I16" s="140"/>
      <c r="J16" s="140"/>
      <c r="K16" s="141"/>
      <c r="L16" s="257"/>
      <c r="M16" s="257"/>
      <c r="N16" s="378"/>
      <c r="O16" s="382" t="e">
        <f t="shared" si="2"/>
        <v>#DIV/0!</v>
      </c>
      <c r="P16" s="257"/>
      <c r="Q16" s="259"/>
      <c r="R16" s="142"/>
      <c r="S16" s="916" t="e">
        <f>+P16/BS!I$96</f>
        <v>#DIV/0!</v>
      </c>
      <c r="T16" s="10" t="str">
        <f t="shared" si="0"/>
        <v/>
      </c>
      <c r="U16" s="10"/>
    </row>
    <row r="17" spans="1:21">
      <c r="A17" s="269">
        <f t="shared" si="1"/>
        <v>10</v>
      </c>
      <c r="B17" s="137"/>
      <c r="C17" s="265"/>
      <c r="D17" s="288"/>
      <c r="E17" s="138"/>
      <c r="F17" s="308"/>
      <c r="G17" s="253"/>
      <c r="H17" s="140"/>
      <c r="I17" s="140"/>
      <c r="J17" s="140"/>
      <c r="K17" s="141"/>
      <c r="L17" s="257"/>
      <c r="M17" s="257"/>
      <c r="N17" s="378"/>
      <c r="O17" s="382" t="e">
        <f t="shared" si="2"/>
        <v>#DIV/0!</v>
      </c>
      <c r="P17" s="257"/>
      <c r="Q17" s="259"/>
      <c r="R17" s="142"/>
      <c r="S17" s="916" t="e">
        <f>+P17/BS!I$96</f>
        <v>#DIV/0!</v>
      </c>
      <c r="T17" s="10" t="str">
        <f t="shared" si="0"/>
        <v/>
      </c>
      <c r="U17" s="10"/>
    </row>
    <row r="18" spans="1:21">
      <c r="A18" s="269">
        <f t="shared" si="1"/>
        <v>11</v>
      </c>
      <c r="B18" s="137"/>
      <c r="C18" s="265"/>
      <c r="D18" s="288"/>
      <c r="E18" s="138"/>
      <c r="F18" s="308"/>
      <c r="G18" s="253"/>
      <c r="H18" s="140"/>
      <c r="I18" s="140"/>
      <c r="J18" s="140"/>
      <c r="K18" s="141"/>
      <c r="L18" s="257"/>
      <c r="M18" s="257"/>
      <c r="N18" s="378"/>
      <c r="O18" s="382" t="e">
        <f t="shared" si="2"/>
        <v>#DIV/0!</v>
      </c>
      <c r="P18" s="257"/>
      <c r="Q18" s="259"/>
      <c r="R18" s="142"/>
      <c r="S18" s="916" t="e">
        <f>+P18/BS!I$96</f>
        <v>#DIV/0!</v>
      </c>
      <c r="T18" s="10" t="str">
        <f t="shared" si="0"/>
        <v/>
      </c>
      <c r="U18" s="10"/>
    </row>
    <row r="19" spans="1:21">
      <c r="A19" s="269">
        <f t="shared" si="1"/>
        <v>12</v>
      </c>
      <c r="B19" s="137"/>
      <c r="C19" s="265"/>
      <c r="D19" s="288"/>
      <c r="E19" s="138"/>
      <c r="F19" s="308"/>
      <c r="G19" s="253"/>
      <c r="H19" s="140"/>
      <c r="I19" s="140"/>
      <c r="J19" s="140"/>
      <c r="K19" s="141"/>
      <c r="L19" s="257"/>
      <c r="M19" s="257"/>
      <c r="N19" s="378"/>
      <c r="O19" s="382" t="e">
        <f t="shared" si="2"/>
        <v>#DIV/0!</v>
      </c>
      <c r="P19" s="254"/>
      <c r="Q19" s="259"/>
      <c r="R19" s="142"/>
      <c r="S19" s="916" t="e">
        <f>+P19/BS!I$96</f>
        <v>#DIV/0!</v>
      </c>
      <c r="T19" s="10" t="str">
        <f t="shared" si="0"/>
        <v/>
      </c>
      <c r="U19" s="10"/>
    </row>
    <row r="20" spans="1:21">
      <c r="A20" s="269">
        <f t="shared" si="1"/>
        <v>13</v>
      </c>
      <c r="B20" s="137"/>
      <c r="C20" s="265"/>
      <c r="D20" s="288"/>
      <c r="E20" s="138"/>
      <c r="F20" s="308"/>
      <c r="G20" s="253"/>
      <c r="H20" s="140"/>
      <c r="I20" s="140"/>
      <c r="J20" s="140"/>
      <c r="K20" s="141"/>
      <c r="L20" s="257"/>
      <c r="M20" s="257"/>
      <c r="N20" s="378"/>
      <c r="O20" s="382" t="e">
        <f t="shared" si="2"/>
        <v>#DIV/0!</v>
      </c>
      <c r="P20" s="254"/>
      <c r="Q20" s="259"/>
      <c r="R20" s="142"/>
      <c r="S20" s="916" t="e">
        <f>+P20/BS!I$96</f>
        <v>#DIV/0!</v>
      </c>
      <c r="T20" s="10" t="str">
        <f t="shared" si="0"/>
        <v/>
      </c>
      <c r="U20" s="10"/>
    </row>
    <row r="21" spans="1:21">
      <c r="A21" s="269">
        <f t="shared" si="1"/>
        <v>14</v>
      </c>
      <c r="B21" s="147"/>
      <c r="C21" s="265"/>
      <c r="D21" s="288"/>
      <c r="E21" s="138"/>
      <c r="F21" s="309"/>
      <c r="G21" s="253"/>
      <c r="H21" s="77"/>
      <c r="I21" s="77"/>
      <c r="J21" s="77"/>
      <c r="K21" s="141"/>
      <c r="L21" s="258"/>
      <c r="M21" s="258"/>
      <c r="N21" s="378"/>
      <c r="O21" s="382" t="e">
        <f t="shared" si="2"/>
        <v>#DIV/0!</v>
      </c>
      <c r="P21" s="258"/>
      <c r="Q21" s="259"/>
      <c r="R21" s="142"/>
      <c r="S21" s="916" t="e">
        <f>+P21/BS!I$96</f>
        <v>#DIV/0!</v>
      </c>
      <c r="T21" s="10" t="str">
        <f t="shared" si="0"/>
        <v/>
      </c>
      <c r="U21" s="10"/>
    </row>
    <row r="22" spans="1:21">
      <c r="A22" s="269">
        <f t="shared" si="1"/>
        <v>15</v>
      </c>
      <c r="B22" s="147"/>
      <c r="C22" s="265"/>
      <c r="D22" s="288"/>
      <c r="E22" s="138"/>
      <c r="F22" s="309"/>
      <c r="G22" s="253"/>
      <c r="H22" s="77"/>
      <c r="I22" s="77"/>
      <c r="J22" s="77"/>
      <c r="K22" s="141"/>
      <c r="L22" s="258"/>
      <c r="M22" s="258"/>
      <c r="N22" s="378"/>
      <c r="O22" s="382" t="e">
        <f t="shared" si="2"/>
        <v>#DIV/0!</v>
      </c>
      <c r="P22" s="258"/>
      <c r="Q22" s="259"/>
      <c r="R22" s="142"/>
      <c r="S22" s="916" t="e">
        <f>+P22/BS!I$96</f>
        <v>#DIV/0!</v>
      </c>
      <c r="T22" s="10" t="str">
        <f t="shared" si="0"/>
        <v/>
      </c>
      <c r="U22" s="10"/>
    </row>
    <row r="23" spans="1:21">
      <c r="A23" s="269">
        <f t="shared" si="1"/>
        <v>16</v>
      </c>
      <c r="B23" s="147"/>
      <c r="C23" s="266"/>
      <c r="D23" s="288"/>
      <c r="E23" s="138"/>
      <c r="F23" s="309"/>
      <c r="G23" s="253"/>
      <c r="H23" s="77"/>
      <c r="I23" s="77"/>
      <c r="J23" s="77"/>
      <c r="K23" s="141"/>
      <c r="L23" s="258"/>
      <c r="M23" s="258"/>
      <c r="N23" s="378"/>
      <c r="O23" s="382" t="e">
        <f t="shared" si="2"/>
        <v>#DIV/0!</v>
      </c>
      <c r="P23" s="258"/>
      <c r="Q23" s="259"/>
      <c r="R23" s="142"/>
      <c r="S23" s="916" t="e">
        <f>+P23/BS!I$96</f>
        <v>#DIV/0!</v>
      </c>
      <c r="T23" s="10" t="str">
        <f t="shared" si="0"/>
        <v/>
      </c>
      <c r="U23" s="10"/>
    </row>
    <row r="24" spans="1:21">
      <c r="A24" s="269">
        <f t="shared" si="1"/>
        <v>17</v>
      </c>
      <c r="B24" s="147"/>
      <c r="C24" s="266"/>
      <c r="D24" s="288"/>
      <c r="E24" s="138"/>
      <c r="F24" s="309"/>
      <c r="G24" s="253"/>
      <c r="H24" s="77"/>
      <c r="I24" s="77"/>
      <c r="J24" s="77"/>
      <c r="K24" s="141"/>
      <c r="L24" s="258"/>
      <c r="M24" s="258"/>
      <c r="N24" s="378"/>
      <c r="O24" s="382" t="e">
        <f t="shared" si="2"/>
        <v>#DIV/0!</v>
      </c>
      <c r="P24" s="258"/>
      <c r="Q24" s="259"/>
      <c r="R24" s="142"/>
      <c r="S24" s="916" t="e">
        <f>+P24/BS!I$96</f>
        <v>#DIV/0!</v>
      </c>
      <c r="T24" s="10" t="str">
        <f t="shared" si="0"/>
        <v/>
      </c>
      <c r="U24" s="10"/>
    </row>
    <row r="25" spans="1:21">
      <c r="A25" s="269">
        <f t="shared" si="1"/>
        <v>18</v>
      </c>
      <c r="B25" s="147"/>
      <c r="C25" s="266"/>
      <c r="D25" s="288"/>
      <c r="E25" s="138"/>
      <c r="F25" s="309"/>
      <c r="G25" s="253"/>
      <c r="H25" s="77"/>
      <c r="I25" s="77"/>
      <c r="J25" s="77"/>
      <c r="K25" s="141"/>
      <c r="L25" s="258"/>
      <c r="M25" s="258"/>
      <c r="N25" s="378"/>
      <c r="O25" s="382" t="e">
        <f t="shared" si="2"/>
        <v>#DIV/0!</v>
      </c>
      <c r="P25" s="258"/>
      <c r="Q25" s="259"/>
      <c r="R25" s="142"/>
      <c r="S25" s="916" t="e">
        <f>+P25/BS!I$96</f>
        <v>#DIV/0!</v>
      </c>
      <c r="T25" s="10" t="str">
        <f t="shared" si="0"/>
        <v/>
      </c>
      <c r="U25" s="10"/>
    </row>
    <row r="26" spans="1:21">
      <c r="A26" s="269">
        <f t="shared" si="1"/>
        <v>19</v>
      </c>
      <c r="B26" s="147"/>
      <c r="C26" s="266"/>
      <c r="D26" s="288"/>
      <c r="E26" s="138"/>
      <c r="F26" s="309"/>
      <c r="G26" s="253"/>
      <c r="H26" s="77"/>
      <c r="I26" s="77"/>
      <c r="J26" s="77"/>
      <c r="K26" s="141"/>
      <c r="L26" s="258"/>
      <c r="M26" s="258"/>
      <c r="N26" s="378"/>
      <c r="O26" s="382" t="e">
        <f t="shared" si="2"/>
        <v>#DIV/0!</v>
      </c>
      <c r="P26" s="258"/>
      <c r="Q26" s="259"/>
      <c r="R26" s="142"/>
      <c r="S26" s="916" t="e">
        <f>+P26/BS!I$96</f>
        <v>#DIV/0!</v>
      </c>
      <c r="T26" s="10" t="str">
        <f t="shared" si="0"/>
        <v/>
      </c>
      <c r="U26" s="10"/>
    </row>
    <row r="27" spans="1:21">
      <c r="A27" s="269">
        <f t="shared" si="1"/>
        <v>20</v>
      </c>
      <c r="B27" s="147"/>
      <c r="C27" s="266"/>
      <c r="D27" s="288"/>
      <c r="E27" s="138"/>
      <c r="F27" s="309"/>
      <c r="G27" s="253"/>
      <c r="H27" s="77"/>
      <c r="I27" s="77"/>
      <c r="J27" s="77"/>
      <c r="K27" s="141"/>
      <c r="L27" s="258"/>
      <c r="M27" s="258"/>
      <c r="N27" s="378"/>
      <c r="O27" s="382" t="e">
        <f t="shared" si="2"/>
        <v>#DIV/0!</v>
      </c>
      <c r="P27" s="258"/>
      <c r="Q27" s="259"/>
      <c r="R27" s="142"/>
      <c r="S27" s="916" t="e">
        <f>+P27/BS!I$96</f>
        <v>#DIV/0!</v>
      </c>
      <c r="T27" s="10" t="str">
        <f t="shared" si="0"/>
        <v/>
      </c>
      <c r="U27" s="10"/>
    </row>
    <row r="28" spans="1:21">
      <c r="A28" s="269">
        <f t="shared" si="1"/>
        <v>21</v>
      </c>
      <c r="B28" s="147"/>
      <c r="C28" s="266"/>
      <c r="D28" s="288"/>
      <c r="E28" s="138"/>
      <c r="F28" s="309"/>
      <c r="G28" s="253"/>
      <c r="H28" s="77"/>
      <c r="I28" s="77"/>
      <c r="J28" s="77"/>
      <c r="K28" s="141"/>
      <c r="L28" s="258"/>
      <c r="M28" s="258"/>
      <c r="N28" s="378"/>
      <c r="O28" s="382" t="e">
        <f t="shared" si="2"/>
        <v>#DIV/0!</v>
      </c>
      <c r="P28" s="258"/>
      <c r="Q28" s="259"/>
      <c r="R28" s="142"/>
      <c r="S28" s="916" t="e">
        <f>+P28/BS!I$96</f>
        <v>#DIV/0!</v>
      </c>
      <c r="T28" s="10" t="str">
        <f t="shared" si="0"/>
        <v/>
      </c>
      <c r="U28" s="10"/>
    </row>
    <row r="29" spans="1:21">
      <c r="A29" s="269">
        <f t="shared" si="1"/>
        <v>22</v>
      </c>
      <c r="B29" s="147"/>
      <c r="C29" s="266"/>
      <c r="D29" s="288"/>
      <c r="E29" s="138"/>
      <c r="F29" s="309"/>
      <c r="G29" s="253"/>
      <c r="H29" s="77"/>
      <c r="I29" s="77"/>
      <c r="J29" s="77"/>
      <c r="K29" s="141"/>
      <c r="L29" s="258"/>
      <c r="M29" s="258"/>
      <c r="N29" s="378"/>
      <c r="O29" s="382" t="e">
        <f t="shared" si="2"/>
        <v>#DIV/0!</v>
      </c>
      <c r="P29" s="258"/>
      <c r="Q29" s="259"/>
      <c r="R29" s="142"/>
      <c r="S29" s="916" t="e">
        <f>+P29/BS!I$96</f>
        <v>#DIV/0!</v>
      </c>
      <c r="T29" s="10" t="str">
        <f t="shared" si="0"/>
        <v/>
      </c>
      <c r="U29" s="10"/>
    </row>
    <row r="30" spans="1:21">
      <c r="A30" s="269">
        <f t="shared" si="1"/>
        <v>23</v>
      </c>
      <c r="B30" s="147"/>
      <c r="C30" s="266"/>
      <c r="D30" s="288"/>
      <c r="E30" s="138"/>
      <c r="F30" s="309"/>
      <c r="G30" s="253"/>
      <c r="H30" s="77"/>
      <c r="I30" s="77"/>
      <c r="J30" s="77"/>
      <c r="K30" s="141"/>
      <c r="L30" s="258"/>
      <c r="M30" s="258"/>
      <c r="N30" s="378"/>
      <c r="O30" s="382" t="e">
        <f t="shared" si="2"/>
        <v>#DIV/0!</v>
      </c>
      <c r="P30" s="258"/>
      <c r="Q30" s="259"/>
      <c r="R30" s="142"/>
      <c r="S30" s="916" t="e">
        <f>+P30/BS!I$96</f>
        <v>#DIV/0!</v>
      </c>
      <c r="T30" s="10" t="str">
        <f t="shared" si="0"/>
        <v/>
      </c>
      <c r="U30" s="10"/>
    </row>
    <row r="31" spans="1:21">
      <c r="A31" s="269">
        <f t="shared" si="1"/>
        <v>24</v>
      </c>
      <c r="B31" s="147"/>
      <c r="C31" s="266"/>
      <c r="D31" s="288"/>
      <c r="E31" s="138"/>
      <c r="F31" s="309"/>
      <c r="G31" s="253"/>
      <c r="H31" s="77"/>
      <c r="I31" s="77"/>
      <c r="J31" s="77"/>
      <c r="K31" s="141"/>
      <c r="L31" s="258"/>
      <c r="M31" s="258"/>
      <c r="N31" s="378"/>
      <c r="O31" s="382" t="e">
        <f t="shared" si="2"/>
        <v>#DIV/0!</v>
      </c>
      <c r="P31" s="258"/>
      <c r="Q31" s="259"/>
      <c r="R31" s="142"/>
      <c r="S31" s="916" t="e">
        <f>+P31/BS!I$96</f>
        <v>#DIV/0!</v>
      </c>
      <c r="T31" s="10" t="str">
        <f t="shared" si="0"/>
        <v/>
      </c>
      <c r="U31" s="10"/>
    </row>
    <row r="32" spans="1:21">
      <c r="A32" s="269">
        <f t="shared" si="1"/>
        <v>25</v>
      </c>
      <c r="B32" s="147"/>
      <c r="C32" s="266"/>
      <c r="D32" s="288"/>
      <c r="E32" s="138"/>
      <c r="F32" s="309"/>
      <c r="G32" s="253"/>
      <c r="H32" s="77"/>
      <c r="I32" s="77"/>
      <c r="J32" s="77"/>
      <c r="K32" s="141"/>
      <c r="L32" s="258"/>
      <c r="M32" s="258"/>
      <c r="N32" s="378"/>
      <c r="O32" s="382" t="e">
        <f t="shared" si="2"/>
        <v>#DIV/0!</v>
      </c>
      <c r="P32" s="258"/>
      <c r="Q32" s="259"/>
      <c r="R32" s="142"/>
      <c r="S32" s="916" t="e">
        <f>+P32/BS!I$96</f>
        <v>#DIV/0!</v>
      </c>
      <c r="T32" s="10" t="str">
        <f t="shared" si="0"/>
        <v/>
      </c>
      <c r="U32" s="10"/>
    </row>
    <row r="33" spans="1:21">
      <c r="A33" s="269">
        <f t="shared" si="1"/>
        <v>26</v>
      </c>
      <c r="B33" s="147"/>
      <c r="C33" s="266"/>
      <c r="D33" s="288"/>
      <c r="E33" s="138"/>
      <c r="F33" s="309"/>
      <c r="G33" s="253"/>
      <c r="H33" s="77"/>
      <c r="I33" s="77"/>
      <c r="J33" s="77"/>
      <c r="K33" s="141"/>
      <c r="L33" s="258"/>
      <c r="M33" s="258"/>
      <c r="N33" s="378"/>
      <c r="O33" s="382" t="e">
        <f t="shared" si="2"/>
        <v>#DIV/0!</v>
      </c>
      <c r="P33" s="258"/>
      <c r="Q33" s="259"/>
      <c r="R33" s="142"/>
      <c r="S33" s="916" t="e">
        <f>+P33/BS!I$96</f>
        <v>#DIV/0!</v>
      </c>
      <c r="T33" s="10" t="str">
        <f t="shared" si="0"/>
        <v/>
      </c>
      <c r="U33" s="10"/>
    </row>
    <row r="34" spans="1:21">
      <c r="A34" s="269">
        <f t="shared" si="1"/>
        <v>27</v>
      </c>
      <c r="B34" s="147"/>
      <c r="C34" s="266"/>
      <c r="D34" s="288"/>
      <c r="E34" s="138"/>
      <c r="F34" s="309"/>
      <c r="G34" s="253"/>
      <c r="H34" s="77"/>
      <c r="I34" s="77"/>
      <c r="J34" s="77"/>
      <c r="K34" s="141"/>
      <c r="L34" s="258"/>
      <c r="M34" s="258"/>
      <c r="N34" s="378"/>
      <c r="O34" s="382" t="e">
        <f t="shared" si="2"/>
        <v>#DIV/0!</v>
      </c>
      <c r="P34" s="258"/>
      <c r="Q34" s="259"/>
      <c r="R34" s="142"/>
      <c r="S34" s="916" t="e">
        <f>+P34/BS!I$96</f>
        <v>#DIV/0!</v>
      </c>
      <c r="T34" s="10" t="str">
        <f t="shared" si="0"/>
        <v/>
      </c>
      <c r="U34" s="10"/>
    </row>
    <row r="35" spans="1:21">
      <c r="A35" s="269">
        <f t="shared" si="1"/>
        <v>28</v>
      </c>
      <c r="B35" s="147"/>
      <c r="C35" s="266"/>
      <c r="D35" s="288"/>
      <c r="E35" s="138"/>
      <c r="F35" s="309"/>
      <c r="G35" s="253"/>
      <c r="H35" s="77"/>
      <c r="I35" s="77"/>
      <c r="J35" s="77"/>
      <c r="K35" s="141"/>
      <c r="L35" s="258"/>
      <c r="M35" s="258"/>
      <c r="N35" s="378"/>
      <c r="O35" s="382" t="e">
        <f t="shared" si="2"/>
        <v>#DIV/0!</v>
      </c>
      <c r="P35" s="258"/>
      <c r="Q35" s="259"/>
      <c r="R35" s="142"/>
      <c r="S35" s="916" t="e">
        <f>+P35/BS!I$96</f>
        <v>#DIV/0!</v>
      </c>
      <c r="T35" s="10" t="str">
        <f t="shared" si="0"/>
        <v/>
      </c>
      <c r="U35" s="10"/>
    </row>
    <row r="36" spans="1:21">
      <c r="A36" s="269">
        <f t="shared" si="1"/>
        <v>29</v>
      </c>
      <c r="B36" s="147"/>
      <c r="C36" s="266"/>
      <c r="D36" s="288"/>
      <c r="E36" s="138"/>
      <c r="F36" s="309"/>
      <c r="G36" s="253"/>
      <c r="H36" s="77"/>
      <c r="I36" s="77"/>
      <c r="J36" s="77"/>
      <c r="K36" s="141"/>
      <c r="L36" s="258"/>
      <c r="M36" s="258"/>
      <c r="N36" s="378"/>
      <c r="O36" s="382" t="e">
        <f t="shared" si="2"/>
        <v>#DIV/0!</v>
      </c>
      <c r="P36" s="258"/>
      <c r="Q36" s="259"/>
      <c r="R36" s="142"/>
      <c r="S36" s="916" t="e">
        <f>+P36/BS!I$96</f>
        <v>#DIV/0!</v>
      </c>
      <c r="T36" s="10" t="str">
        <f t="shared" si="0"/>
        <v/>
      </c>
      <c r="U36" s="10"/>
    </row>
    <row r="37" spans="1:21">
      <c r="A37" s="269">
        <f t="shared" si="1"/>
        <v>30</v>
      </c>
      <c r="B37" s="147"/>
      <c r="C37" s="266"/>
      <c r="D37" s="288"/>
      <c r="E37" s="138"/>
      <c r="F37" s="309"/>
      <c r="G37" s="253"/>
      <c r="H37" s="77"/>
      <c r="I37" s="77"/>
      <c r="J37" s="77"/>
      <c r="K37" s="141"/>
      <c r="L37" s="258"/>
      <c r="M37" s="258"/>
      <c r="N37" s="378"/>
      <c r="O37" s="382" t="e">
        <f t="shared" si="2"/>
        <v>#DIV/0!</v>
      </c>
      <c r="P37" s="258"/>
      <c r="Q37" s="259"/>
      <c r="R37" s="142"/>
      <c r="S37" s="916" t="e">
        <f>+P37/BS!I$96</f>
        <v>#DIV/0!</v>
      </c>
      <c r="T37" s="10" t="str">
        <f t="shared" si="0"/>
        <v/>
      </c>
      <c r="U37" s="10"/>
    </row>
    <row r="38" spans="1:21">
      <c r="A38" s="269">
        <f t="shared" si="1"/>
        <v>31</v>
      </c>
      <c r="B38" s="147"/>
      <c r="C38" s="266"/>
      <c r="D38" s="288"/>
      <c r="E38" s="138"/>
      <c r="F38" s="309"/>
      <c r="G38" s="253"/>
      <c r="H38" s="77"/>
      <c r="I38" s="77"/>
      <c r="J38" s="77"/>
      <c r="K38" s="141"/>
      <c r="L38" s="258"/>
      <c r="M38" s="258"/>
      <c r="N38" s="378"/>
      <c r="O38" s="382" t="e">
        <f t="shared" si="2"/>
        <v>#DIV/0!</v>
      </c>
      <c r="P38" s="258"/>
      <c r="Q38" s="259"/>
      <c r="R38" s="142"/>
      <c r="S38" s="916" t="e">
        <f>+P38/BS!I$96</f>
        <v>#DIV/0!</v>
      </c>
      <c r="T38" s="10" t="str">
        <f t="shared" si="0"/>
        <v/>
      </c>
      <c r="U38" s="10"/>
    </row>
    <row r="39" spans="1:21">
      <c r="A39" s="269">
        <f t="shared" si="1"/>
        <v>32</v>
      </c>
      <c r="B39" s="147"/>
      <c r="C39" s="266"/>
      <c r="D39" s="288"/>
      <c r="E39" s="138"/>
      <c r="F39" s="309"/>
      <c r="G39" s="253"/>
      <c r="H39" s="77"/>
      <c r="I39" s="77"/>
      <c r="J39" s="77"/>
      <c r="K39" s="141"/>
      <c r="L39" s="258"/>
      <c r="M39" s="258"/>
      <c r="N39" s="378"/>
      <c r="O39" s="382" t="e">
        <f t="shared" si="2"/>
        <v>#DIV/0!</v>
      </c>
      <c r="P39" s="258"/>
      <c r="Q39" s="259"/>
      <c r="R39" s="142"/>
      <c r="S39" s="916" t="e">
        <f>+P39/BS!I$96</f>
        <v>#DIV/0!</v>
      </c>
      <c r="T39" s="10" t="str">
        <f t="shared" si="0"/>
        <v/>
      </c>
      <c r="U39" s="10"/>
    </row>
    <row r="40" spans="1:21">
      <c r="A40" s="269">
        <f t="shared" si="1"/>
        <v>33</v>
      </c>
      <c r="B40" s="147"/>
      <c r="C40" s="266"/>
      <c r="D40" s="288"/>
      <c r="E40" s="138"/>
      <c r="F40" s="309"/>
      <c r="G40" s="253"/>
      <c r="H40" s="77"/>
      <c r="I40" s="77"/>
      <c r="J40" s="77"/>
      <c r="K40" s="141"/>
      <c r="L40" s="258"/>
      <c r="M40" s="258"/>
      <c r="N40" s="378"/>
      <c r="O40" s="382" t="e">
        <f t="shared" si="2"/>
        <v>#DIV/0!</v>
      </c>
      <c r="P40" s="258"/>
      <c r="Q40" s="259"/>
      <c r="R40" s="142"/>
      <c r="S40" s="916" t="e">
        <f>+P40/BS!I$96</f>
        <v>#DIV/0!</v>
      </c>
      <c r="T40" s="10" t="str">
        <f t="shared" si="0"/>
        <v/>
      </c>
      <c r="U40" s="10"/>
    </row>
    <row r="41" spans="1:21">
      <c r="A41" s="269">
        <f t="shared" si="1"/>
        <v>34</v>
      </c>
      <c r="B41" s="147"/>
      <c r="C41" s="266"/>
      <c r="D41" s="288"/>
      <c r="E41" s="138"/>
      <c r="F41" s="309"/>
      <c r="G41" s="253"/>
      <c r="H41" s="77"/>
      <c r="I41" s="77"/>
      <c r="J41" s="77"/>
      <c r="K41" s="141"/>
      <c r="L41" s="258"/>
      <c r="M41" s="258"/>
      <c r="N41" s="378"/>
      <c r="O41" s="382" t="e">
        <f t="shared" si="2"/>
        <v>#DIV/0!</v>
      </c>
      <c r="P41" s="258"/>
      <c r="Q41" s="259"/>
      <c r="R41" s="142"/>
      <c r="S41" s="916" t="e">
        <f>+P41/BS!I$96</f>
        <v>#DIV/0!</v>
      </c>
      <c r="T41" s="10" t="str">
        <f t="shared" si="0"/>
        <v/>
      </c>
      <c r="U41" s="10"/>
    </row>
    <row r="42" spans="1:21">
      <c r="A42" s="269">
        <f t="shared" si="1"/>
        <v>35</v>
      </c>
      <c r="B42" s="147"/>
      <c r="C42" s="266"/>
      <c r="D42" s="288"/>
      <c r="E42" s="138"/>
      <c r="F42" s="309"/>
      <c r="G42" s="253"/>
      <c r="H42" s="77"/>
      <c r="I42" s="77"/>
      <c r="J42" s="77"/>
      <c r="K42" s="141"/>
      <c r="L42" s="258"/>
      <c r="M42" s="258"/>
      <c r="N42" s="378"/>
      <c r="O42" s="382" t="e">
        <f t="shared" si="2"/>
        <v>#DIV/0!</v>
      </c>
      <c r="P42" s="258"/>
      <c r="Q42" s="259"/>
      <c r="R42" s="142"/>
      <c r="S42" s="916" t="e">
        <f>+P42/BS!I$96</f>
        <v>#DIV/0!</v>
      </c>
      <c r="T42" s="10" t="str">
        <f t="shared" si="0"/>
        <v/>
      </c>
      <c r="U42" s="10"/>
    </row>
    <row r="43" spans="1:21">
      <c r="A43" s="269">
        <f t="shared" si="1"/>
        <v>36</v>
      </c>
      <c r="B43" s="147"/>
      <c r="C43" s="266"/>
      <c r="D43" s="288"/>
      <c r="E43" s="138"/>
      <c r="F43" s="309"/>
      <c r="G43" s="253"/>
      <c r="H43" s="77"/>
      <c r="I43" s="77"/>
      <c r="J43" s="77"/>
      <c r="K43" s="141"/>
      <c r="L43" s="258"/>
      <c r="M43" s="258"/>
      <c r="N43" s="378"/>
      <c r="O43" s="382" t="e">
        <f t="shared" si="2"/>
        <v>#DIV/0!</v>
      </c>
      <c r="P43" s="258"/>
      <c r="Q43" s="259"/>
      <c r="R43" s="142"/>
      <c r="S43" s="916" t="e">
        <f>+P43/BS!I$96</f>
        <v>#DIV/0!</v>
      </c>
      <c r="T43" s="10" t="str">
        <f t="shared" si="0"/>
        <v/>
      </c>
      <c r="U43" s="10"/>
    </row>
    <row r="44" spans="1:21">
      <c r="A44" s="269">
        <f t="shared" si="1"/>
        <v>37</v>
      </c>
      <c r="B44" s="147"/>
      <c r="C44" s="266"/>
      <c r="D44" s="288"/>
      <c r="E44" s="138"/>
      <c r="F44" s="309"/>
      <c r="G44" s="253"/>
      <c r="H44" s="77"/>
      <c r="I44" s="77"/>
      <c r="J44" s="77"/>
      <c r="K44" s="141"/>
      <c r="L44" s="258"/>
      <c r="M44" s="258"/>
      <c r="N44" s="378"/>
      <c r="O44" s="382" t="e">
        <f t="shared" si="2"/>
        <v>#DIV/0!</v>
      </c>
      <c r="P44" s="258"/>
      <c r="Q44" s="259"/>
      <c r="R44" s="142"/>
      <c r="S44" s="916" t="e">
        <f>+P44/BS!I$96</f>
        <v>#DIV/0!</v>
      </c>
      <c r="T44" s="10" t="str">
        <f t="shared" si="0"/>
        <v/>
      </c>
      <c r="U44" s="10"/>
    </row>
    <row r="45" spans="1:21">
      <c r="A45" s="269">
        <f t="shared" si="1"/>
        <v>38</v>
      </c>
      <c r="B45" s="147"/>
      <c r="C45" s="266"/>
      <c r="D45" s="288"/>
      <c r="E45" s="138"/>
      <c r="F45" s="309"/>
      <c r="G45" s="253"/>
      <c r="H45" s="77"/>
      <c r="I45" s="77"/>
      <c r="J45" s="77"/>
      <c r="K45" s="141"/>
      <c r="L45" s="258"/>
      <c r="M45" s="258"/>
      <c r="N45" s="378"/>
      <c r="O45" s="382" t="e">
        <f t="shared" si="2"/>
        <v>#DIV/0!</v>
      </c>
      <c r="P45" s="258"/>
      <c r="Q45" s="259"/>
      <c r="R45" s="142"/>
      <c r="S45" s="916" t="e">
        <f>+P45/BS!I$96</f>
        <v>#DIV/0!</v>
      </c>
      <c r="T45" s="10" t="str">
        <f t="shared" si="0"/>
        <v/>
      </c>
      <c r="U45" s="10"/>
    </row>
    <row r="46" spans="1:21">
      <c r="A46" s="269">
        <f t="shared" si="1"/>
        <v>39</v>
      </c>
      <c r="B46" s="147"/>
      <c r="C46" s="266"/>
      <c r="D46" s="288"/>
      <c r="E46" s="138"/>
      <c r="F46" s="309"/>
      <c r="G46" s="253"/>
      <c r="H46" s="77"/>
      <c r="I46" s="77"/>
      <c r="J46" s="77"/>
      <c r="K46" s="141"/>
      <c r="L46" s="258"/>
      <c r="M46" s="258"/>
      <c r="N46" s="378"/>
      <c r="O46" s="382" t="e">
        <f t="shared" si="2"/>
        <v>#DIV/0!</v>
      </c>
      <c r="P46" s="258"/>
      <c r="Q46" s="259"/>
      <c r="R46" s="142"/>
      <c r="S46" s="916" t="e">
        <f>+P46/BS!I$96</f>
        <v>#DIV/0!</v>
      </c>
      <c r="T46" s="10" t="str">
        <f t="shared" si="0"/>
        <v/>
      </c>
      <c r="U46" s="10"/>
    </row>
    <row r="47" spans="1:21">
      <c r="A47" s="269">
        <f t="shared" si="1"/>
        <v>40</v>
      </c>
      <c r="B47" s="147"/>
      <c r="C47" s="266"/>
      <c r="D47" s="288"/>
      <c r="E47" s="138"/>
      <c r="F47" s="309"/>
      <c r="G47" s="253"/>
      <c r="H47" s="77"/>
      <c r="I47" s="77"/>
      <c r="J47" s="77"/>
      <c r="K47" s="141"/>
      <c r="L47" s="258"/>
      <c r="M47" s="258"/>
      <c r="N47" s="378"/>
      <c r="O47" s="382" t="e">
        <f>+N47/M47</f>
        <v>#DIV/0!</v>
      </c>
      <c r="P47" s="258"/>
      <c r="Q47" s="259"/>
      <c r="R47" s="142"/>
      <c r="S47" s="916" t="e">
        <f>+P47/BS!I$96</f>
        <v>#DIV/0!</v>
      </c>
      <c r="T47" s="10" t="str">
        <f t="shared" si="0"/>
        <v/>
      </c>
      <c r="U47" s="10"/>
    </row>
    <row r="48" spans="1:21">
      <c r="A48" s="1159" t="s">
        <v>298</v>
      </c>
      <c r="B48" s="1160"/>
      <c r="C48" s="296"/>
      <c r="D48" s="296"/>
      <c r="E48" s="149">
        <f>+SUM(E8:E47)</f>
        <v>0</v>
      </c>
      <c r="F48" s="310"/>
      <c r="G48" s="150"/>
      <c r="H48" s="85"/>
      <c r="I48" s="85"/>
      <c r="J48" s="85"/>
      <c r="K48" s="85"/>
      <c r="L48" s="149">
        <f>+SUM(L8:L47)</f>
        <v>0</v>
      </c>
      <c r="M48" s="149"/>
      <c r="N48" s="379"/>
      <c r="O48" s="156" t="e">
        <f>MAX(O8:O47)</f>
        <v>#DIV/0!</v>
      </c>
      <c r="P48" s="149">
        <f>+SUM(P8:P47)</f>
        <v>0</v>
      </c>
      <c r="Q48" s="260"/>
      <c r="R48" s="149"/>
      <c r="S48" s="151"/>
    </row>
    <row r="49" spans="1:20">
      <c r="A49" s="370"/>
      <c r="B49" s="31"/>
      <c r="C49" s="370"/>
      <c r="D49" s="370"/>
      <c r="E49" s="371"/>
      <c r="F49" s="372"/>
      <c r="G49" s="373"/>
      <c r="H49" s="374"/>
      <c r="I49" s="374"/>
      <c r="J49" s="374"/>
      <c r="K49" s="374"/>
      <c r="L49" s="371"/>
      <c r="M49" s="371"/>
      <c r="N49" s="375"/>
      <c r="O49" s="377"/>
      <c r="P49" s="3"/>
      <c r="Q49" s="1171" t="s">
        <v>299</v>
      </c>
      <c r="R49" s="1171"/>
      <c r="S49" s="376" t="e">
        <f>MAX(S8:S47)</f>
        <v>#DIV/0!</v>
      </c>
    </row>
    <row r="50" spans="1:20" ht="12.75" customHeight="1">
      <c r="A50" s="1170" t="s">
        <v>552</v>
      </c>
      <c r="B50" s="1170"/>
      <c r="C50" s="1170"/>
      <c r="D50" s="1170"/>
      <c r="E50" s="1170"/>
      <c r="F50" s="1170"/>
      <c r="G50" s="1170"/>
      <c r="H50" s="1170"/>
      <c r="I50" s="1170"/>
      <c r="J50" s="1170"/>
      <c r="K50" s="1170"/>
      <c r="L50" s="1170"/>
      <c r="M50" s="1170"/>
      <c r="N50" s="1170"/>
      <c r="O50" s="1170"/>
      <c r="P50" s="1170"/>
      <c r="Q50" s="1170"/>
      <c r="R50" s="1170"/>
      <c r="S50" s="1170"/>
      <c r="T50" s="330"/>
    </row>
    <row r="51" spans="1:20" ht="12.75" customHeight="1">
      <c r="A51" s="1170" t="s">
        <v>401</v>
      </c>
      <c r="B51" s="1170"/>
      <c r="C51" s="1170"/>
      <c r="D51" s="1170"/>
      <c r="E51" s="1170"/>
      <c r="F51" s="1170"/>
      <c r="G51" s="1170"/>
      <c r="H51" s="1170"/>
      <c r="I51" s="1170"/>
      <c r="J51" s="1170"/>
      <c r="K51" s="1170"/>
      <c r="L51" s="1170"/>
      <c r="M51" s="1170"/>
      <c r="N51" s="1170"/>
      <c r="O51" s="1170"/>
      <c r="P51" s="1170"/>
      <c r="Q51" s="1170"/>
      <c r="R51" s="1170"/>
      <c r="S51" s="1170"/>
      <c r="T51" s="330"/>
    </row>
    <row r="52" spans="1:20">
      <c r="A52" s="1170"/>
      <c r="B52" s="1170"/>
      <c r="C52" s="1170"/>
      <c r="D52" s="1170"/>
      <c r="E52" s="1170"/>
      <c r="F52" s="1170"/>
      <c r="G52" s="1170"/>
      <c r="H52" s="1170"/>
      <c r="I52" s="1170"/>
      <c r="J52" s="1170"/>
      <c r="K52" s="1170"/>
      <c r="L52" s="1170"/>
      <c r="M52" s="1170"/>
      <c r="N52" s="1170"/>
      <c r="O52" s="1170"/>
      <c r="P52" s="1170"/>
      <c r="Q52" s="1170"/>
      <c r="R52" s="1170"/>
      <c r="S52" s="1170"/>
      <c r="T52" s="329"/>
    </row>
    <row r="53" spans="1:20">
      <c r="E53" s="129"/>
      <c r="F53" s="311"/>
      <c r="G53" s="129"/>
      <c r="L53" s="129"/>
      <c r="M53" s="129"/>
      <c r="N53" s="312"/>
      <c r="O53" s="312"/>
      <c r="P53" s="131"/>
      <c r="Q53" s="261"/>
      <c r="R53" s="131"/>
      <c r="S53" s="132"/>
    </row>
    <row r="54" spans="1:20">
      <c r="E54" s="1161" t="s">
        <v>33</v>
      </c>
      <c r="F54" s="1161"/>
      <c r="G54" s="1162"/>
      <c r="H54" s="93"/>
      <c r="I54" s="93"/>
      <c r="J54" s="13"/>
      <c r="K54" s="13"/>
      <c r="L54" s="14"/>
      <c r="M54" s="14"/>
      <c r="N54" s="313"/>
      <c r="O54" s="313"/>
      <c r="P54" s="131"/>
      <c r="Q54" s="261"/>
      <c r="R54" s="131"/>
      <c r="S54" s="132"/>
    </row>
    <row r="55" spans="1:20">
      <c r="E55" s="15"/>
      <c r="F55" s="314"/>
      <c r="G55" s="16"/>
      <c r="H55" s="93"/>
      <c r="I55" s="93"/>
      <c r="J55" s="13"/>
      <c r="K55" s="13"/>
      <c r="L55" s="14"/>
      <c r="M55" s="14"/>
      <c r="N55" s="313"/>
      <c r="O55" s="313"/>
      <c r="P55" s="131"/>
      <c r="Q55" s="261"/>
      <c r="R55" s="131"/>
      <c r="S55" s="132"/>
    </row>
    <row r="56" spans="1:20">
      <c r="E56" s="15"/>
      <c r="F56" s="314"/>
      <c r="G56" s="1028" t="s">
        <v>122</v>
      </c>
      <c r="H56" s="1028"/>
      <c r="I56" s="1028"/>
      <c r="J56" s="13"/>
      <c r="K56" s="13"/>
      <c r="L56" s="14"/>
      <c r="M56" s="14"/>
      <c r="N56" s="313"/>
      <c r="O56" s="313"/>
      <c r="P56" s="131"/>
      <c r="Q56" s="261"/>
      <c r="R56" s="131"/>
      <c r="S56" s="132"/>
    </row>
    <row r="57" spans="1:20">
      <c r="E57" s="15"/>
      <c r="F57" s="314"/>
      <c r="G57" s="16"/>
      <c r="H57" s="93"/>
      <c r="I57" s="93"/>
      <c r="J57" s="13"/>
      <c r="K57" s="13"/>
      <c r="L57" s="14"/>
      <c r="M57" s="14"/>
      <c r="N57" s="313"/>
      <c r="O57" s="313"/>
      <c r="P57" s="131"/>
      <c r="Q57" s="261"/>
      <c r="R57" s="131"/>
      <c r="S57" s="132"/>
    </row>
    <row r="58" spans="1:20" ht="15" customHeight="1">
      <c r="E58" s="15"/>
      <c r="F58" s="314"/>
      <c r="G58" s="16"/>
      <c r="H58" s="126" t="str">
        <f>+Statistic!B60</f>
        <v>ГҮЙЦЭТГЭХ ЗАХИРАЛ.......................//</v>
      </c>
      <c r="I58" s="126"/>
      <c r="J58" s="126"/>
      <c r="K58" s="126"/>
      <c r="L58" s="126"/>
      <c r="M58" s="126"/>
      <c r="N58" s="126"/>
      <c r="O58" s="96"/>
      <c r="P58" s="131"/>
      <c r="Q58" s="261"/>
      <c r="R58" s="131"/>
      <c r="S58" s="132"/>
    </row>
    <row r="59" spans="1:20">
      <c r="E59" s="15"/>
      <c r="F59" s="314"/>
      <c r="G59" s="16"/>
      <c r="H59" s="298"/>
      <c r="I59" s="96"/>
      <c r="J59" s="96"/>
      <c r="K59" s="96"/>
      <c r="L59" s="96"/>
      <c r="M59" s="96"/>
      <c r="N59" s="315"/>
      <c r="O59" s="315"/>
      <c r="P59" s="131"/>
      <c r="Q59" s="261"/>
      <c r="R59" s="131"/>
      <c r="S59" s="132"/>
    </row>
    <row r="60" spans="1:20" ht="15" customHeight="1">
      <c r="E60" s="15"/>
      <c r="F60" s="314"/>
      <c r="G60" s="16"/>
      <c r="H60" s="126" t="str">
        <f>+Statistic!B62</f>
        <v>ЕРӨНХИЙ НЯГТЛАН БОДОГЧ...................................................//</v>
      </c>
      <c r="I60" s="126"/>
      <c r="J60" s="126"/>
      <c r="K60" s="126"/>
      <c r="L60" s="126"/>
      <c r="M60" s="126"/>
      <c r="N60" s="315"/>
      <c r="O60" s="315"/>
      <c r="P60" s="129"/>
      <c r="Q60" s="262"/>
      <c r="R60" s="129"/>
      <c r="S60" s="133"/>
    </row>
    <row r="61" spans="1:20">
      <c r="E61" s="15"/>
      <c r="F61" s="314"/>
      <c r="G61" s="16"/>
      <c r="H61" s="298"/>
      <c r="I61" s="96"/>
      <c r="J61" s="96"/>
      <c r="K61" s="96"/>
      <c r="L61" s="96"/>
      <c r="M61" s="96"/>
      <c r="N61" s="315"/>
      <c r="O61" s="315"/>
      <c r="P61" s="129"/>
      <c r="Q61" s="262"/>
      <c r="R61" s="129"/>
      <c r="S61" s="133"/>
    </row>
    <row r="62" spans="1:20" ht="15" customHeight="1">
      <c r="E62" s="15"/>
      <c r="F62" s="314"/>
      <c r="G62" s="16"/>
      <c r="H62" s="126"/>
      <c r="I62" s="126"/>
      <c r="J62" s="126"/>
      <c r="K62" s="126"/>
      <c r="L62" s="126"/>
      <c r="M62" s="126"/>
      <c r="N62" s="315"/>
      <c r="O62" s="315"/>
      <c r="P62" s="129"/>
      <c r="Q62" s="262"/>
      <c r="R62" s="129"/>
      <c r="S62" s="133"/>
    </row>
    <row r="63" spans="1:20" hidden="1">
      <c r="E63" s="129"/>
      <c r="F63" s="311"/>
      <c r="G63" s="129"/>
      <c r="L63" s="129"/>
      <c r="M63" s="129"/>
      <c r="N63" s="312"/>
      <c r="O63" s="312"/>
      <c r="P63" s="129"/>
      <c r="Q63" s="262"/>
      <c r="R63" s="129"/>
      <c r="S63" s="133"/>
    </row>
    <row r="64" spans="1:20" hidden="1">
      <c r="B64" s="241" t="s">
        <v>300</v>
      </c>
      <c r="C64" s="241"/>
      <c r="D64" s="241"/>
      <c r="E64" s="129" t="s">
        <v>12</v>
      </c>
      <c r="F64" s="311"/>
      <c r="G64" s="129"/>
      <c r="L64" s="129"/>
      <c r="M64" s="129"/>
      <c r="N64" s="312"/>
      <c r="O64" s="312"/>
      <c r="P64" s="129"/>
      <c r="Q64" s="262"/>
      <c r="R64" s="129"/>
      <c r="S64" s="133"/>
    </row>
    <row r="65" spans="2:19" hidden="1">
      <c r="B65" s="241" t="s">
        <v>301</v>
      </c>
      <c r="C65" s="241"/>
      <c r="D65" s="241"/>
      <c r="E65" s="129" t="s">
        <v>302</v>
      </c>
      <c r="F65" s="311"/>
      <c r="G65" s="129"/>
      <c r="L65" s="129"/>
      <c r="M65" s="129"/>
      <c r="N65" s="312"/>
      <c r="O65" s="312"/>
      <c r="P65" s="129"/>
      <c r="Q65" s="262"/>
      <c r="R65" s="129"/>
      <c r="S65" s="133"/>
    </row>
    <row r="66" spans="2:19" hidden="1">
      <c r="B66" s="242" t="s">
        <v>303</v>
      </c>
      <c r="C66" s="242"/>
      <c r="D66" s="242"/>
      <c r="E66" s="129" t="s">
        <v>130</v>
      </c>
      <c r="F66" s="311"/>
      <c r="G66" s="129"/>
      <c r="L66" s="129"/>
      <c r="M66" s="129"/>
      <c r="N66" s="312"/>
      <c r="O66" s="312"/>
      <c r="P66" s="129"/>
      <c r="Q66" s="262"/>
      <c r="R66" s="129"/>
      <c r="S66" s="133"/>
    </row>
    <row r="67" spans="2:19" hidden="1">
      <c r="B67" s="242" t="s">
        <v>304</v>
      </c>
      <c r="C67" s="242"/>
      <c r="D67" s="242"/>
      <c r="E67" s="129" t="s">
        <v>128</v>
      </c>
      <c r="F67" s="311"/>
      <c r="G67" s="129"/>
      <c r="L67" s="129"/>
      <c r="M67" s="129"/>
      <c r="N67" s="312"/>
      <c r="O67" s="312"/>
      <c r="P67" s="129"/>
      <c r="Q67" s="262"/>
      <c r="R67" s="129"/>
      <c r="S67" s="133"/>
    </row>
    <row r="68" spans="2:19" hidden="1">
      <c r="B68" s="242" t="s">
        <v>305</v>
      </c>
      <c r="C68" s="242"/>
      <c r="D68" s="242"/>
      <c r="E68" s="129" t="s">
        <v>306</v>
      </c>
      <c r="F68" s="311"/>
      <c r="G68" s="129"/>
      <c r="L68" s="129"/>
      <c r="M68" s="129"/>
      <c r="N68" s="312"/>
      <c r="O68" s="312"/>
      <c r="P68" s="129"/>
      <c r="Q68" s="262"/>
      <c r="R68" s="129"/>
      <c r="S68" s="133"/>
    </row>
    <row r="69" spans="2:19" hidden="1">
      <c r="B69" s="242" t="s">
        <v>307</v>
      </c>
      <c r="C69" s="242"/>
      <c r="D69" s="242"/>
      <c r="E69" s="129"/>
      <c r="F69" s="311"/>
      <c r="G69" s="129"/>
      <c r="L69" s="129"/>
      <c r="M69" s="129"/>
      <c r="N69" s="312"/>
      <c r="O69" s="312"/>
      <c r="P69" s="129"/>
      <c r="Q69" s="262"/>
      <c r="R69" s="129"/>
      <c r="S69" s="133"/>
    </row>
    <row r="70" spans="2:19" hidden="1">
      <c r="B70" s="242" t="s">
        <v>55</v>
      </c>
      <c r="C70" s="242"/>
      <c r="D70" s="242"/>
      <c r="E70" s="129"/>
      <c r="F70" s="311"/>
      <c r="G70" s="129"/>
      <c r="L70" s="129"/>
      <c r="M70" s="129"/>
      <c r="N70" s="312"/>
      <c r="O70" s="312"/>
      <c r="P70" s="129"/>
      <c r="Q70" s="262"/>
      <c r="R70" s="129"/>
      <c r="S70" s="133"/>
    </row>
    <row r="71" spans="2:19" hidden="1">
      <c r="B71" s="242" t="s">
        <v>308</v>
      </c>
      <c r="C71" s="242"/>
      <c r="D71" s="242"/>
      <c r="E71" s="129"/>
      <c r="F71" s="311"/>
      <c r="G71" s="129"/>
      <c r="L71" s="129"/>
      <c r="M71" s="129"/>
      <c r="N71" s="312"/>
      <c r="O71" s="312"/>
      <c r="P71" s="129"/>
      <c r="Q71" s="262"/>
      <c r="R71" s="129"/>
      <c r="S71" s="133"/>
    </row>
    <row r="72" spans="2:19" hidden="1">
      <c r="B72" s="242" t="s">
        <v>309</v>
      </c>
      <c r="C72" s="242"/>
      <c r="D72" s="242"/>
      <c r="E72" s="129"/>
      <c r="F72" s="311"/>
      <c r="G72" s="129"/>
      <c r="L72" s="129"/>
      <c r="M72" s="129"/>
      <c r="N72" s="312"/>
      <c r="O72" s="312"/>
      <c r="P72" s="129"/>
      <c r="Q72" s="262"/>
      <c r="R72" s="129"/>
      <c r="S72" s="133"/>
    </row>
    <row r="73" spans="2:19" hidden="1">
      <c r="B73" s="242" t="s">
        <v>310</v>
      </c>
      <c r="C73" s="242"/>
      <c r="D73" s="242"/>
      <c r="E73" s="129"/>
      <c r="F73" s="311"/>
      <c r="G73" s="129"/>
      <c r="L73" s="129"/>
      <c r="M73" s="129"/>
      <c r="N73" s="312"/>
      <c r="O73" s="312"/>
      <c r="P73" s="129"/>
      <c r="Q73" s="262"/>
      <c r="R73" s="129"/>
      <c r="S73" s="133"/>
    </row>
    <row r="74" spans="2:19" hidden="1">
      <c r="B74" s="242" t="s">
        <v>311</v>
      </c>
      <c r="C74" s="242"/>
      <c r="D74" s="242"/>
      <c r="E74" s="129"/>
      <c r="F74" s="311"/>
      <c r="G74" s="129"/>
      <c r="L74" s="129"/>
      <c r="M74" s="129"/>
      <c r="N74" s="312"/>
      <c r="O74" s="312"/>
      <c r="P74" s="129"/>
      <c r="Q74" s="262"/>
      <c r="R74" s="129"/>
      <c r="S74" s="133"/>
    </row>
    <row r="75" spans="2:19" hidden="1">
      <c r="B75" s="242" t="s">
        <v>312</v>
      </c>
      <c r="C75" s="242"/>
      <c r="D75" s="242"/>
      <c r="E75" s="129"/>
      <c r="F75" s="311"/>
      <c r="G75" s="129"/>
      <c r="L75" s="129"/>
      <c r="M75" s="129"/>
      <c r="N75" s="312"/>
      <c r="O75" s="312"/>
      <c r="P75" s="129"/>
      <c r="Q75" s="262"/>
      <c r="R75" s="129"/>
      <c r="S75" s="133"/>
    </row>
    <row r="76" spans="2:19" hidden="1">
      <c r="B76" s="243" t="s">
        <v>56</v>
      </c>
      <c r="C76" s="243"/>
      <c r="D76" s="243"/>
      <c r="E76" s="129"/>
      <c r="F76" s="311"/>
      <c r="G76" s="129"/>
      <c r="L76" s="129"/>
      <c r="M76" s="129"/>
      <c r="N76" s="312"/>
      <c r="O76" s="312"/>
      <c r="P76" s="129"/>
      <c r="Q76" s="262"/>
      <c r="R76" s="129"/>
      <c r="S76" s="133"/>
    </row>
    <row r="77" spans="2:19" hidden="1">
      <c r="E77" s="129"/>
      <c r="F77" s="311"/>
      <c r="G77" s="129"/>
      <c r="L77" s="129"/>
      <c r="M77" s="129"/>
      <c r="N77" s="312"/>
      <c r="O77" s="312"/>
      <c r="P77" s="129"/>
      <c r="Q77" s="262"/>
      <c r="R77" s="129"/>
      <c r="S77" s="133"/>
    </row>
    <row r="78" spans="2:19" hidden="1">
      <c r="E78" s="129"/>
      <c r="F78" s="311"/>
      <c r="G78" s="129"/>
      <c r="L78" s="129"/>
      <c r="M78" s="129"/>
      <c r="N78" s="312"/>
      <c r="O78" s="312"/>
      <c r="P78" s="129"/>
      <c r="Q78" s="262"/>
      <c r="R78" s="129"/>
      <c r="S78" s="133"/>
    </row>
    <row r="79" spans="2:19" hidden="1">
      <c r="E79" s="129"/>
      <c r="F79" s="311"/>
      <c r="G79" s="129"/>
      <c r="L79" s="129"/>
      <c r="M79" s="129"/>
      <c r="N79" s="312"/>
      <c r="O79" s="312"/>
      <c r="P79" s="129"/>
      <c r="Q79" s="262"/>
      <c r="R79" s="129"/>
      <c r="S79" s="133"/>
    </row>
    <row r="80" spans="2:19" hidden="1">
      <c r="D80" s="316" t="s">
        <v>556</v>
      </c>
      <c r="E80" s="317"/>
      <c r="F80" s="318"/>
      <c r="G80" s="317"/>
      <c r="H80" s="316"/>
      <c r="I80" s="316"/>
      <c r="J80" s="316"/>
      <c r="K80" s="316" t="s">
        <v>554</v>
      </c>
      <c r="L80" s="129"/>
      <c r="M80" s="129"/>
      <c r="N80" s="312"/>
      <c r="O80" s="312"/>
      <c r="P80" s="129"/>
      <c r="Q80" s="262"/>
      <c r="R80" s="129"/>
      <c r="S80" s="133"/>
    </row>
    <row r="81" spans="4:19" hidden="1">
      <c r="D81" s="316" t="s">
        <v>55</v>
      </c>
      <c r="E81" s="317"/>
      <c r="F81" s="318"/>
      <c r="G81" s="317"/>
      <c r="H81" s="316"/>
      <c r="I81" s="316"/>
      <c r="J81" s="316"/>
      <c r="K81" s="316" t="s">
        <v>46</v>
      </c>
      <c r="L81" s="129"/>
      <c r="M81" s="129"/>
      <c r="N81" s="312"/>
      <c r="O81" s="312"/>
      <c r="P81" s="129"/>
      <c r="Q81" s="262"/>
      <c r="R81" s="129"/>
      <c r="S81" s="133"/>
    </row>
    <row r="82" spans="4:19" hidden="1">
      <c r="D82" s="316" t="s">
        <v>557</v>
      </c>
      <c r="E82" s="317"/>
      <c r="F82" s="318"/>
      <c r="G82" s="317"/>
      <c r="H82" s="316"/>
      <c r="I82" s="316"/>
      <c r="J82" s="316"/>
      <c r="K82" s="316" t="s">
        <v>558</v>
      </c>
      <c r="L82" s="129"/>
      <c r="M82" s="129"/>
      <c r="N82" s="312"/>
      <c r="O82" s="312"/>
      <c r="P82" s="129"/>
      <c r="Q82" s="262"/>
      <c r="R82" s="129"/>
      <c r="S82" s="133"/>
    </row>
    <row r="83" spans="4:19" hidden="1">
      <c r="D83" s="316" t="s">
        <v>559</v>
      </c>
      <c r="E83" s="317"/>
      <c r="F83" s="318"/>
      <c r="G83" s="317"/>
      <c r="H83" s="316"/>
      <c r="I83" s="316"/>
      <c r="J83" s="316"/>
      <c r="K83" s="316" t="s">
        <v>560</v>
      </c>
      <c r="L83" s="129"/>
      <c r="M83" s="129"/>
      <c r="N83" s="312"/>
      <c r="O83" s="312"/>
      <c r="P83" s="129"/>
      <c r="Q83" s="262"/>
      <c r="R83" s="129"/>
      <c r="S83" s="133"/>
    </row>
    <row r="84" spans="4:19" hidden="1">
      <c r="D84" s="316" t="s">
        <v>561</v>
      </c>
      <c r="E84" s="317"/>
      <c r="F84" s="318"/>
      <c r="G84" s="317"/>
      <c r="H84" s="316"/>
      <c r="I84" s="316"/>
      <c r="J84" s="316"/>
      <c r="K84" s="316" t="s">
        <v>562</v>
      </c>
      <c r="L84" s="129"/>
      <c r="M84" s="129"/>
      <c r="N84" s="312"/>
      <c r="O84" s="312"/>
      <c r="P84" s="129"/>
      <c r="Q84" s="262"/>
      <c r="R84" s="129"/>
      <c r="S84" s="133"/>
    </row>
    <row r="85" spans="4:19" hidden="1">
      <c r="D85" s="316" t="s">
        <v>563</v>
      </c>
      <c r="E85" s="317"/>
      <c r="F85" s="318"/>
      <c r="G85" s="317"/>
      <c r="H85" s="316"/>
      <c r="I85" s="316"/>
      <c r="J85" s="316"/>
      <c r="K85" s="316" t="s">
        <v>308</v>
      </c>
      <c r="L85" s="129"/>
      <c r="M85" s="129"/>
      <c r="N85" s="312"/>
      <c r="O85" s="312"/>
      <c r="P85" s="129"/>
      <c r="Q85" s="262"/>
      <c r="R85" s="129"/>
      <c r="S85" s="133"/>
    </row>
    <row r="86" spans="4:19" hidden="1">
      <c r="D86" s="316" t="s">
        <v>564</v>
      </c>
      <c r="E86" s="317"/>
      <c r="F86" s="318"/>
      <c r="G86" s="317"/>
      <c r="H86" s="316"/>
      <c r="I86" s="316"/>
      <c r="J86" s="316"/>
      <c r="K86" s="316" t="s">
        <v>565</v>
      </c>
      <c r="L86" s="129"/>
      <c r="M86" s="129"/>
      <c r="N86" s="312"/>
      <c r="O86" s="312"/>
      <c r="P86" s="129"/>
      <c r="Q86" s="262"/>
      <c r="R86" s="129"/>
      <c r="S86" s="133"/>
    </row>
    <row r="87" spans="4:19" hidden="1">
      <c r="D87" s="316" t="s">
        <v>566</v>
      </c>
      <c r="E87" s="317"/>
      <c r="F87" s="318"/>
      <c r="G87" s="317"/>
      <c r="H87" s="316"/>
      <c r="I87" s="316"/>
      <c r="J87" s="316"/>
      <c r="K87" s="316" t="s">
        <v>555</v>
      </c>
      <c r="L87" s="129"/>
      <c r="M87" s="129"/>
      <c r="N87" s="312"/>
      <c r="O87" s="312"/>
      <c r="P87" s="129"/>
      <c r="Q87" s="262"/>
      <c r="R87" s="129"/>
      <c r="S87" s="133"/>
    </row>
    <row r="88" spans="4:19" hidden="1">
      <c r="D88" s="319"/>
      <c r="E88" s="317"/>
      <c r="F88" s="318"/>
      <c r="G88" s="317"/>
      <c r="H88" s="316"/>
      <c r="I88" s="316"/>
      <c r="J88" s="316"/>
      <c r="K88" s="316"/>
      <c r="L88" s="129"/>
      <c r="M88" s="129"/>
      <c r="N88" s="312"/>
      <c r="O88" s="312"/>
      <c r="P88" s="129"/>
      <c r="Q88" s="262"/>
      <c r="R88" s="129"/>
      <c r="S88" s="133"/>
    </row>
    <row r="89" spans="4:19" hidden="1">
      <c r="E89" s="129"/>
      <c r="F89" s="311"/>
      <c r="G89" s="129"/>
      <c r="L89" s="129"/>
      <c r="M89" s="129"/>
      <c r="N89" s="312"/>
      <c r="O89" s="312"/>
      <c r="P89" s="129"/>
      <c r="Q89" s="262"/>
      <c r="R89" s="129"/>
      <c r="S89" s="133"/>
    </row>
    <row r="90" spans="4:19" hidden="1">
      <c r="E90" s="129"/>
      <c r="F90" s="311"/>
      <c r="G90" s="129"/>
      <c r="L90" s="129"/>
      <c r="M90" s="129"/>
      <c r="N90" s="312"/>
      <c r="O90" s="312"/>
      <c r="P90" s="129"/>
      <c r="Q90" s="262"/>
      <c r="R90" s="129"/>
      <c r="S90" s="133"/>
    </row>
    <row r="91" spans="4:19" hidden="1">
      <c r="E91" s="129"/>
      <c r="F91" s="311"/>
      <c r="G91" s="129"/>
      <c r="I91" s="3" t="s">
        <v>208</v>
      </c>
      <c r="L91" s="129"/>
      <c r="M91" s="129"/>
      <c r="N91" s="312"/>
      <c r="O91" s="312"/>
      <c r="P91" s="129"/>
      <c r="Q91" s="262"/>
      <c r="R91" s="129"/>
      <c r="S91" s="133"/>
    </row>
    <row r="92" spans="4:19" hidden="1">
      <c r="E92" s="129"/>
      <c r="F92" s="311"/>
      <c r="G92" s="129"/>
      <c r="I92" s="3" t="s">
        <v>313</v>
      </c>
      <c r="L92" s="129"/>
      <c r="M92" s="129"/>
      <c r="N92" s="312"/>
      <c r="O92" s="312"/>
      <c r="P92" s="129"/>
      <c r="Q92" s="262"/>
      <c r="R92" s="129"/>
      <c r="S92" s="133"/>
    </row>
    <row r="93" spans="4:19" hidden="1">
      <c r="E93" s="129"/>
      <c r="F93" s="311"/>
      <c r="G93" s="129"/>
      <c r="L93" s="129"/>
      <c r="M93" s="129"/>
      <c r="N93" s="312"/>
      <c r="O93" s="312"/>
      <c r="P93" s="129"/>
      <c r="Q93" s="262"/>
      <c r="R93" s="129"/>
      <c r="S93" s="133"/>
    </row>
    <row r="94" spans="4:19" hidden="1">
      <c r="E94" s="129"/>
      <c r="F94" s="311"/>
      <c r="G94" s="129"/>
      <c r="L94" s="129"/>
      <c r="M94" s="129"/>
      <c r="N94" s="312"/>
      <c r="O94" s="312"/>
      <c r="P94" s="129"/>
      <c r="Q94" s="262"/>
      <c r="R94" s="129"/>
      <c r="S94" s="133"/>
    </row>
    <row r="95" spans="4:19" ht="36" hidden="1">
      <c r="E95" s="73" t="s">
        <v>314</v>
      </c>
      <c r="F95" s="320"/>
      <c r="G95" s="129"/>
      <c r="L95" s="129"/>
      <c r="M95" s="129"/>
      <c r="N95" s="312"/>
      <c r="O95" s="312"/>
      <c r="P95" s="129"/>
      <c r="Q95" s="262"/>
      <c r="R95" s="129"/>
      <c r="S95" s="133"/>
    </row>
    <row r="96" spans="4:19" hidden="1">
      <c r="E96" s="73" t="s">
        <v>315</v>
      </c>
      <c r="F96" s="320"/>
      <c r="G96" s="129"/>
      <c r="L96" s="129"/>
      <c r="M96" s="129"/>
      <c r="N96" s="312"/>
      <c r="O96" s="312"/>
      <c r="P96" s="129"/>
      <c r="Q96" s="262"/>
      <c r="R96" s="129"/>
      <c r="S96" s="133"/>
    </row>
    <row r="97" spans="5:19" ht="24" hidden="1">
      <c r="E97" s="75" t="s">
        <v>316</v>
      </c>
      <c r="F97" s="321"/>
      <c r="G97" s="129"/>
      <c r="L97" s="129"/>
      <c r="M97" s="129"/>
      <c r="N97" s="312"/>
      <c r="O97" s="312"/>
      <c r="P97" s="129"/>
      <c r="Q97" s="262"/>
      <c r="R97" s="129"/>
      <c r="S97" s="133"/>
    </row>
    <row r="98" spans="5:19" ht="36" hidden="1">
      <c r="E98" s="75" t="s">
        <v>317</v>
      </c>
      <c r="F98" s="321"/>
      <c r="G98" s="129"/>
      <c r="L98" s="129"/>
      <c r="M98" s="129"/>
      <c r="N98" s="312"/>
      <c r="O98" s="312"/>
      <c r="P98" s="129"/>
      <c r="Q98" s="262"/>
      <c r="R98" s="129"/>
      <c r="S98" s="133"/>
    </row>
    <row r="99" spans="5:19" ht="48" hidden="1">
      <c r="E99" s="75" t="s">
        <v>318</v>
      </c>
      <c r="F99" s="321"/>
      <c r="G99" s="129"/>
      <c r="L99" s="129"/>
      <c r="M99" s="129"/>
      <c r="N99" s="312"/>
      <c r="O99" s="312"/>
      <c r="P99" s="129"/>
      <c r="Q99" s="262"/>
      <c r="R99" s="129"/>
      <c r="S99" s="133"/>
    </row>
    <row r="100" spans="5:19" hidden="1">
      <c r="E100" s="75" t="s">
        <v>300</v>
      </c>
      <c r="F100" s="321"/>
      <c r="G100" s="129"/>
      <c r="L100" s="129"/>
      <c r="M100" s="129"/>
      <c r="N100" s="312"/>
      <c r="O100" s="312"/>
      <c r="P100" s="129"/>
      <c r="Q100" s="262"/>
      <c r="R100" s="129"/>
      <c r="S100" s="133"/>
    </row>
    <row r="101" spans="5:19" ht="24" hidden="1">
      <c r="E101" s="75" t="s">
        <v>319</v>
      </c>
      <c r="F101" s="321"/>
      <c r="G101" s="129"/>
      <c r="L101" s="129"/>
      <c r="M101" s="129"/>
      <c r="N101" s="312"/>
      <c r="O101" s="312"/>
      <c r="P101" s="129"/>
      <c r="Q101" s="262"/>
      <c r="R101" s="129"/>
      <c r="S101" s="133"/>
    </row>
    <row r="102" spans="5:19" ht="24" hidden="1">
      <c r="E102" s="75" t="s">
        <v>320</v>
      </c>
      <c r="F102" s="321"/>
      <c r="G102" s="129"/>
      <c r="L102" s="129"/>
      <c r="M102" s="129"/>
      <c r="N102" s="312"/>
      <c r="O102" s="312"/>
      <c r="P102" s="129"/>
      <c r="Q102" s="262"/>
      <c r="R102" s="129"/>
      <c r="S102" s="133"/>
    </row>
    <row r="103" spans="5:19" ht="24" hidden="1">
      <c r="E103" s="75" t="s">
        <v>321</v>
      </c>
      <c r="F103" s="321"/>
      <c r="G103" s="129"/>
      <c r="L103" s="129"/>
      <c r="M103" s="129"/>
      <c r="N103" s="312"/>
      <c r="O103" s="312"/>
      <c r="P103" s="129"/>
      <c r="Q103" s="262"/>
      <c r="R103" s="129"/>
      <c r="S103" s="133"/>
    </row>
    <row r="104" spans="5:19" ht="36" hidden="1">
      <c r="E104" s="75" t="s">
        <v>322</v>
      </c>
      <c r="F104" s="321"/>
      <c r="G104" s="129"/>
      <c r="L104" s="129"/>
      <c r="M104" s="129"/>
      <c r="N104" s="312"/>
      <c r="O104" s="312"/>
      <c r="P104" s="129"/>
      <c r="Q104" s="262"/>
      <c r="R104" s="129"/>
      <c r="S104" s="133"/>
    </row>
    <row r="105" spans="5:19" hidden="1">
      <c r="E105" s="75" t="s">
        <v>323</v>
      </c>
      <c r="F105" s="321"/>
      <c r="G105" s="129"/>
      <c r="L105" s="129"/>
      <c r="M105" s="129"/>
      <c r="N105" s="312"/>
      <c r="O105" s="312"/>
      <c r="P105" s="129"/>
      <c r="Q105" s="262"/>
      <c r="R105" s="129"/>
      <c r="S105" s="133"/>
    </row>
    <row r="106" spans="5:19" ht="36" hidden="1">
      <c r="E106" s="75" t="s">
        <v>324</v>
      </c>
      <c r="F106" s="321"/>
      <c r="G106" s="129"/>
      <c r="L106" s="129"/>
      <c r="M106" s="129"/>
      <c r="N106" s="312"/>
      <c r="O106" s="312"/>
      <c r="P106" s="129"/>
      <c r="Q106" s="262"/>
      <c r="R106" s="129"/>
      <c r="S106" s="133"/>
    </row>
    <row r="107" spans="5:19" ht="24" hidden="1">
      <c r="E107" s="75" t="s">
        <v>325</v>
      </c>
      <c r="F107" s="321"/>
      <c r="G107" s="129"/>
      <c r="L107" s="129"/>
      <c r="M107" s="129"/>
      <c r="N107" s="312"/>
      <c r="O107" s="312"/>
      <c r="P107" s="129"/>
      <c r="Q107" s="262"/>
      <c r="R107" s="129"/>
      <c r="S107" s="133"/>
    </row>
    <row r="108" spans="5:19" ht="36" hidden="1">
      <c r="E108" s="75" t="s">
        <v>326</v>
      </c>
      <c r="F108" s="321"/>
      <c r="G108" s="129"/>
      <c r="L108" s="129"/>
      <c r="M108" s="129"/>
      <c r="N108" s="312"/>
      <c r="O108" s="312"/>
      <c r="P108" s="129"/>
      <c r="Q108" s="262"/>
      <c r="R108" s="129"/>
      <c r="S108" s="133"/>
    </row>
    <row r="109" spans="5:19" ht="36" hidden="1">
      <c r="E109" s="75" t="s">
        <v>327</v>
      </c>
      <c r="F109" s="321"/>
      <c r="G109" s="129"/>
      <c r="L109" s="129"/>
      <c r="M109" s="129"/>
      <c r="N109" s="312"/>
      <c r="O109" s="312"/>
      <c r="P109" s="129"/>
      <c r="Q109" s="262"/>
      <c r="R109" s="129"/>
      <c r="S109" s="133"/>
    </row>
    <row r="110" spans="5:19" ht="60" hidden="1">
      <c r="E110" s="75" t="s">
        <v>328</v>
      </c>
      <c r="F110" s="321"/>
      <c r="G110" s="129"/>
      <c r="L110" s="129"/>
      <c r="M110" s="129"/>
      <c r="N110" s="312"/>
      <c r="O110" s="312"/>
      <c r="P110" s="129"/>
      <c r="Q110" s="262"/>
      <c r="R110" s="129"/>
      <c r="S110" s="133"/>
    </row>
    <row r="111" spans="5:19" hidden="1">
      <c r="E111" s="75" t="s">
        <v>329</v>
      </c>
      <c r="F111" s="321"/>
      <c r="G111" s="129"/>
      <c r="L111" s="129"/>
      <c r="M111" s="129"/>
      <c r="N111" s="312"/>
      <c r="O111" s="312"/>
      <c r="P111" s="129"/>
      <c r="Q111" s="262"/>
      <c r="R111" s="129"/>
      <c r="S111" s="133"/>
    </row>
    <row r="112" spans="5:19" ht="24" hidden="1">
      <c r="E112" s="75" t="s">
        <v>330</v>
      </c>
      <c r="F112" s="321"/>
      <c r="G112" s="129"/>
      <c r="L112" s="129"/>
      <c r="M112" s="129"/>
      <c r="N112" s="312"/>
      <c r="O112" s="312"/>
      <c r="P112" s="129"/>
      <c r="Q112" s="262"/>
      <c r="R112" s="129"/>
      <c r="S112" s="133"/>
    </row>
    <row r="113" spans="5:19" hidden="1">
      <c r="E113" s="75" t="s">
        <v>55</v>
      </c>
      <c r="F113" s="321"/>
      <c r="G113" s="129"/>
      <c r="L113" s="129"/>
      <c r="M113" s="129"/>
      <c r="N113" s="312"/>
      <c r="O113" s="312"/>
      <c r="P113" s="129"/>
      <c r="Q113" s="262"/>
      <c r="R113" s="129"/>
      <c r="S113" s="133"/>
    </row>
    <row r="114" spans="5:19" ht="48" hidden="1">
      <c r="E114" s="75" t="s">
        <v>331</v>
      </c>
      <c r="F114" s="321"/>
      <c r="G114" s="129"/>
      <c r="L114" s="129"/>
      <c r="M114" s="129"/>
      <c r="N114" s="312"/>
      <c r="O114" s="312"/>
      <c r="P114" s="129"/>
      <c r="Q114" s="262"/>
      <c r="R114" s="129"/>
      <c r="S114" s="133"/>
    </row>
    <row r="115" spans="5:19">
      <c r="E115" s="129"/>
      <c r="F115" s="311"/>
      <c r="G115" s="129"/>
      <c r="L115" s="129"/>
      <c r="M115" s="129"/>
      <c r="N115" s="312"/>
      <c r="O115" s="312"/>
      <c r="P115" s="129"/>
      <c r="Q115" s="262"/>
      <c r="R115" s="129"/>
      <c r="S115" s="133"/>
    </row>
    <row r="116" spans="5:19">
      <c r="E116" s="129"/>
      <c r="F116" s="311"/>
      <c r="G116" s="129"/>
      <c r="L116" s="129"/>
      <c r="M116" s="129"/>
      <c r="N116" s="312"/>
      <c r="O116" s="312"/>
      <c r="P116" s="129"/>
      <c r="Q116" s="262"/>
      <c r="R116" s="129"/>
      <c r="S116" s="133"/>
    </row>
    <row r="117" spans="5:19">
      <c r="E117" s="129"/>
      <c r="F117" s="311"/>
      <c r="G117" s="129"/>
      <c r="L117" s="129"/>
      <c r="M117" s="129"/>
      <c r="N117" s="312"/>
      <c r="O117" s="312"/>
      <c r="P117" s="129"/>
      <c r="Q117" s="262"/>
      <c r="R117" s="129"/>
      <c r="S117" s="133"/>
    </row>
    <row r="118" spans="5:19">
      <c r="E118" s="129"/>
      <c r="F118" s="311"/>
      <c r="G118" s="129"/>
      <c r="L118" s="129"/>
      <c r="M118" s="129"/>
      <c r="N118" s="312"/>
      <c r="O118" s="312"/>
      <c r="P118" s="129"/>
      <c r="Q118" s="262"/>
      <c r="R118" s="129"/>
      <c r="S118" s="133"/>
    </row>
    <row r="119" spans="5:19">
      <c r="E119" s="129"/>
      <c r="F119" s="311"/>
      <c r="G119" s="129"/>
      <c r="L119" s="129"/>
      <c r="M119" s="129"/>
      <c r="N119" s="312"/>
      <c r="O119" s="312"/>
      <c r="P119" s="129"/>
      <c r="Q119" s="262"/>
      <c r="R119" s="129"/>
      <c r="S119" s="133"/>
    </row>
  </sheetData>
  <sheetProtection algorithmName="SHA-512" hashValue="0MGML/QMmklnZEIPIfN/LNN+8XOjcAVcsbBf0IC3+yEfBiXQaF+KqBWWcaXzmiKrWr2oBGIG+c52k/C3JJujlg==" saltValue="x85ZHvcDbPvrXansuiNEeg==" spinCount="100000" sheet="1" objects="1" scenarios="1"/>
  <mergeCells count="29">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 ref="A6:A7"/>
    <mergeCell ref="Q6:Q7"/>
    <mergeCell ref="G6:G7"/>
    <mergeCell ref="A48:B48"/>
    <mergeCell ref="E54:G54"/>
    <mergeCell ref="D6:D7"/>
    <mergeCell ref="K6:K7"/>
    <mergeCell ref="P6:P7"/>
    <mergeCell ref="E6:E7"/>
    <mergeCell ref="F6:F7"/>
    <mergeCell ref="H6:H7"/>
    <mergeCell ref="I6:I7"/>
    <mergeCell ref="J6:J7"/>
  </mergeCells>
  <dataValidations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 sqref="H8:J47" xr:uid="{1194A123-7F09-46BD-905C-5A8FAAD276DB}">
      <formula1>1</formula1>
      <formula2>767011</formula2>
    </dataValidation>
  </dataValidations>
  <pageMargins left="0.7" right="0.7" top="0.75" bottom="0.75" header="0.3" footer="0.3"/>
  <pageSetup paperSize="9" scale="43"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66" customWidth="1"/>
    <col min="3" max="3" width="14.28515625" style="66"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984" t="s">
        <v>332</v>
      </c>
      <c r="B2" s="984"/>
      <c r="C2" s="984"/>
      <c r="D2" s="984"/>
      <c r="E2" s="984"/>
      <c r="F2" s="984"/>
      <c r="G2" s="984"/>
      <c r="H2" s="984"/>
      <c r="I2" s="984"/>
      <c r="J2" s="984"/>
      <c r="K2" s="984"/>
      <c r="L2" s="984"/>
      <c r="M2" s="984"/>
      <c r="N2" s="984"/>
      <c r="O2" s="984"/>
      <c r="P2" s="984"/>
    </row>
    <row r="3" spans="1:16">
      <c r="A3" s="990" t="str">
        <f>GB!A3</f>
        <v xml:space="preserve">БАНК БУС САНХҮҮГИЙН БАЙГУУЛЛАГЫН НЭР </v>
      </c>
      <c r="B3" s="990"/>
      <c r="C3" s="990"/>
      <c r="D3" s="990"/>
      <c r="E3" s="990"/>
      <c r="F3" s="990"/>
      <c r="G3" s="990"/>
      <c r="H3" s="990"/>
      <c r="I3" s="990"/>
      <c r="J3" s="990"/>
      <c r="K3" s="990"/>
      <c r="L3" s="990"/>
      <c r="M3" s="990"/>
      <c r="N3" s="990"/>
      <c r="O3" s="990"/>
      <c r="P3" s="990"/>
    </row>
    <row r="4" spans="1:16">
      <c r="A4" s="982" t="str">
        <f>GB!A4</f>
        <v>БАНК БУС САНХҮҮГИЙН БАЙГУУЛЛАГА</v>
      </c>
      <c r="B4" s="982"/>
      <c r="C4" s="982"/>
      <c r="D4" s="982"/>
      <c r="E4" s="982"/>
      <c r="F4" s="982"/>
      <c r="G4" s="982"/>
      <c r="H4" s="982"/>
      <c r="I4" s="982"/>
      <c r="J4" s="982"/>
      <c r="K4" s="982"/>
      <c r="L4" s="982"/>
      <c r="M4" s="982"/>
      <c r="N4" s="982"/>
      <c r="O4" s="982"/>
      <c r="P4" s="982"/>
    </row>
    <row r="5" spans="1:16">
      <c r="A5" s="1128">
        <f>GB!A6</f>
        <v>45716</v>
      </c>
      <c r="B5" s="1128"/>
      <c r="C5" s="244"/>
      <c r="D5" s="69"/>
      <c r="E5" s="128"/>
      <c r="F5" s="128"/>
      <c r="G5" s="1"/>
      <c r="H5" s="1"/>
      <c r="I5" s="1"/>
      <c r="J5" s="1"/>
      <c r="K5" s="1"/>
      <c r="L5" s="128"/>
      <c r="M5" s="128"/>
      <c r="N5" s="128"/>
      <c r="O5" s="1172" t="s">
        <v>41</v>
      </c>
      <c r="P5" s="1172"/>
    </row>
    <row r="6" spans="1:16" ht="70.5" customHeight="1">
      <c r="A6" s="1155" t="s">
        <v>287</v>
      </c>
      <c r="B6" s="1177" t="s">
        <v>529</v>
      </c>
      <c r="C6" s="1178"/>
      <c r="D6" s="1163" t="s">
        <v>333</v>
      </c>
      <c r="E6" s="1157" t="s">
        <v>706</v>
      </c>
      <c r="F6" s="1157" t="s">
        <v>533</v>
      </c>
      <c r="G6" s="1157" t="s">
        <v>288</v>
      </c>
      <c r="H6" s="1155" t="s">
        <v>289</v>
      </c>
      <c r="I6" s="1155" t="s">
        <v>290</v>
      </c>
      <c r="J6" s="1163" t="s">
        <v>291</v>
      </c>
      <c r="K6" s="1163" t="s">
        <v>292</v>
      </c>
      <c r="L6" s="1157" t="s">
        <v>293</v>
      </c>
      <c r="M6" s="1157" t="s">
        <v>294</v>
      </c>
      <c r="N6" s="1157" t="s">
        <v>295</v>
      </c>
      <c r="O6" s="1157" t="s">
        <v>296</v>
      </c>
      <c r="P6" s="1175" t="s">
        <v>297</v>
      </c>
    </row>
    <row r="7" spans="1:16">
      <c r="A7" s="1156"/>
      <c r="B7" s="297" t="s">
        <v>607</v>
      </c>
      <c r="C7" s="82" t="s">
        <v>531</v>
      </c>
      <c r="D7" s="1164"/>
      <c r="E7" s="1167"/>
      <c r="F7" s="1158"/>
      <c r="G7" s="1158"/>
      <c r="H7" s="1156"/>
      <c r="I7" s="1156"/>
      <c r="J7" s="1164"/>
      <c r="K7" s="1164"/>
      <c r="L7" s="1158"/>
      <c r="M7" s="1158"/>
      <c r="N7" s="1158"/>
      <c r="O7" s="1158"/>
      <c r="P7" s="1176"/>
    </row>
    <row r="8" spans="1:16">
      <c r="A8" s="267">
        <v>1</v>
      </c>
      <c r="B8" s="137"/>
      <c r="C8" s="265"/>
      <c r="D8" s="153"/>
      <c r="E8" s="138"/>
      <c r="F8" s="264"/>
      <c r="G8" s="139"/>
      <c r="H8" s="140"/>
      <c r="I8" s="140"/>
      <c r="J8" s="140"/>
      <c r="K8" s="141"/>
      <c r="L8" s="138"/>
      <c r="M8" s="138"/>
      <c r="N8" s="138"/>
      <c r="O8" s="142"/>
      <c r="P8" s="917" t="e">
        <f>+M8/BS!I$96</f>
        <v>#DIV/0!</v>
      </c>
    </row>
    <row r="9" spans="1:16">
      <c r="A9" s="267">
        <f>1+1</f>
        <v>2</v>
      </c>
      <c r="B9" s="137"/>
      <c r="C9" s="265"/>
      <c r="D9" s="153"/>
      <c r="E9" s="138"/>
      <c r="F9" s="264"/>
      <c r="G9" s="139"/>
      <c r="H9" s="140"/>
      <c r="I9" s="140"/>
      <c r="J9" s="140"/>
      <c r="K9" s="141"/>
      <c r="L9" s="138"/>
      <c r="M9" s="138"/>
      <c r="N9" s="138"/>
      <c r="O9" s="142"/>
      <c r="P9" s="917" t="e">
        <f>+M9/BS!I$96</f>
        <v>#DIV/0!</v>
      </c>
    </row>
    <row r="10" spans="1:16">
      <c r="A10" s="267">
        <v>3</v>
      </c>
      <c r="B10" s="137"/>
      <c r="C10" s="265"/>
      <c r="D10" s="153"/>
      <c r="E10" s="138"/>
      <c r="F10" s="264"/>
      <c r="G10" s="139"/>
      <c r="H10" s="140"/>
      <c r="I10" s="140"/>
      <c r="J10" s="140"/>
      <c r="K10" s="141"/>
      <c r="L10" s="138"/>
      <c r="M10" s="138"/>
      <c r="N10" s="138"/>
      <c r="O10" s="142"/>
      <c r="P10" s="917" t="e">
        <f>+M10/BS!I$96</f>
        <v>#DIV/0!</v>
      </c>
    </row>
    <row r="11" spans="1:16">
      <c r="A11" s="267">
        <v>4</v>
      </c>
      <c r="B11" s="137"/>
      <c r="C11" s="265"/>
      <c r="D11" s="153"/>
      <c r="E11" s="143"/>
      <c r="F11" s="396"/>
      <c r="G11" s="139"/>
      <c r="H11" s="140"/>
      <c r="I11" s="77"/>
      <c r="J11" s="919"/>
      <c r="K11" s="141"/>
      <c r="L11" s="144"/>
      <c r="M11" s="145"/>
      <c r="N11" s="138"/>
      <c r="O11" s="142"/>
      <c r="P11" s="917" t="e">
        <f>+M11/BS!I$96</f>
        <v>#DIV/0!</v>
      </c>
    </row>
    <row r="12" spans="1:16">
      <c r="A12" s="267">
        <v>5</v>
      </c>
      <c r="B12" s="137"/>
      <c r="C12" s="265"/>
      <c r="D12" s="153"/>
      <c r="E12" s="138"/>
      <c r="F12" s="264"/>
      <c r="G12" s="139"/>
      <c r="H12" s="140"/>
      <c r="I12" s="140"/>
      <c r="J12" s="140"/>
      <c r="K12" s="141"/>
      <c r="L12" s="143"/>
      <c r="M12" s="143"/>
      <c r="N12" s="138"/>
      <c r="O12" s="142"/>
      <c r="P12" s="917" t="e">
        <f>+M12/BS!I$96</f>
        <v>#DIV/0!</v>
      </c>
    </row>
    <row r="13" spans="1:16">
      <c r="A13" s="267">
        <v>6</v>
      </c>
      <c r="B13" s="137"/>
      <c r="C13" s="265"/>
      <c r="D13" s="153"/>
      <c r="E13" s="138"/>
      <c r="F13" s="264"/>
      <c r="G13" s="139"/>
      <c r="H13" s="140"/>
      <c r="I13" s="140"/>
      <c r="J13" s="140"/>
      <c r="K13" s="141"/>
      <c r="L13" s="143"/>
      <c r="M13" s="143"/>
      <c r="N13" s="138"/>
      <c r="O13" s="142"/>
      <c r="P13" s="917" t="e">
        <f>+M13/BS!I$96</f>
        <v>#DIV/0!</v>
      </c>
    </row>
    <row r="14" spans="1:16">
      <c r="A14" s="267">
        <v>7</v>
      </c>
      <c r="B14" s="137"/>
      <c r="C14" s="265"/>
      <c r="D14" s="153"/>
      <c r="E14" s="138"/>
      <c r="F14" s="264"/>
      <c r="G14" s="139"/>
      <c r="H14" s="140"/>
      <c r="I14" s="140"/>
      <c r="J14" s="140"/>
      <c r="K14" s="141"/>
      <c r="L14" s="143"/>
      <c r="M14" s="143"/>
      <c r="N14" s="138"/>
      <c r="O14" s="142"/>
      <c r="P14" s="917" t="e">
        <f>+M14/BS!I$96</f>
        <v>#DIV/0!</v>
      </c>
    </row>
    <row r="15" spans="1:16">
      <c r="A15" s="267">
        <v>8</v>
      </c>
      <c r="B15" s="137"/>
      <c r="C15" s="265"/>
      <c r="D15" s="153"/>
      <c r="E15" s="138"/>
      <c r="F15" s="264"/>
      <c r="G15" s="139"/>
      <c r="H15" s="140"/>
      <c r="I15" s="140"/>
      <c r="J15" s="140"/>
      <c r="K15" s="141"/>
      <c r="L15" s="143"/>
      <c r="M15" s="143"/>
      <c r="N15" s="138"/>
      <c r="O15" s="142"/>
      <c r="P15" s="917" t="e">
        <f>+M15/BS!I$96</f>
        <v>#DIV/0!</v>
      </c>
    </row>
    <row r="16" spans="1:16">
      <c r="A16" s="267">
        <v>9</v>
      </c>
      <c r="B16" s="137"/>
      <c r="C16" s="265"/>
      <c r="D16" s="153"/>
      <c r="E16" s="138"/>
      <c r="F16" s="264"/>
      <c r="G16" s="139"/>
      <c r="H16" s="140"/>
      <c r="I16" s="140"/>
      <c r="J16" s="140"/>
      <c r="K16" s="141"/>
      <c r="L16" s="143"/>
      <c r="M16" s="143"/>
      <c r="N16" s="138"/>
      <c r="O16" s="142"/>
      <c r="P16" s="917" t="e">
        <f>+M16/BS!I$96</f>
        <v>#DIV/0!</v>
      </c>
    </row>
    <row r="17" spans="1:16">
      <c r="A17" s="267">
        <v>10</v>
      </c>
      <c r="B17" s="137"/>
      <c r="C17" s="265"/>
      <c r="D17" s="153"/>
      <c r="E17" s="138"/>
      <c r="F17" s="264"/>
      <c r="G17" s="139"/>
      <c r="H17" s="140"/>
      <c r="I17" s="140"/>
      <c r="J17" s="140"/>
      <c r="K17" s="141"/>
      <c r="L17" s="143"/>
      <c r="M17" s="143"/>
      <c r="N17" s="138"/>
      <c r="O17" s="142"/>
      <c r="P17" s="917" t="e">
        <f>+M17/BS!I$96</f>
        <v>#DIV/0!</v>
      </c>
    </row>
    <row r="18" spans="1:16">
      <c r="A18" s="267">
        <v>11</v>
      </c>
      <c r="B18" s="137"/>
      <c r="C18" s="265"/>
      <c r="D18" s="153"/>
      <c r="E18" s="146"/>
      <c r="F18" s="397"/>
      <c r="G18" s="139"/>
      <c r="H18" s="140"/>
      <c r="I18" s="140"/>
      <c r="J18" s="140"/>
      <c r="K18" s="141"/>
      <c r="L18" s="143"/>
      <c r="M18" s="143"/>
      <c r="N18" s="138"/>
      <c r="O18" s="142"/>
      <c r="P18" s="917" t="e">
        <f>+M18/BS!I$96</f>
        <v>#DIV/0!</v>
      </c>
    </row>
    <row r="19" spans="1:16">
      <c r="A19" s="267">
        <v>12</v>
      </c>
      <c r="B19" s="137"/>
      <c r="C19" s="265"/>
      <c r="D19" s="153"/>
      <c r="E19" s="138"/>
      <c r="F19" s="264"/>
      <c r="G19" s="139"/>
      <c r="H19" s="140"/>
      <c r="I19" s="140"/>
      <c r="J19" s="140"/>
      <c r="K19" s="141"/>
      <c r="L19" s="143"/>
      <c r="M19" s="138"/>
      <c r="N19" s="138"/>
      <c r="O19" s="142"/>
      <c r="P19" s="917" t="e">
        <f>+M19/BS!I$96</f>
        <v>#DIV/0!</v>
      </c>
    </row>
    <row r="20" spans="1:16">
      <c r="A20" s="267">
        <v>13</v>
      </c>
      <c r="B20" s="137"/>
      <c r="C20" s="265"/>
      <c r="D20" s="153"/>
      <c r="E20" s="138"/>
      <c r="F20" s="264"/>
      <c r="G20" s="139"/>
      <c r="H20" s="140"/>
      <c r="I20" s="140"/>
      <c r="J20" s="140"/>
      <c r="K20" s="141"/>
      <c r="L20" s="143"/>
      <c r="M20" s="138"/>
      <c r="N20" s="138"/>
      <c r="O20" s="142"/>
      <c r="P20" s="917" t="e">
        <f>+M20/BS!I$96</f>
        <v>#DIV/0!</v>
      </c>
    </row>
    <row r="21" spans="1:16">
      <c r="A21" s="267">
        <v>14</v>
      </c>
      <c r="B21" s="147"/>
      <c r="C21" s="266"/>
      <c r="D21" s="153"/>
      <c r="E21" s="148"/>
      <c r="F21" s="398"/>
      <c r="G21" s="139"/>
      <c r="H21" s="77"/>
      <c r="I21" s="77"/>
      <c r="J21" s="77"/>
      <c r="K21" s="141"/>
      <c r="L21" s="148"/>
      <c r="M21" s="148"/>
      <c r="N21" s="138"/>
      <c r="O21" s="142"/>
      <c r="P21" s="917" t="e">
        <f>+M21/BS!I$96</f>
        <v>#DIV/0!</v>
      </c>
    </row>
    <row r="22" spans="1:16">
      <c r="A22" s="267">
        <v>15</v>
      </c>
      <c r="B22" s="147"/>
      <c r="C22" s="266"/>
      <c r="D22" s="153"/>
      <c r="E22" s="148"/>
      <c r="F22" s="398"/>
      <c r="G22" s="139"/>
      <c r="H22" s="77"/>
      <c r="I22" s="77"/>
      <c r="J22" s="77"/>
      <c r="K22" s="141"/>
      <c r="L22" s="148"/>
      <c r="M22" s="148"/>
      <c r="N22" s="138"/>
      <c r="O22" s="142"/>
      <c r="P22" s="917" t="e">
        <f>+M22/BS!I$96</f>
        <v>#DIV/0!</v>
      </c>
    </row>
    <row r="23" spans="1:16">
      <c r="A23" s="267">
        <v>16</v>
      </c>
      <c r="B23" s="147"/>
      <c r="C23" s="266"/>
      <c r="D23" s="153"/>
      <c r="E23" s="148"/>
      <c r="F23" s="398"/>
      <c r="G23" s="139"/>
      <c r="H23" s="77"/>
      <c r="I23" s="77"/>
      <c r="J23" s="77"/>
      <c r="K23" s="141"/>
      <c r="L23" s="148"/>
      <c r="M23" s="148"/>
      <c r="N23" s="138"/>
      <c r="O23" s="142"/>
      <c r="P23" s="917" t="e">
        <f>+M23/BS!I$96</f>
        <v>#DIV/0!</v>
      </c>
    </row>
    <row r="24" spans="1:16">
      <c r="A24" s="267">
        <v>17</v>
      </c>
      <c r="B24" s="147"/>
      <c r="C24" s="266"/>
      <c r="D24" s="153"/>
      <c r="E24" s="148"/>
      <c r="F24" s="398"/>
      <c r="G24" s="139"/>
      <c r="H24" s="77"/>
      <c r="I24" s="77"/>
      <c r="J24" s="77"/>
      <c r="K24" s="141"/>
      <c r="L24" s="148"/>
      <c r="M24" s="148"/>
      <c r="N24" s="138"/>
      <c r="O24" s="142"/>
      <c r="P24" s="917" t="e">
        <f>+M24/BS!I$96</f>
        <v>#DIV/0!</v>
      </c>
    </row>
    <row r="25" spans="1:16">
      <c r="A25" s="267">
        <v>18</v>
      </c>
      <c r="B25" s="147"/>
      <c r="C25" s="266"/>
      <c r="D25" s="153"/>
      <c r="E25" s="148"/>
      <c r="F25" s="398"/>
      <c r="G25" s="139"/>
      <c r="H25" s="77"/>
      <c r="I25" s="77"/>
      <c r="J25" s="77"/>
      <c r="K25" s="141"/>
      <c r="L25" s="148"/>
      <c r="M25" s="148"/>
      <c r="N25" s="138"/>
      <c r="O25" s="142"/>
      <c r="P25" s="917" t="e">
        <f>+M25/BS!I$96</f>
        <v>#DIV/0!</v>
      </c>
    </row>
    <row r="26" spans="1:16">
      <c r="A26" s="267">
        <v>19</v>
      </c>
      <c r="B26" s="147"/>
      <c r="C26" s="266"/>
      <c r="D26" s="153"/>
      <c r="E26" s="148"/>
      <c r="F26" s="398"/>
      <c r="G26" s="139"/>
      <c r="H26" s="77"/>
      <c r="I26" s="77"/>
      <c r="J26" s="77"/>
      <c r="K26" s="141"/>
      <c r="L26" s="148"/>
      <c r="M26" s="148"/>
      <c r="N26" s="138"/>
      <c r="O26" s="142"/>
      <c r="P26" s="917" t="e">
        <f>+M26/BS!I$96</f>
        <v>#DIV/0!</v>
      </c>
    </row>
    <row r="27" spans="1:16">
      <c r="A27" s="267">
        <v>20</v>
      </c>
      <c r="B27" s="147"/>
      <c r="C27" s="266"/>
      <c r="D27" s="153"/>
      <c r="E27" s="148"/>
      <c r="F27" s="398"/>
      <c r="G27" s="139"/>
      <c r="H27" s="77"/>
      <c r="I27" s="77"/>
      <c r="J27" s="77"/>
      <c r="K27" s="141"/>
      <c r="L27" s="148"/>
      <c r="M27" s="148"/>
      <c r="N27" s="138"/>
      <c r="O27" s="142"/>
      <c r="P27" s="917" t="e">
        <f>+M27/BS!I$96</f>
        <v>#DIV/0!</v>
      </c>
    </row>
    <row r="28" spans="1:16">
      <c r="A28" s="1159" t="s">
        <v>298</v>
      </c>
      <c r="B28" s="1160"/>
      <c r="C28" s="296"/>
      <c r="D28" s="296"/>
      <c r="E28" s="149">
        <f>+SUM(E8:E27)</f>
        <v>0</v>
      </c>
      <c r="F28" s="149"/>
      <c r="G28" s="150"/>
      <c r="H28" s="85"/>
      <c r="I28" s="85"/>
      <c r="J28" s="85"/>
      <c r="K28" s="85"/>
      <c r="L28" s="149">
        <f>+SUM(L8:L27)</f>
        <v>0</v>
      </c>
      <c r="M28" s="149">
        <f>+SUM(M8:M27)</f>
        <v>0</v>
      </c>
      <c r="N28" s="149"/>
      <c r="O28" s="149"/>
      <c r="P28" s="151"/>
    </row>
    <row r="29" spans="1:16">
      <c r="E29" s="129"/>
      <c r="F29" s="129"/>
      <c r="G29" s="129"/>
      <c r="L29" s="129"/>
      <c r="M29" s="1181" t="s">
        <v>299</v>
      </c>
      <c r="N29" s="1181"/>
      <c r="O29" s="1181"/>
      <c r="P29" s="130" t="e">
        <f>+MAX(P8:P27)</f>
        <v>#DIV/0!</v>
      </c>
    </row>
    <row r="30" spans="1:16">
      <c r="E30" s="129"/>
      <c r="F30" s="129"/>
      <c r="G30" s="129"/>
      <c r="L30" s="129"/>
      <c r="M30" s="131"/>
      <c r="N30" s="131"/>
      <c r="O30" s="131"/>
      <c r="P30" s="132"/>
    </row>
    <row r="31" spans="1:16">
      <c r="E31" s="1161" t="s">
        <v>33</v>
      </c>
      <c r="F31" s="1161"/>
      <c r="G31" s="1162"/>
      <c r="H31" s="93"/>
      <c r="I31" s="93"/>
      <c r="J31" s="13"/>
      <c r="K31" s="13"/>
      <c r="L31" s="14"/>
      <c r="M31" s="131"/>
      <c r="N31" s="131"/>
      <c r="O31" s="131"/>
      <c r="P31" s="132"/>
    </row>
    <row r="32" spans="1:16">
      <c r="E32" s="15"/>
      <c r="F32" s="15"/>
      <c r="G32" s="16"/>
      <c r="H32" s="93"/>
      <c r="I32" s="93"/>
      <c r="J32" s="13"/>
      <c r="K32" s="13"/>
      <c r="L32" s="14"/>
      <c r="M32" s="131"/>
      <c r="N32" s="131"/>
      <c r="O32" s="131"/>
      <c r="P32" s="132"/>
    </row>
    <row r="33" spans="2:16">
      <c r="E33" s="15"/>
      <c r="F33" s="15"/>
      <c r="G33" s="1028" t="s">
        <v>122</v>
      </c>
      <c r="H33" s="1028"/>
      <c r="I33" s="1028"/>
      <c r="J33" s="13"/>
      <c r="K33" s="13"/>
      <c r="L33" s="14"/>
      <c r="M33" s="131"/>
      <c r="N33" s="131"/>
      <c r="O33" s="131"/>
      <c r="P33" s="132"/>
    </row>
    <row r="34" spans="2:16">
      <c r="E34" s="15"/>
      <c r="F34" s="15"/>
      <c r="G34" s="16"/>
      <c r="H34" s="93"/>
      <c r="I34" s="93"/>
      <c r="J34" s="13"/>
      <c r="K34" s="13"/>
      <c r="L34" s="14"/>
      <c r="M34" s="131"/>
      <c r="N34" s="131"/>
      <c r="O34" s="131"/>
      <c r="P34" s="132"/>
    </row>
    <row r="35" spans="2:16" ht="15" customHeight="1">
      <c r="E35" s="15"/>
      <c r="F35" s="15"/>
      <c r="G35" s="16"/>
      <c r="H35" s="126" t="str">
        <f>+Statistic!B60</f>
        <v>ГҮЙЦЭТГЭХ ЗАХИРАЛ.......................//</v>
      </c>
      <c r="I35" s="126"/>
      <c r="J35" s="126"/>
      <c r="K35" s="126"/>
      <c r="L35" s="126"/>
      <c r="M35" s="131"/>
      <c r="N35" s="131"/>
      <c r="O35" s="131"/>
      <c r="P35" s="132"/>
    </row>
    <row r="36" spans="2:16">
      <c r="E36" s="15"/>
      <c r="F36" s="15"/>
      <c r="G36" s="16"/>
      <c r="H36" s="93"/>
      <c r="I36" s="96"/>
      <c r="J36" s="96"/>
      <c r="K36" s="96"/>
      <c r="L36" s="96"/>
      <c r="M36" s="131"/>
      <c r="N36" s="131"/>
      <c r="O36" s="131"/>
      <c r="P36" s="132"/>
    </row>
    <row r="37" spans="2:16" ht="15" customHeight="1">
      <c r="E37" s="15"/>
      <c r="F37" s="15"/>
      <c r="G37" s="16"/>
      <c r="H37" s="126" t="str">
        <f>+Statistic!B62</f>
        <v>ЕРӨНХИЙ НЯГТЛАН БОДОГЧ...................................................//</v>
      </c>
      <c r="I37" s="126"/>
      <c r="J37" s="126"/>
      <c r="K37" s="126"/>
      <c r="L37" s="126"/>
      <c r="M37" s="129"/>
      <c r="N37" s="129"/>
      <c r="O37" s="129"/>
      <c r="P37" s="133"/>
    </row>
    <row r="38" spans="2:16">
      <c r="E38" s="15"/>
      <c r="F38" s="15"/>
      <c r="G38" s="16"/>
      <c r="H38" s="93"/>
      <c r="I38" s="96"/>
      <c r="J38" s="96"/>
      <c r="K38" s="96"/>
      <c r="L38" s="96"/>
      <c r="M38" s="129"/>
      <c r="N38" s="129"/>
      <c r="O38" s="129"/>
      <c r="P38" s="133"/>
    </row>
    <row r="39" spans="2:16" ht="15" customHeight="1">
      <c r="E39" s="15"/>
      <c r="F39" s="15"/>
      <c r="G39" s="16"/>
      <c r="H39" s="126"/>
      <c r="I39" s="126"/>
      <c r="J39" s="126"/>
      <c r="K39" s="126"/>
      <c r="L39" s="126"/>
      <c r="M39" s="129"/>
      <c r="N39" s="129"/>
      <c r="O39" s="129"/>
      <c r="P39" s="133"/>
    </row>
    <row r="46" spans="2:16" hidden="1"/>
    <row r="47" spans="2:16" hidden="1">
      <c r="B47" s="66" t="s">
        <v>208</v>
      </c>
    </row>
    <row r="48" spans="2:16" hidden="1">
      <c r="B48" s="66" t="s">
        <v>313</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67" t="s">
        <v>300</v>
      </c>
      <c r="C61" s="241"/>
      <c r="D61" s="70"/>
      <c r="E61" s="3" t="s">
        <v>126</v>
      </c>
    </row>
    <row r="62" spans="2:5" ht="12.75" hidden="1" customHeight="1">
      <c r="B62" s="67" t="s">
        <v>301</v>
      </c>
      <c r="C62" s="241"/>
      <c r="D62" s="70"/>
      <c r="E62" s="3" t="s">
        <v>608</v>
      </c>
    </row>
    <row r="63" spans="2:5" ht="12.75" hidden="1" customHeight="1">
      <c r="B63" s="68" t="s">
        <v>303</v>
      </c>
      <c r="C63" s="242"/>
      <c r="D63" s="71"/>
      <c r="E63" s="3" t="s">
        <v>130</v>
      </c>
    </row>
    <row r="64" spans="2:5" ht="12.75" hidden="1" customHeight="1">
      <c r="B64" s="68" t="s">
        <v>304</v>
      </c>
      <c r="C64" s="242"/>
      <c r="D64" s="71"/>
      <c r="E64" s="3" t="s">
        <v>128</v>
      </c>
    </row>
    <row r="65" spans="2:5" ht="12.75" hidden="1" customHeight="1">
      <c r="B65" s="68" t="s">
        <v>305</v>
      </c>
      <c r="C65" s="242"/>
      <c r="D65" s="71"/>
      <c r="E65" s="3" t="s">
        <v>306</v>
      </c>
    </row>
    <row r="66" spans="2:5" ht="12.75" hidden="1" customHeight="1">
      <c r="B66" s="68" t="s">
        <v>307</v>
      </c>
      <c r="C66" s="242"/>
      <c r="D66" s="71"/>
    </row>
    <row r="67" spans="2:5" ht="12.75" hidden="1" customHeight="1">
      <c r="B67" s="68" t="s">
        <v>55</v>
      </c>
      <c r="C67" s="242"/>
      <c r="D67" s="71"/>
    </row>
    <row r="68" spans="2:5" ht="12.75" hidden="1" customHeight="1">
      <c r="B68" s="68" t="s">
        <v>308</v>
      </c>
      <c r="C68" s="242"/>
      <c r="D68" s="71"/>
    </row>
    <row r="69" spans="2:5" ht="12.75" hidden="1" customHeight="1">
      <c r="B69" s="68" t="s">
        <v>309</v>
      </c>
      <c r="C69" s="242"/>
      <c r="D69" s="71"/>
    </row>
    <row r="70" spans="2:5" ht="12.75" hidden="1" customHeight="1">
      <c r="B70" s="68" t="s">
        <v>310</v>
      </c>
      <c r="C70" s="242"/>
      <c r="D70" s="71"/>
    </row>
    <row r="71" spans="2:5" hidden="1">
      <c r="B71" s="68" t="s">
        <v>311</v>
      </c>
      <c r="C71" s="242"/>
      <c r="D71" s="71"/>
    </row>
    <row r="72" spans="2:5" ht="25.5" hidden="1">
      <c r="B72" s="68" t="s">
        <v>312</v>
      </c>
      <c r="C72" s="242"/>
      <c r="D72" s="71"/>
    </row>
    <row r="73" spans="2:5" hidden="1">
      <c r="B73" s="68" t="s">
        <v>56</v>
      </c>
      <c r="C73" s="242"/>
      <c r="D73" s="71"/>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72" t="s">
        <v>314</v>
      </c>
      <c r="C90" s="248"/>
      <c r="D90" s="73"/>
    </row>
    <row r="91" spans="2:4" ht="24.75" hidden="1" thickBot="1">
      <c r="B91" s="72" t="s">
        <v>315</v>
      </c>
      <c r="C91" s="248"/>
      <c r="D91" s="73"/>
    </row>
    <row r="92" spans="2:4" ht="24.75" hidden="1" thickBot="1">
      <c r="B92" s="74" t="s">
        <v>316</v>
      </c>
      <c r="C92" s="249"/>
      <c r="D92" s="75"/>
    </row>
    <row r="93" spans="2:4" ht="48.75" hidden="1" thickBot="1">
      <c r="B93" s="74" t="s">
        <v>317</v>
      </c>
      <c r="C93" s="249"/>
      <c r="D93" s="75"/>
    </row>
    <row r="94" spans="2:4" ht="72.75" hidden="1" thickBot="1">
      <c r="B94" s="74" t="s">
        <v>318</v>
      </c>
      <c r="C94" s="249"/>
      <c r="D94" s="75"/>
    </row>
    <row r="95" spans="2:4" ht="13.5" hidden="1" thickBot="1">
      <c r="B95" s="74" t="s">
        <v>300</v>
      </c>
      <c r="C95" s="249"/>
      <c r="D95" s="75"/>
    </row>
    <row r="96" spans="2:4" ht="36.75" hidden="1" thickBot="1">
      <c r="B96" s="74" t="s">
        <v>319</v>
      </c>
      <c r="C96" s="249"/>
      <c r="D96" s="75"/>
    </row>
    <row r="97" spans="2:4" ht="48.75" hidden="1" thickBot="1">
      <c r="B97" s="74" t="s">
        <v>320</v>
      </c>
      <c r="C97" s="249"/>
      <c r="D97" s="75"/>
    </row>
    <row r="98" spans="2:4" ht="36.75" hidden="1" thickBot="1">
      <c r="B98" s="74" t="s">
        <v>321</v>
      </c>
      <c r="C98" s="249"/>
      <c r="D98" s="75"/>
    </row>
    <row r="99" spans="2:4" ht="60.75" hidden="1" thickBot="1">
      <c r="B99" s="74" t="s">
        <v>322</v>
      </c>
      <c r="C99" s="249"/>
      <c r="D99" s="75"/>
    </row>
    <row r="100" spans="2:4" ht="24.75" hidden="1" thickBot="1">
      <c r="B100" s="74" t="s">
        <v>323</v>
      </c>
      <c r="C100" s="249"/>
      <c r="D100" s="75"/>
    </row>
    <row r="101" spans="2:4" ht="48.75" hidden="1" thickBot="1">
      <c r="B101" s="74" t="s">
        <v>324</v>
      </c>
      <c r="C101" s="249"/>
      <c r="D101" s="75"/>
    </row>
    <row r="102" spans="2:4" ht="36.75" hidden="1" thickBot="1">
      <c r="B102" s="74" t="s">
        <v>325</v>
      </c>
      <c r="C102" s="249"/>
      <c r="D102" s="75"/>
    </row>
    <row r="103" spans="2:4" ht="60.75" hidden="1" thickBot="1">
      <c r="B103" s="74" t="s">
        <v>326</v>
      </c>
      <c r="C103" s="249"/>
      <c r="D103" s="75"/>
    </row>
    <row r="104" spans="2:4" ht="48.75" hidden="1" thickBot="1">
      <c r="B104" s="74" t="s">
        <v>327</v>
      </c>
      <c r="C104" s="249"/>
      <c r="D104" s="75"/>
    </row>
    <row r="105" spans="2:4" ht="96.75" hidden="1" thickBot="1">
      <c r="B105" s="74" t="s">
        <v>328</v>
      </c>
      <c r="C105" s="249"/>
      <c r="D105" s="75"/>
    </row>
    <row r="106" spans="2:4" ht="13.5" hidden="1" thickBot="1">
      <c r="B106" s="74" t="s">
        <v>329</v>
      </c>
      <c r="C106" s="249"/>
      <c r="D106" s="75"/>
    </row>
    <row r="107" spans="2:4" ht="36.75" hidden="1" thickBot="1">
      <c r="B107" s="74" t="s">
        <v>330</v>
      </c>
      <c r="C107" s="249"/>
      <c r="D107" s="75"/>
    </row>
    <row r="108" spans="2:4" ht="13.5" hidden="1" thickBot="1">
      <c r="B108" s="74" t="s">
        <v>55</v>
      </c>
      <c r="C108" s="249"/>
      <c r="D108" s="75"/>
    </row>
    <row r="109" spans="2:4" ht="96.75" hidden="1" thickBot="1">
      <c r="B109" s="74" t="s">
        <v>334</v>
      </c>
      <c r="C109" s="249"/>
      <c r="D109" s="75"/>
    </row>
    <row r="165" spans="2:2" hidden="1">
      <c r="B165" s="66" t="s">
        <v>335</v>
      </c>
    </row>
    <row r="166" spans="2:2" hidden="1">
      <c r="B166" s="66" t="s">
        <v>336</v>
      </c>
    </row>
    <row r="167" spans="2:2" hidden="1">
      <c r="B167" s="66" t="s">
        <v>337</v>
      </c>
    </row>
    <row r="168" spans="2:2" hidden="1">
      <c r="B168" s="66" t="s">
        <v>338</v>
      </c>
    </row>
    <row r="169" spans="2:2" hidden="1">
      <c r="B169" s="66" t="s">
        <v>339</v>
      </c>
    </row>
  </sheetData>
  <sheetProtection algorithmName="SHA-512" hashValue="qr95cYh8FkjsDPSIxkKKYn0WzqPf7U2n31vs7PetjPi30PLnnh/sU92XMI5ts1YUxy6howj87uB0fAk1sRgPHg==" saltValue="0CevnEbsfTL1+BIUiqhIqA==" spinCount="100000" sheet="1" objects="1" scenarios="1"/>
  <dataConsolidate>
    <dataRefs count="1">
      <dataRef ref="K80:K87" sheet="Top40"/>
    </dataRefs>
  </dataConsolidate>
  <mergeCells count="24">
    <mergeCell ref="P6:P7"/>
    <mergeCell ref="A2:P2"/>
    <mergeCell ref="A3:P3"/>
    <mergeCell ref="A4:P4"/>
    <mergeCell ref="A5:B5"/>
    <mergeCell ref="O5:P5"/>
    <mergeCell ref="N6:N7"/>
    <mergeCell ref="A6:A7"/>
    <mergeCell ref="B6:C6"/>
    <mergeCell ref="D6:D7"/>
    <mergeCell ref="G33:I33"/>
    <mergeCell ref="G6:G7"/>
    <mergeCell ref="A28:B28"/>
    <mergeCell ref="M29:O29"/>
    <mergeCell ref="E31:G31"/>
    <mergeCell ref="H6:H7"/>
    <mergeCell ref="I6:I7"/>
    <mergeCell ref="J6:J7"/>
    <mergeCell ref="K6:K7"/>
    <mergeCell ref="L6:L7"/>
    <mergeCell ref="F6:F7"/>
    <mergeCell ref="O6:O7"/>
    <mergeCell ref="E6:E7"/>
    <mergeCell ref="M6:M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H8:J27" xr:uid="{37E9A477-1B83-497C-8D88-ADEEDAB63A10}">
      <formula1>1</formula1>
      <formula2>767011</formula2>
    </dataValidation>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s>
  <pageMargins left="0.7" right="0.7" top="0.75" bottom="0.75" header="0.3" footer="0.3"/>
  <pageSetup paperSize="9" scale="5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984" t="s">
        <v>403</v>
      </c>
      <c r="B2" s="984"/>
      <c r="C2" s="984"/>
      <c r="D2" s="984"/>
      <c r="E2" s="984"/>
      <c r="F2" s="984"/>
      <c r="G2" s="984"/>
      <c r="H2" s="984"/>
      <c r="I2" s="984"/>
      <c r="J2" s="984"/>
      <c r="K2" s="984"/>
      <c r="L2" s="984"/>
    </row>
    <row r="3" spans="1:12">
      <c r="A3" s="990" t="str">
        <f>+GB!A3</f>
        <v xml:space="preserve">БАНК БУС САНХҮҮГИЙН БАЙГУУЛЛАГЫН НЭР </v>
      </c>
      <c r="B3" s="990"/>
      <c r="C3" s="990"/>
      <c r="D3" s="990"/>
      <c r="E3" s="990"/>
      <c r="F3" s="990"/>
      <c r="G3" s="990"/>
      <c r="H3" s="990"/>
      <c r="I3" s="990"/>
      <c r="J3" s="990"/>
      <c r="K3" s="990"/>
      <c r="L3" s="990"/>
    </row>
    <row r="4" spans="1:12">
      <c r="A4" s="982" t="str">
        <f>+GB!A4</f>
        <v>БАНК БУС САНХҮҮГИЙН БАЙГУУЛЛАГА</v>
      </c>
      <c r="B4" s="982"/>
      <c r="C4" s="982"/>
      <c r="D4" s="982"/>
      <c r="E4" s="982"/>
      <c r="F4" s="982"/>
      <c r="G4" s="982"/>
      <c r="H4" s="982"/>
      <c r="I4" s="982"/>
      <c r="J4" s="982"/>
      <c r="K4" s="982"/>
      <c r="L4" s="982"/>
    </row>
    <row r="5" spans="1:12">
      <c r="A5" s="1128">
        <f>+GB!A6</f>
        <v>45716</v>
      </c>
      <c r="B5" s="1128"/>
      <c r="K5" s="1182" t="s">
        <v>41</v>
      </c>
      <c r="L5" s="1182"/>
    </row>
    <row r="6" spans="1:12" ht="15" customHeight="1">
      <c r="A6" s="1146" t="s">
        <v>404</v>
      </c>
      <c r="B6" s="1146"/>
      <c r="C6" s="1146"/>
      <c r="D6" s="1146" t="s">
        <v>405</v>
      </c>
      <c r="E6" s="1183" t="s">
        <v>406</v>
      </c>
      <c r="F6" s="1183"/>
      <c r="G6" s="1183"/>
      <c r="H6" s="1183"/>
      <c r="I6" s="1183"/>
      <c r="J6" s="1183" t="s">
        <v>407</v>
      </c>
      <c r="K6" s="1183"/>
      <c r="L6" s="1146" t="s">
        <v>275</v>
      </c>
    </row>
    <row r="7" spans="1:12" ht="38.25">
      <c r="A7" s="1146"/>
      <c r="B7" s="1146"/>
      <c r="C7" s="1146"/>
      <c r="D7" s="1146"/>
      <c r="E7" s="324" t="s">
        <v>408</v>
      </c>
      <c r="F7" s="324" t="s">
        <v>409</v>
      </c>
      <c r="G7" s="324" t="s">
        <v>410</v>
      </c>
      <c r="H7" s="324" t="s">
        <v>411</v>
      </c>
      <c r="I7" s="324" t="s">
        <v>412</v>
      </c>
      <c r="J7" s="324" t="s">
        <v>408</v>
      </c>
      <c r="K7" s="324" t="s">
        <v>413</v>
      </c>
      <c r="L7" s="1146"/>
    </row>
    <row r="8" spans="1:12">
      <c r="A8" s="1185" t="s">
        <v>414</v>
      </c>
      <c r="B8" s="1185"/>
      <c r="C8" s="1185"/>
      <c r="D8" s="293" t="s">
        <v>415</v>
      </c>
      <c r="E8" s="325"/>
      <c r="F8" s="78"/>
      <c r="G8" s="78"/>
      <c r="H8" s="78"/>
      <c r="I8" s="78"/>
      <c r="J8" s="78"/>
      <c r="K8" s="78"/>
      <c r="L8" s="78" t="s">
        <v>416</v>
      </c>
    </row>
    <row r="9" spans="1:12" ht="15" customHeight="1">
      <c r="A9" s="1184" t="s">
        <v>417</v>
      </c>
      <c r="B9" s="1184"/>
      <c r="C9" s="292" t="s">
        <v>418</v>
      </c>
      <c r="D9" s="293">
        <v>1</v>
      </c>
      <c r="E9" s="78">
        <v>0</v>
      </c>
      <c r="F9" s="78">
        <v>0</v>
      </c>
      <c r="G9" s="78">
        <v>0</v>
      </c>
      <c r="H9" s="78">
        <v>0</v>
      </c>
      <c r="I9" s="78">
        <v>0</v>
      </c>
      <c r="J9" s="78">
        <v>0</v>
      </c>
      <c r="K9" s="78">
        <v>0</v>
      </c>
      <c r="L9" s="79">
        <f>SUM(E9:K9)</f>
        <v>0</v>
      </c>
    </row>
    <row r="10" spans="1:12">
      <c r="A10" s="1184"/>
      <c r="B10" s="1184"/>
      <c r="C10" s="292" t="s">
        <v>419</v>
      </c>
      <c r="D10" s="293">
        <v>2</v>
      </c>
      <c r="E10" s="78">
        <v>0</v>
      </c>
      <c r="F10" s="78">
        <v>0</v>
      </c>
      <c r="G10" s="78">
        <v>0</v>
      </c>
      <c r="H10" s="78">
        <v>0</v>
      </c>
      <c r="I10" s="78">
        <v>0</v>
      </c>
      <c r="J10" s="78">
        <v>0</v>
      </c>
      <c r="K10" s="78">
        <v>0</v>
      </c>
      <c r="L10" s="79">
        <f>SUM(E10:K10)</f>
        <v>0</v>
      </c>
    </row>
    <row r="11" spans="1:12" ht="15" customHeight="1">
      <c r="A11" s="1184" t="s">
        <v>420</v>
      </c>
      <c r="B11" s="1186" t="s">
        <v>421</v>
      </c>
      <c r="C11" s="1186"/>
      <c r="D11" s="293">
        <v>3</v>
      </c>
      <c r="E11" s="78">
        <v>0</v>
      </c>
      <c r="F11" s="78">
        <v>0</v>
      </c>
      <c r="G11" s="78">
        <v>0</v>
      </c>
      <c r="H11" s="78">
        <v>0</v>
      </c>
      <c r="I11" s="78">
        <v>0</v>
      </c>
      <c r="J11" s="78">
        <v>0</v>
      </c>
      <c r="K11" s="78">
        <v>0</v>
      </c>
      <c r="L11" s="79">
        <f t="shared" ref="L11:L35" si="0">SUM(E11:K11)</f>
        <v>0</v>
      </c>
    </row>
    <row r="12" spans="1:12" ht="15" customHeight="1">
      <c r="A12" s="1184"/>
      <c r="B12" s="1184" t="s">
        <v>422</v>
      </c>
      <c r="C12" s="292" t="s">
        <v>423</v>
      </c>
      <c r="D12" s="293">
        <v>4</v>
      </c>
      <c r="E12" s="78">
        <v>0</v>
      </c>
      <c r="F12" s="78">
        <v>0</v>
      </c>
      <c r="G12" s="78">
        <v>0</v>
      </c>
      <c r="H12" s="78">
        <v>0</v>
      </c>
      <c r="I12" s="78">
        <v>0</v>
      </c>
      <c r="J12" s="78">
        <v>0</v>
      </c>
      <c r="K12" s="78">
        <v>0</v>
      </c>
      <c r="L12" s="79">
        <f t="shared" si="0"/>
        <v>0</v>
      </c>
    </row>
    <row r="13" spans="1:12">
      <c r="A13" s="1184"/>
      <c r="B13" s="1184"/>
      <c r="C13" s="292" t="s">
        <v>352</v>
      </c>
      <c r="D13" s="293">
        <v>5</v>
      </c>
      <c r="E13" s="78">
        <v>0</v>
      </c>
      <c r="F13" s="78">
        <v>0</v>
      </c>
      <c r="G13" s="78">
        <v>0</v>
      </c>
      <c r="H13" s="78">
        <v>0</v>
      </c>
      <c r="I13" s="78">
        <v>0</v>
      </c>
      <c r="J13" s="78">
        <v>0</v>
      </c>
      <c r="K13" s="78">
        <v>0</v>
      </c>
      <c r="L13" s="79">
        <f t="shared" si="0"/>
        <v>0</v>
      </c>
    </row>
    <row r="14" spans="1:12">
      <c r="A14" s="1184"/>
      <c r="B14" s="1184"/>
      <c r="C14" s="292" t="s">
        <v>424</v>
      </c>
      <c r="D14" s="293">
        <v>6</v>
      </c>
      <c r="E14" s="78">
        <v>0</v>
      </c>
      <c r="F14" s="78">
        <v>0</v>
      </c>
      <c r="G14" s="78">
        <v>0</v>
      </c>
      <c r="H14" s="78">
        <v>0</v>
      </c>
      <c r="I14" s="78">
        <v>0</v>
      </c>
      <c r="J14" s="78">
        <v>0</v>
      </c>
      <c r="K14" s="78">
        <v>0</v>
      </c>
      <c r="L14" s="79">
        <f t="shared" si="0"/>
        <v>0</v>
      </c>
    </row>
    <row r="15" spans="1:12" ht="15" customHeight="1">
      <c r="A15" s="1184"/>
      <c r="B15" s="1184" t="s">
        <v>425</v>
      </c>
      <c r="C15" s="292" t="s">
        <v>426</v>
      </c>
      <c r="D15" s="293">
        <v>7</v>
      </c>
      <c r="E15" s="78">
        <v>0</v>
      </c>
      <c r="F15" s="78">
        <v>0</v>
      </c>
      <c r="G15" s="78">
        <v>0</v>
      </c>
      <c r="H15" s="78">
        <v>0</v>
      </c>
      <c r="I15" s="78">
        <v>0</v>
      </c>
      <c r="J15" s="78">
        <v>0</v>
      </c>
      <c r="K15" s="78">
        <v>0</v>
      </c>
      <c r="L15" s="79">
        <f t="shared" si="0"/>
        <v>0</v>
      </c>
    </row>
    <row r="16" spans="1:12">
      <c r="A16" s="1184"/>
      <c r="B16" s="1184"/>
      <c r="C16" s="292" t="s">
        <v>427</v>
      </c>
      <c r="D16" s="293">
        <v>8</v>
      </c>
      <c r="E16" s="78">
        <v>0</v>
      </c>
      <c r="F16" s="78">
        <v>0</v>
      </c>
      <c r="G16" s="78">
        <v>0</v>
      </c>
      <c r="H16" s="78">
        <v>0</v>
      </c>
      <c r="I16" s="78">
        <v>0</v>
      </c>
      <c r="J16" s="78">
        <v>0</v>
      </c>
      <c r="K16" s="78">
        <v>0</v>
      </c>
      <c r="L16" s="79">
        <f t="shared" si="0"/>
        <v>0</v>
      </c>
    </row>
    <row r="17" spans="1:12">
      <c r="A17" s="1184"/>
      <c r="B17" s="1186" t="s">
        <v>428</v>
      </c>
      <c r="C17" s="1186"/>
      <c r="D17" s="293">
        <v>9</v>
      </c>
      <c r="E17" s="79">
        <f t="shared" ref="E17:K17" si="1">SUM(E11+E12-E13+E15-E16)</f>
        <v>0</v>
      </c>
      <c r="F17" s="79">
        <f t="shared" si="1"/>
        <v>0</v>
      </c>
      <c r="G17" s="79">
        <f t="shared" si="1"/>
        <v>0</v>
      </c>
      <c r="H17" s="79">
        <f t="shared" si="1"/>
        <v>0</v>
      </c>
      <c r="I17" s="79">
        <f t="shared" si="1"/>
        <v>0</v>
      </c>
      <c r="J17" s="79">
        <f t="shared" si="1"/>
        <v>0</v>
      </c>
      <c r="K17" s="79">
        <f t="shared" si="1"/>
        <v>0</v>
      </c>
      <c r="L17" s="79">
        <f t="shared" si="0"/>
        <v>0</v>
      </c>
    </row>
    <row r="18" spans="1:12">
      <c r="A18" s="1185" t="s">
        <v>429</v>
      </c>
      <c r="B18" s="1185"/>
      <c r="C18" s="292" t="s">
        <v>430</v>
      </c>
      <c r="D18" s="293">
        <v>10</v>
      </c>
      <c r="E18" s="78">
        <v>0</v>
      </c>
      <c r="F18" s="78">
        <v>0</v>
      </c>
      <c r="G18" s="78">
        <v>0</v>
      </c>
      <c r="H18" s="78">
        <v>0</v>
      </c>
      <c r="I18" s="78">
        <v>0</v>
      </c>
      <c r="J18" s="78">
        <v>0</v>
      </c>
      <c r="K18" s="78">
        <v>0</v>
      </c>
      <c r="L18" s="79">
        <f t="shared" si="0"/>
        <v>0</v>
      </c>
    </row>
    <row r="19" spans="1:12">
      <c r="A19" s="1185"/>
      <c r="B19" s="1185"/>
      <c r="C19" s="292" t="s">
        <v>431</v>
      </c>
      <c r="D19" s="293">
        <v>11</v>
      </c>
      <c r="E19" s="78">
        <v>0</v>
      </c>
      <c r="F19" s="78">
        <v>0</v>
      </c>
      <c r="G19" s="78">
        <v>0</v>
      </c>
      <c r="H19" s="78">
        <v>0</v>
      </c>
      <c r="I19" s="78">
        <v>0</v>
      </c>
      <c r="J19" s="78">
        <v>0</v>
      </c>
      <c r="K19" s="78">
        <v>0</v>
      </c>
      <c r="L19" s="79">
        <f t="shared" si="0"/>
        <v>0</v>
      </c>
    </row>
    <row r="20" spans="1:12" ht="15" customHeight="1">
      <c r="A20" s="1184" t="s">
        <v>432</v>
      </c>
      <c r="B20" s="1185" t="s">
        <v>433</v>
      </c>
      <c r="C20" s="1185"/>
      <c r="D20" s="293">
        <v>12</v>
      </c>
      <c r="E20" s="78">
        <v>0</v>
      </c>
      <c r="F20" s="78">
        <v>0</v>
      </c>
      <c r="G20" s="78">
        <v>0</v>
      </c>
      <c r="H20" s="78">
        <v>0</v>
      </c>
      <c r="I20" s="78">
        <v>0</v>
      </c>
      <c r="J20" s="78">
        <v>0</v>
      </c>
      <c r="K20" s="78">
        <v>0</v>
      </c>
      <c r="L20" s="79">
        <f t="shared" si="0"/>
        <v>0</v>
      </c>
    </row>
    <row r="21" spans="1:12">
      <c r="A21" s="1184"/>
      <c r="B21" s="1185" t="s">
        <v>434</v>
      </c>
      <c r="C21" s="1185"/>
      <c r="D21" s="293">
        <v>13</v>
      </c>
      <c r="E21" s="78">
        <v>0</v>
      </c>
      <c r="F21" s="78">
        <v>0</v>
      </c>
      <c r="G21" s="78">
        <v>0</v>
      </c>
      <c r="H21" s="78">
        <v>0</v>
      </c>
      <c r="I21" s="78">
        <v>0</v>
      </c>
      <c r="J21" s="78">
        <v>0</v>
      </c>
      <c r="K21" s="78">
        <v>0</v>
      </c>
      <c r="L21" s="79">
        <f t="shared" si="0"/>
        <v>0</v>
      </c>
    </row>
    <row r="22" spans="1:12" ht="15" customHeight="1">
      <c r="A22" s="1184"/>
      <c r="B22" s="1184" t="s">
        <v>435</v>
      </c>
      <c r="C22" s="292" t="s">
        <v>436</v>
      </c>
      <c r="D22" s="293">
        <v>14</v>
      </c>
      <c r="E22" s="78">
        <v>0</v>
      </c>
      <c r="F22" s="78">
        <v>0</v>
      </c>
      <c r="G22" s="78">
        <v>0</v>
      </c>
      <c r="H22" s="78">
        <v>0</v>
      </c>
      <c r="I22" s="78">
        <v>0</v>
      </c>
      <c r="J22" s="78">
        <v>0</v>
      </c>
      <c r="K22" s="78">
        <v>0</v>
      </c>
      <c r="L22" s="79">
        <f t="shared" si="0"/>
        <v>0</v>
      </c>
    </row>
    <row r="23" spans="1:12">
      <c r="A23" s="1184"/>
      <c r="B23" s="1184"/>
      <c r="C23" s="292" t="s">
        <v>437</v>
      </c>
      <c r="D23" s="293">
        <v>15</v>
      </c>
      <c r="E23" s="78">
        <v>0</v>
      </c>
      <c r="F23" s="78">
        <v>0</v>
      </c>
      <c r="G23" s="78">
        <v>0</v>
      </c>
      <c r="H23" s="78">
        <v>0</v>
      </c>
      <c r="I23" s="78">
        <v>0</v>
      </c>
      <c r="J23" s="78">
        <v>0</v>
      </c>
      <c r="K23" s="78">
        <v>0</v>
      </c>
      <c r="L23" s="79">
        <f t="shared" si="0"/>
        <v>0</v>
      </c>
    </row>
    <row r="24" spans="1:12" ht="15" customHeight="1">
      <c r="A24" s="1184" t="s">
        <v>438</v>
      </c>
      <c r="B24" s="1184"/>
      <c r="C24" s="293" t="s">
        <v>433</v>
      </c>
      <c r="D24" s="293">
        <v>16</v>
      </c>
      <c r="E24" s="80">
        <v>0</v>
      </c>
      <c r="F24" s="80">
        <v>0</v>
      </c>
      <c r="G24" s="80">
        <v>0</v>
      </c>
      <c r="H24" s="80">
        <v>0</v>
      </c>
      <c r="I24" s="80">
        <v>0</v>
      </c>
      <c r="J24" s="80">
        <v>0</v>
      </c>
      <c r="K24" s="80">
        <v>0</v>
      </c>
      <c r="L24" s="326">
        <f t="shared" si="0"/>
        <v>0</v>
      </c>
    </row>
    <row r="25" spans="1:12">
      <c r="A25" s="1184"/>
      <c r="B25" s="1184"/>
      <c r="C25" s="293" t="s">
        <v>434</v>
      </c>
      <c r="D25" s="293">
        <v>17</v>
      </c>
      <c r="E25" s="80">
        <v>0</v>
      </c>
      <c r="F25" s="80">
        <v>0</v>
      </c>
      <c r="G25" s="80">
        <v>0</v>
      </c>
      <c r="H25" s="80">
        <v>0</v>
      </c>
      <c r="I25" s="80">
        <v>0</v>
      </c>
      <c r="J25" s="80">
        <v>0</v>
      </c>
      <c r="K25" s="80">
        <v>0</v>
      </c>
      <c r="L25" s="326">
        <f t="shared" si="0"/>
        <v>0</v>
      </c>
    </row>
    <row r="26" spans="1:12">
      <c r="A26" s="1184"/>
      <c r="B26" s="1184"/>
      <c r="C26" s="293" t="s">
        <v>435</v>
      </c>
      <c r="D26" s="293">
        <v>18</v>
      </c>
      <c r="E26" s="80">
        <v>0</v>
      </c>
      <c r="F26" s="80">
        <v>0</v>
      </c>
      <c r="G26" s="80">
        <v>0</v>
      </c>
      <c r="H26" s="80">
        <v>0</v>
      </c>
      <c r="I26" s="80">
        <v>0</v>
      </c>
      <c r="J26" s="80">
        <v>0</v>
      </c>
      <c r="K26" s="80">
        <v>0</v>
      </c>
      <c r="L26" s="326">
        <f t="shared" si="0"/>
        <v>0</v>
      </c>
    </row>
    <row r="27" spans="1:12" ht="15" customHeight="1">
      <c r="A27" s="1184" t="s">
        <v>439</v>
      </c>
      <c r="B27" s="1184"/>
      <c r="C27" s="292" t="s">
        <v>440</v>
      </c>
      <c r="D27" s="293">
        <v>19</v>
      </c>
      <c r="E27" s="78">
        <v>0</v>
      </c>
      <c r="F27" s="78">
        <v>0</v>
      </c>
      <c r="G27" s="78">
        <v>0</v>
      </c>
      <c r="H27" s="78">
        <v>0</v>
      </c>
      <c r="I27" s="78">
        <v>0</v>
      </c>
      <c r="J27" s="78">
        <v>0</v>
      </c>
      <c r="K27" s="78">
        <v>0</v>
      </c>
      <c r="L27" s="79">
        <f t="shared" si="0"/>
        <v>0</v>
      </c>
    </row>
    <row r="28" spans="1:12">
      <c r="A28" s="1184"/>
      <c r="B28" s="1184"/>
      <c r="C28" s="292" t="s">
        <v>441</v>
      </c>
      <c r="D28" s="293">
        <v>20</v>
      </c>
      <c r="E28" s="78">
        <v>0</v>
      </c>
      <c r="F28" s="78">
        <v>0</v>
      </c>
      <c r="G28" s="78">
        <v>0</v>
      </c>
      <c r="H28" s="78">
        <v>0</v>
      </c>
      <c r="I28" s="78">
        <v>0</v>
      </c>
      <c r="J28" s="78">
        <v>0</v>
      </c>
      <c r="K28" s="78">
        <v>0</v>
      </c>
      <c r="L28" s="79">
        <f t="shared" si="0"/>
        <v>0</v>
      </c>
    </row>
    <row r="29" spans="1:12" ht="15" customHeight="1">
      <c r="A29" s="1184" t="s">
        <v>615</v>
      </c>
      <c r="B29" s="1185" t="s">
        <v>442</v>
      </c>
      <c r="C29" s="1185"/>
      <c r="D29" s="293">
        <v>21</v>
      </c>
      <c r="E29" s="78">
        <v>0</v>
      </c>
      <c r="F29" s="78">
        <v>0</v>
      </c>
      <c r="G29" s="78">
        <v>0</v>
      </c>
      <c r="H29" s="78">
        <v>0</v>
      </c>
      <c r="I29" s="78">
        <v>0</v>
      </c>
      <c r="J29" s="78">
        <v>0</v>
      </c>
      <c r="K29" s="78">
        <v>0</v>
      </c>
      <c r="L29" s="79">
        <f t="shared" si="0"/>
        <v>0</v>
      </c>
    </row>
    <row r="30" spans="1:12">
      <c r="A30" s="1184"/>
      <c r="B30" s="1185" t="s">
        <v>443</v>
      </c>
      <c r="C30" s="1185"/>
      <c r="D30" s="293">
        <v>22</v>
      </c>
      <c r="E30" s="78">
        <v>0</v>
      </c>
      <c r="F30" s="78">
        <v>0</v>
      </c>
      <c r="G30" s="78">
        <v>0</v>
      </c>
      <c r="H30" s="78">
        <v>0</v>
      </c>
      <c r="I30" s="78">
        <v>0</v>
      </c>
      <c r="J30" s="78">
        <v>0</v>
      </c>
      <c r="K30" s="78">
        <v>0</v>
      </c>
      <c r="L30" s="79">
        <f t="shared" si="0"/>
        <v>0</v>
      </c>
    </row>
    <row r="31" spans="1:12">
      <c r="A31" s="1184"/>
      <c r="B31" s="1185" t="s">
        <v>444</v>
      </c>
      <c r="C31" s="292" t="s">
        <v>608</v>
      </c>
      <c r="D31" s="293">
        <v>23</v>
      </c>
      <c r="E31" s="78">
        <v>0</v>
      </c>
      <c r="F31" s="78">
        <v>0</v>
      </c>
      <c r="G31" s="78">
        <v>0</v>
      </c>
      <c r="H31" s="78">
        <v>0</v>
      </c>
      <c r="I31" s="78">
        <v>0</v>
      </c>
      <c r="J31" s="78">
        <v>0</v>
      </c>
      <c r="K31" s="78">
        <v>0</v>
      </c>
      <c r="L31" s="79">
        <f t="shared" si="0"/>
        <v>0</v>
      </c>
    </row>
    <row r="32" spans="1:12">
      <c r="A32" s="1184"/>
      <c r="B32" s="1185"/>
      <c r="C32" s="292" t="s">
        <v>130</v>
      </c>
      <c r="D32" s="293">
        <v>24</v>
      </c>
      <c r="E32" s="78">
        <v>0</v>
      </c>
      <c r="F32" s="78">
        <v>0</v>
      </c>
      <c r="G32" s="78">
        <v>0</v>
      </c>
      <c r="H32" s="78">
        <v>0</v>
      </c>
      <c r="I32" s="78">
        <v>0</v>
      </c>
      <c r="J32" s="78">
        <v>0</v>
      </c>
      <c r="K32" s="78">
        <v>0</v>
      </c>
      <c r="L32" s="79">
        <f t="shared" si="0"/>
        <v>0</v>
      </c>
    </row>
    <row r="33" spans="1:12">
      <c r="A33" s="1184"/>
      <c r="B33" s="1185"/>
      <c r="C33" s="292" t="s">
        <v>128</v>
      </c>
      <c r="D33" s="293">
        <v>25</v>
      </c>
      <c r="E33" s="78">
        <v>0</v>
      </c>
      <c r="F33" s="78">
        <v>0</v>
      </c>
      <c r="G33" s="78">
        <v>0</v>
      </c>
      <c r="H33" s="78">
        <v>0</v>
      </c>
      <c r="I33" s="78">
        <v>0</v>
      </c>
      <c r="J33" s="78">
        <v>0</v>
      </c>
      <c r="K33" s="78">
        <v>0</v>
      </c>
      <c r="L33" s="79">
        <f t="shared" si="0"/>
        <v>0</v>
      </c>
    </row>
    <row r="34" spans="1:12">
      <c r="A34" s="1184"/>
      <c r="B34" s="1185"/>
      <c r="C34" s="292" t="s">
        <v>445</v>
      </c>
      <c r="D34" s="293">
        <v>26</v>
      </c>
      <c r="E34" s="78">
        <v>0</v>
      </c>
      <c r="F34" s="78">
        <v>0</v>
      </c>
      <c r="G34" s="78">
        <v>0</v>
      </c>
      <c r="H34" s="78">
        <v>0</v>
      </c>
      <c r="I34" s="78">
        <v>0</v>
      </c>
      <c r="J34" s="78">
        <v>0</v>
      </c>
      <c r="K34" s="78">
        <v>0</v>
      </c>
      <c r="L34" s="79">
        <f t="shared" si="0"/>
        <v>0</v>
      </c>
    </row>
    <row r="35" spans="1:12" ht="15" customHeight="1">
      <c r="A35" s="1184" t="s">
        <v>446</v>
      </c>
      <c r="B35" s="1184"/>
      <c r="C35" s="292" t="s">
        <v>447</v>
      </c>
      <c r="D35" s="293">
        <v>27</v>
      </c>
      <c r="E35" s="78">
        <v>0</v>
      </c>
      <c r="F35" s="78">
        <v>0</v>
      </c>
      <c r="G35" s="78">
        <v>0</v>
      </c>
      <c r="H35" s="78">
        <v>0</v>
      </c>
      <c r="I35" s="78">
        <v>0</v>
      </c>
      <c r="J35" s="78">
        <v>0</v>
      </c>
      <c r="K35" s="78">
        <v>0</v>
      </c>
      <c r="L35" s="79">
        <f t="shared" si="0"/>
        <v>0</v>
      </c>
    </row>
    <row r="36" spans="1:12">
      <c r="A36" s="1184"/>
      <c r="B36" s="1184"/>
      <c r="C36" s="292" t="s">
        <v>448</v>
      </c>
      <c r="D36" s="293">
        <v>28</v>
      </c>
      <c r="E36" s="78">
        <v>0</v>
      </c>
      <c r="F36" s="78">
        <v>0</v>
      </c>
      <c r="G36" s="78">
        <v>0</v>
      </c>
      <c r="H36" s="78">
        <v>0</v>
      </c>
      <c r="I36" s="78">
        <v>0</v>
      </c>
      <c r="J36" s="78">
        <v>0</v>
      </c>
      <c r="K36" s="78">
        <v>0</v>
      </c>
      <c r="L36" s="79">
        <f>SUM(E36:K36)</f>
        <v>0</v>
      </c>
    </row>
    <row r="38" spans="1:12">
      <c r="B38" s="34" t="s">
        <v>33</v>
      </c>
      <c r="C38" s="35"/>
      <c r="D38" s="93"/>
      <c r="E38" s="93"/>
      <c r="F38" s="13"/>
      <c r="G38" s="14"/>
    </row>
    <row r="39" spans="1:12">
      <c r="B39" s="15"/>
      <c r="C39" s="16"/>
      <c r="D39" s="93"/>
      <c r="E39" s="93"/>
      <c r="F39" s="13"/>
      <c r="G39" s="14"/>
    </row>
    <row r="40" spans="1:12">
      <c r="B40" s="15"/>
      <c r="C40" s="81" t="s">
        <v>122</v>
      </c>
      <c r="D40" s="81"/>
      <c r="E40" s="81"/>
      <c r="F40" s="13"/>
      <c r="G40" s="14"/>
    </row>
    <row r="41" spans="1:12">
      <c r="B41" s="15"/>
      <c r="C41" s="16"/>
      <c r="D41" s="93"/>
      <c r="E41" s="93"/>
      <c r="F41" s="13"/>
      <c r="G41" s="14"/>
    </row>
    <row r="42" spans="1:12" ht="15" customHeight="1">
      <c r="B42" s="15"/>
      <c r="C42" s="126" t="str">
        <f>+Statistic!B60</f>
        <v>ГҮЙЦЭТГЭХ ЗАХИРАЛ.......................//</v>
      </c>
      <c r="D42" s="126"/>
      <c r="E42" s="126"/>
      <c r="F42" s="126"/>
      <c r="G42" s="126"/>
      <c r="H42" s="126"/>
      <c r="I42" s="126"/>
      <c r="J42" s="126"/>
    </row>
    <row r="43" spans="1:12">
      <c r="B43" s="15"/>
      <c r="C43" s="16"/>
      <c r="D43" s="93"/>
      <c r="E43" s="96"/>
      <c r="F43" s="96"/>
      <c r="G43" s="96"/>
    </row>
    <row r="44" spans="1:12" ht="15" customHeight="1">
      <c r="B44" s="15"/>
      <c r="C44" s="126" t="str">
        <f>+Statistic!B62</f>
        <v>ЕРӨНХИЙ НЯГТЛАН БОДОГЧ...................................................//</v>
      </c>
      <c r="D44" s="126"/>
      <c r="E44" s="126"/>
      <c r="F44" s="126"/>
      <c r="G44" s="126"/>
      <c r="H44" s="126"/>
      <c r="I44" s="126"/>
      <c r="J44" s="126"/>
    </row>
    <row r="45" spans="1:12">
      <c r="B45" s="15"/>
      <c r="C45" s="16"/>
      <c r="D45" s="93"/>
      <c r="E45" s="96"/>
      <c r="F45" s="96"/>
      <c r="G45" s="96"/>
    </row>
    <row r="46" spans="1:12" ht="15" customHeight="1">
      <c r="B46" s="15"/>
      <c r="C46" s="126"/>
      <c r="D46" s="126"/>
      <c r="E46" s="126"/>
      <c r="F46" s="126"/>
      <c r="G46" s="126"/>
      <c r="H46" s="126"/>
      <c r="I46" s="126"/>
      <c r="J46" s="126"/>
    </row>
  </sheetData>
  <sheetProtection algorithmName="SHA-512" hashValue="T9Xi7R/xG9Pk3G6yH4WeGmFNg+d7gROCtOYgBq6RJCD+Bd3sgAP0/Slxg2ggzA/9lmNSosPsxEXDoldCKrh+Zw==" saltValue="I9o/vp84bUvw6WpRNaW/4g==" spinCount="100000" sheet="1" objects="1" scenarios="1"/>
  <mergeCells count="29">
    <mergeCell ref="A8:C8"/>
    <mergeCell ref="A9:B10"/>
    <mergeCell ref="A11:A17"/>
    <mergeCell ref="B11:C11"/>
    <mergeCell ref="B12:B14"/>
    <mergeCell ref="B15:B16"/>
    <mergeCell ref="B17:C17"/>
    <mergeCell ref="A35:B36"/>
    <mergeCell ref="A18:B19"/>
    <mergeCell ref="A20:A23"/>
    <mergeCell ref="B20:C20"/>
    <mergeCell ref="B21:C21"/>
    <mergeCell ref="B22:B23"/>
    <mergeCell ref="A24:B26"/>
    <mergeCell ref="A27:B28"/>
    <mergeCell ref="A29:A34"/>
    <mergeCell ref="B29:C29"/>
    <mergeCell ref="B30:C30"/>
    <mergeCell ref="B31:B34"/>
    <mergeCell ref="A2:L2"/>
    <mergeCell ref="A3:L3"/>
    <mergeCell ref="A5:B5"/>
    <mergeCell ref="K5:L5"/>
    <mergeCell ref="A6:C7"/>
    <mergeCell ref="D6:D7"/>
    <mergeCell ref="E6:I6"/>
    <mergeCell ref="J6:K6"/>
    <mergeCell ref="L6:L7"/>
    <mergeCell ref="A4:L4"/>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N64"/>
  <sheetViews>
    <sheetView workbookViewId="0"/>
  </sheetViews>
  <sheetFormatPr defaultRowHeight="12.75"/>
  <cols>
    <col min="1" max="1" width="3.7109375" style="26" bestFit="1" customWidth="1"/>
    <col min="2" max="2" width="55.140625" style="3" customWidth="1"/>
    <col min="3" max="3" width="28" style="20" customWidth="1"/>
    <col min="4" max="4" width="38.140625" style="3" customWidth="1"/>
    <col min="5" max="5" width="13.7109375" style="3" customWidth="1"/>
    <col min="6" max="6" width="16.85546875" style="3" bestFit="1" customWidth="1"/>
    <col min="7" max="7" width="16.42578125" style="3"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c r="A2" s="982" t="s">
        <v>0</v>
      </c>
      <c r="B2" s="982"/>
      <c r="C2" s="982"/>
      <c r="F2" s="2"/>
      <c r="G2" s="2"/>
      <c r="H2" s="2"/>
      <c r="I2" s="2"/>
      <c r="J2" s="2"/>
    </row>
    <row r="3" spans="1:14">
      <c r="A3" s="983" t="s">
        <v>1486</v>
      </c>
      <c r="B3" s="983"/>
      <c r="C3" s="983"/>
      <c r="D3" s="8"/>
      <c r="E3" s="8"/>
      <c r="F3" s="4"/>
      <c r="G3" s="4"/>
      <c r="H3" s="4"/>
      <c r="I3" s="4"/>
      <c r="J3" s="4"/>
    </row>
    <row r="4" spans="1:14">
      <c r="A4" s="984" t="str">
        <f>+GB!A4</f>
        <v>БАНК БУС САНХҮҮГИЙН БАЙГУУЛЛАГА</v>
      </c>
      <c r="B4" s="984"/>
      <c r="C4" s="984"/>
      <c r="D4" s="38"/>
      <c r="E4" s="38"/>
      <c r="F4" s="6"/>
      <c r="G4" s="6"/>
      <c r="H4" s="6"/>
      <c r="I4" s="6"/>
      <c r="J4" s="6"/>
    </row>
    <row r="5" spans="1:14">
      <c r="A5" s="5"/>
      <c r="B5" s="5"/>
      <c r="C5" s="5"/>
      <c r="D5" s="38"/>
      <c r="E5" s="38"/>
      <c r="F5" s="6"/>
      <c r="G5" s="6"/>
      <c r="H5" s="6"/>
      <c r="I5" s="6"/>
      <c r="J5" s="6"/>
    </row>
    <row r="6" spans="1:14">
      <c r="A6" s="5"/>
      <c r="B6" s="5"/>
      <c r="C6" s="5"/>
      <c r="D6" s="38"/>
      <c r="E6" s="38"/>
      <c r="F6" s="6"/>
      <c r="G6" s="6"/>
      <c r="H6" s="6"/>
      <c r="I6" s="6"/>
      <c r="J6" s="6"/>
    </row>
    <row r="7" spans="1:14">
      <c r="A7" s="985">
        <v>45716</v>
      </c>
      <c r="B7" s="985"/>
      <c r="C7" s="7"/>
      <c r="D7" s="8"/>
      <c r="E7" s="8"/>
      <c r="F7" s="8"/>
      <c r="G7" s="8"/>
      <c r="H7" s="38"/>
      <c r="I7" s="8"/>
      <c r="J7" s="8"/>
    </row>
    <row r="8" spans="1:14">
      <c r="A8" s="660" t="s">
        <v>2</v>
      </c>
      <c r="B8" s="660" t="s">
        <v>0</v>
      </c>
      <c r="C8" s="661" t="s">
        <v>3</v>
      </c>
      <c r="H8" s="394" t="s">
        <v>4</v>
      </c>
    </row>
    <row r="9" spans="1:14">
      <c r="A9" s="660" t="s">
        <v>5</v>
      </c>
      <c r="B9" s="986" t="s">
        <v>6</v>
      </c>
      <c r="C9" s="986"/>
      <c r="H9" s="394" t="s">
        <v>7</v>
      </c>
    </row>
    <row r="10" spans="1:14">
      <c r="A10" s="981">
        <v>1</v>
      </c>
      <c r="B10" s="653" t="s">
        <v>708</v>
      </c>
      <c r="C10" s="654">
        <f>SUM(C11:C13)</f>
        <v>0</v>
      </c>
      <c r="D10" s="10" t="str">
        <f>+IF(C10&gt;0,"","Утга нөхөх")</f>
        <v>Утга нөхөх</v>
      </c>
      <c r="E10" s="10"/>
      <c r="F10" s="10"/>
      <c r="H10" s="394"/>
    </row>
    <row r="11" spans="1:14">
      <c r="A11" s="981"/>
      <c r="B11" s="636" t="s">
        <v>8</v>
      </c>
      <c r="C11" s="637"/>
      <c r="D11" s="10" t="str">
        <f>+IF(C11&gt;0,"","Утга нөхөх")</f>
        <v>Утга нөхөх</v>
      </c>
      <c r="E11" s="10"/>
      <c r="F11" s="10"/>
      <c r="H11" s="38" t="s">
        <v>9</v>
      </c>
    </row>
    <row r="12" spans="1:14">
      <c r="A12" s="981"/>
      <c r="B12" s="636" t="s">
        <v>553</v>
      </c>
      <c r="C12" s="637"/>
      <c r="D12" s="10"/>
      <c r="E12" s="10"/>
      <c r="F12" s="10"/>
      <c r="H12" s="394" t="s">
        <v>11</v>
      </c>
    </row>
    <row r="13" spans="1:14">
      <c r="A13" s="981"/>
      <c r="B13" s="636" t="s">
        <v>10</v>
      </c>
      <c r="C13" s="637"/>
      <c r="F13" s="10"/>
      <c r="H13" s="394"/>
    </row>
    <row r="14" spans="1:14">
      <c r="A14" s="981"/>
      <c r="B14" s="636" t="s">
        <v>38</v>
      </c>
      <c r="C14" s="637"/>
      <c r="D14" s="10" t="str">
        <f>IF(GB!H11&gt;0,IF(Statistic!C14&gt;0,"","Утга нөхөх"),"")</f>
        <v/>
      </c>
      <c r="E14" s="10"/>
      <c r="F14" s="10"/>
      <c r="H14" s="394"/>
    </row>
    <row r="15" spans="1:14">
      <c r="A15" s="981"/>
      <c r="B15" s="636" t="s">
        <v>39</v>
      </c>
      <c r="C15" s="637"/>
      <c r="D15" s="10" t="str">
        <f>IF(GB!H75&gt;0,IF(Statistic!C15&gt;0,"","Утга нөхөх"),"")</f>
        <v/>
      </c>
      <c r="E15" s="10"/>
      <c r="F15" s="10"/>
      <c r="H15" s="38"/>
    </row>
    <row r="16" spans="1:14">
      <c r="A16" s="977">
        <v>2</v>
      </c>
      <c r="B16" s="655" t="s">
        <v>707</v>
      </c>
      <c r="C16" s="654">
        <f>SUM(C17:C19)</f>
        <v>0</v>
      </c>
      <c r="D16" s="10" t="str">
        <f>+IF(C10&gt;=C23,"","Зээлдэгчдийн насжилтын судалгааг нөхнө үү")</f>
        <v/>
      </c>
      <c r="E16" s="10" t="str">
        <f>IF(C10&gt;=C16,"","Зөвхөн зээлдэгчдийн тоог оруулна уу!")</f>
        <v/>
      </c>
      <c r="F16" s="10"/>
      <c r="H16" s="38"/>
      <c r="N16" s="10" t="str">
        <f>IF(GB!D694&gt;0,IF(Statistic!C16&gt;0,"","Зээлдэгчдийн тоог нөхнө үү!"),"")</f>
        <v/>
      </c>
    </row>
    <row r="17" spans="1:6">
      <c r="A17" s="977"/>
      <c r="B17" s="638" t="s">
        <v>12</v>
      </c>
      <c r="C17" s="639"/>
      <c r="D17" s="10"/>
      <c r="F17" s="10"/>
    </row>
    <row r="18" spans="1:6">
      <c r="A18" s="977"/>
      <c r="B18" s="638" t="s">
        <v>608</v>
      </c>
      <c r="C18" s="639"/>
      <c r="F18" s="10"/>
    </row>
    <row r="19" spans="1:6">
      <c r="A19" s="977"/>
      <c r="B19" s="664" t="s">
        <v>127</v>
      </c>
      <c r="C19" s="665">
        <f>SUM(C20:C22)</f>
        <v>0</v>
      </c>
      <c r="F19" s="10"/>
    </row>
    <row r="20" spans="1:6">
      <c r="A20" s="977"/>
      <c r="B20" s="638" t="s">
        <v>13</v>
      </c>
      <c r="C20" s="639"/>
      <c r="F20" s="10"/>
    </row>
    <row r="21" spans="1:6">
      <c r="A21" s="977"/>
      <c r="B21" s="638" t="s">
        <v>14</v>
      </c>
      <c r="C21" s="639"/>
      <c r="F21" s="10"/>
    </row>
    <row r="22" spans="1:6">
      <c r="A22" s="977"/>
      <c r="B22" s="638" t="s">
        <v>15</v>
      </c>
      <c r="C22" s="639"/>
      <c r="F22" s="10"/>
    </row>
    <row r="23" spans="1:6" ht="13.5">
      <c r="A23" s="977">
        <v>3</v>
      </c>
      <c r="B23" s="656" t="s">
        <v>1473</v>
      </c>
      <c r="C23" s="654">
        <f>SUM(C24:C27)</f>
        <v>0</v>
      </c>
      <c r="D23" s="10" t="str">
        <f>+IF(C23=C28,"","Зээлдэгчдийн боловсролын судалгааг нөхнө үү")</f>
        <v/>
      </c>
      <c r="E23" s="10"/>
      <c r="F23" s="10"/>
    </row>
    <row r="24" spans="1:6">
      <c r="A24" s="977"/>
      <c r="B24" s="640" t="s">
        <v>16</v>
      </c>
      <c r="C24" s="639"/>
      <c r="F24" s="10"/>
    </row>
    <row r="25" spans="1:6">
      <c r="A25" s="977"/>
      <c r="B25" s="640" t="s">
        <v>17</v>
      </c>
      <c r="C25" s="639"/>
      <c r="F25" s="10"/>
    </row>
    <row r="26" spans="1:6">
      <c r="A26" s="977"/>
      <c r="B26" s="638" t="s">
        <v>18</v>
      </c>
      <c r="C26" s="639"/>
      <c r="F26" s="10"/>
    </row>
    <row r="27" spans="1:6">
      <c r="A27" s="977"/>
      <c r="B27" s="638" t="s">
        <v>19</v>
      </c>
      <c r="C27" s="639"/>
      <c r="F27" s="10"/>
    </row>
    <row r="28" spans="1:6" ht="13.5">
      <c r="A28" s="977">
        <v>4</v>
      </c>
      <c r="B28" s="656" t="s">
        <v>1474</v>
      </c>
      <c r="C28" s="654">
        <f>SUM(C29:C33)</f>
        <v>0</v>
      </c>
      <c r="D28" s="10" t="str">
        <f>IF(SUM(C24:C27)=SUM(C29:C33),"","Зээлдэгчдийн насжилт болон боловсролын утга тэнцүү байх шаардлагатай")</f>
        <v/>
      </c>
      <c r="F28" s="10"/>
    </row>
    <row r="29" spans="1:6">
      <c r="A29" s="977"/>
      <c r="B29" s="641" t="s">
        <v>20</v>
      </c>
      <c r="C29" s="639"/>
      <c r="F29" s="10"/>
    </row>
    <row r="30" spans="1:6">
      <c r="A30" s="977"/>
      <c r="B30" s="641" t="s">
        <v>21</v>
      </c>
      <c r="C30" s="639"/>
      <c r="F30" s="10"/>
    </row>
    <row r="31" spans="1:6">
      <c r="A31" s="977"/>
      <c r="B31" s="641" t="s">
        <v>22</v>
      </c>
      <c r="C31" s="639"/>
      <c r="F31" s="10"/>
    </row>
    <row r="32" spans="1:6">
      <c r="A32" s="977"/>
      <c r="B32" s="641" t="s">
        <v>23</v>
      </c>
      <c r="C32" s="639"/>
      <c r="F32" s="10"/>
    </row>
    <row r="33" spans="1:6">
      <c r="A33" s="977"/>
      <c r="B33" s="641" t="s">
        <v>24</v>
      </c>
      <c r="C33" s="639"/>
    </row>
    <row r="34" spans="1:6">
      <c r="A34" s="660" t="s">
        <v>25</v>
      </c>
      <c r="B34" s="978" t="s">
        <v>26</v>
      </c>
      <c r="C34" s="978"/>
    </row>
    <row r="35" spans="1:6">
      <c r="A35" s="979">
        <v>7</v>
      </c>
      <c r="B35" s="657" t="s">
        <v>27</v>
      </c>
      <c r="C35" s="658"/>
      <c r="D35" s="10" t="str">
        <f>+IF(C35&gt;0,"","Утга нөхөх")</f>
        <v>Утга нөхөх</v>
      </c>
      <c r="E35" s="10"/>
    </row>
    <row r="36" spans="1:6">
      <c r="A36" s="979"/>
      <c r="B36" s="642" t="s">
        <v>28</v>
      </c>
      <c r="C36" s="643"/>
      <c r="D36" s="10" t="str">
        <f>+IF(C36&gt;0,IF(C36&lt;=C35,"","Зөвхөн эмэгтэй ажилтнуудын тоог оруулна уу!"),"Утга нөхөх")</f>
        <v>Утга нөхөх</v>
      </c>
      <c r="E36" s="10"/>
    </row>
    <row r="37" spans="1:6">
      <c r="A37" s="973">
        <v>9</v>
      </c>
      <c r="B37" s="655" t="s">
        <v>30</v>
      </c>
      <c r="C37" s="644"/>
      <c r="D37" s="10" t="str">
        <f>+IF(C37&gt;0,"","Сонгох")</f>
        <v>Сонгох</v>
      </c>
      <c r="E37" s="10"/>
    </row>
    <row r="38" spans="1:6">
      <c r="A38" s="973"/>
      <c r="B38" s="645" t="s">
        <v>35</v>
      </c>
      <c r="C38" s="646"/>
      <c r="D38" s="10" t="str">
        <f>+IF(C38&gt;0,"","Утга нөхөх")</f>
        <v>Утга нөхөх</v>
      </c>
      <c r="E38" s="10"/>
    </row>
    <row r="39" spans="1:6">
      <c r="A39" s="973"/>
      <c r="B39" s="645" t="s">
        <v>36</v>
      </c>
      <c r="C39" s="646"/>
      <c r="D39" s="10" t="str">
        <f>+IF(C39&gt;0,"","Утга нөхөх")</f>
        <v>Утга нөхөх</v>
      </c>
      <c r="E39" s="10"/>
    </row>
    <row r="40" spans="1:6">
      <c r="A40" s="973">
        <v>10</v>
      </c>
      <c r="B40" s="980" t="s">
        <v>594</v>
      </c>
      <c r="C40" s="980"/>
      <c r="D40" s="10"/>
      <c r="E40" s="10"/>
    </row>
    <row r="41" spans="1:6">
      <c r="A41" s="973"/>
      <c r="B41" s="481" t="s">
        <v>37</v>
      </c>
      <c r="C41" s="647"/>
      <c r="D41" s="10" t="str">
        <f>IF(C41&gt;200000,"","Заавал нөхнө үү!")</f>
        <v>Заавал нөхнө үү!</v>
      </c>
      <c r="E41" s="10"/>
    </row>
    <row r="42" spans="1:6" ht="15">
      <c r="A42" s="973"/>
      <c r="B42" s="481" t="s">
        <v>668</v>
      </c>
      <c r="C42" s="648"/>
      <c r="D42" s="10" t="str">
        <f>IF(C42&gt;0,"","Утга нөхөх")</f>
        <v>Утга нөхөх</v>
      </c>
      <c r="E42" s="10"/>
    </row>
    <row r="43" spans="1:6">
      <c r="A43" s="973"/>
      <c r="B43" s="481" t="s">
        <v>582</v>
      </c>
      <c r="C43" s="647"/>
      <c r="D43" s="10" t="str">
        <f>IF(C43&gt;80000000,"","Заавал нөхнө үү!")</f>
        <v>Заавал нөхнө үү!</v>
      </c>
      <c r="E43" s="10"/>
    </row>
    <row r="44" spans="1:6">
      <c r="A44" s="666">
        <v>15</v>
      </c>
      <c r="B44" s="659" t="s">
        <v>1490</v>
      </c>
      <c r="C44" s="649"/>
      <c r="D44" s="10" t="str">
        <f>+IF(C44&gt;0,"","Утга нөхөх")</f>
        <v>Утга нөхөх</v>
      </c>
      <c r="E44" s="10"/>
      <c r="F44" s="20"/>
    </row>
    <row r="45" spans="1:6">
      <c r="A45" s="666">
        <v>16</v>
      </c>
      <c r="B45" s="659" t="s">
        <v>1492</v>
      </c>
      <c r="C45" s="649"/>
      <c r="D45" s="10" t="str">
        <f>+IF(C45&gt;0,"","Утга нөхөх")</f>
        <v>Утга нөхөх</v>
      </c>
      <c r="E45" s="10"/>
      <c r="F45" s="20"/>
    </row>
    <row r="46" spans="1:6">
      <c r="A46" s="974">
        <v>17</v>
      </c>
      <c r="B46" s="975" t="s">
        <v>31</v>
      </c>
      <c r="C46" s="975"/>
    </row>
    <row r="47" spans="1:6">
      <c r="A47" s="974"/>
      <c r="B47" s="650" t="s">
        <v>583</v>
      </c>
      <c r="C47" s="651"/>
      <c r="D47" s="10" t="str">
        <f>IF(C47&gt;0,IF(C50&gt;0,"","C50 нүдэнд харгалзах дүнг оруулна уу"),"")</f>
        <v/>
      </c>
      <c r="E47" s="10"/>
    </row>
    <row r="48" spans="1:6">
      <c r="A48" s="974"/>
      <c r="B48" s="650" t="s">
        <v>584</v>
      </c>
      <c r="C48" s="651"/>
      <c r="D48" s="10" t="str">
        <f>IF(C48&gt;0,IF(C51&gt;0,"","C51 нүдэнд харгалзах дүнг оруулна уу"),"")</f>
        <v/>
      </c>
      <c r="E48" s="10"/>
    </row>
    <row r="49" spans="1:7">
      <c r="A49" s="974"/>
      <c r="B49" s="975" t="s">
        <v>32</v>
      </c>
      <c r="C49" s="975"/>
      <c r="D49" s="10"/>
      <c r="E49" s="10"/>
    </row>
    <row r="50" spans="1:7">
      <c r="A50" s="974"/>
      <c r="B50" s="650" t="s">
        <v>585</v>
      </c>
      <c r="C50" s="652"/>
      <c r="D50" s="10"/>
      <c r="E50" s="10"/>
    </row>
    <row r="51" spans="1:7">
      <c r="A51" s="974"/>
      <c r="B51" s="650" t="s">
        <v>586</v>
      </c>
      <c r="C51" s="652"/>
      <c r="D51" s="10"/>
      <c r="E51" s="10"/>
    </row>
    <row r="52" spans="1:7" ht="25.5">
      <c r="A52" s="667">
        <v>18</v>
      </c>
      <c r="B52" s="662" t="s">
        <v>1472</v>
      </c>
      <c r="C52" s="663"/>
      <c r="D52" s="10" t="str">
        <f>+IF(C52&gt;0,"","Утга нөхөх")</f>
        <v>Утга нөхөх</v>
      </c>
      <c r="E52" s="10"/>
    </row>
    <row r="53" spans="1:7">
      <c r="A53" s="28"/>
      <c r="B53" s="29"/>
      <c r="C53" s="402"/>
      <c r="D53" s="10"/>
      <c r="E53" s="10"/>
    </row>
    <row r="54" spans="1:7">
      <c r="A54" s="28"/>
      <c r="B54" s="29"/>
      <c r="C54" s="402"/>
      <c r="D54" s="10"/>
      <c r="E54" s="10"/>
    </row>
    <row r="55" spans="1:7">
      <c r="A55" s="28"/>
      <c r="B55" s="29"/>
      <c r="C55" s="11"/>
    </row>
    <row r="56" spans="1:7">
      <c r="A56" s="976" t="s">
        <v>33</v>
      </c>
      <c r="B56" s="976"/>
      <c r="C56" s="12"/>
      <c r="D56" s="12"/>
      <c r="E56" s="12"/>
      <c r="F56" s="13"/>
      <c r="G56" s="14"/>
    </row>
    <row r="57" spans="1:7">
      <c r="A57" s="15"/>
      <c r="B57" s="30"/>
      <c r="C57" s="12"/>
      <c r="D57" s="12"/>
      <c r="E57" s="12"/>
      <c r="F57" s="13"/>
      <c r="G57" s="14"/>
    </row>
    <row r="58" spans="1:7">
      <c r="A58" s="17" t="s">
        <v>34</v>
      </c>
      <c r="B58" s="17"/>
      <c r="C58" s="18"/>
      <c r="F58" s="13"/>
      <c r="G58" s="14"/>
    </row>
    <row r="59" spans="1:7">
      <c r="A59" s="27"/>
      <c r="B59" s="16"/>
      <c r="C59" s="12"/>
      <c r="D59" s="12"/>
      <c r="E59" s="12"/>
      <c r="F59" s="13"/>
      <c r="G59" s="14"/>
    </row>
    <row r="60" spans="1:7">
      <c r="A60" s="27"/>
      <c r="B60" s="972" t="s">
        <v>1484</v>
      </c>
      <c r="C60" s="972"/>
    </row>
    <row r="61" spans="1:7">
      <c r="A61" s="27"/>
      <c r="B61" s="19"/>
      <c r="C61" s="19"/>
    </row>
    <row r="62" spans="1:7">
      <c r="A62" s="27"/>
      <c r="B62" s="972" t="s">
        <v>1485</v>
      </c>
      <c r="C62" s="972"/>
    </row>
    <row r="63" spans="1:7">
      <c r="A63" s="27"/>
      <c r="B63" s="19"/>
      <c r="C63" s="19"/>
    </row>
    <row r="64" spans="1:7">
      <c r="A64" s="27"/>
      <c r="B64" s="972"/>
      <c r="C64" s="972"/>
    </row>
  </sheetData>
  <sheetProtection algorithmName="SHA-512" hashValue="oyVGfyzx5PNgv8pH0y1CpHjdrKiLFHqFfklLRcNDT+peRURvQJLU2tOteGkfzuoUn9Hxhp39eYs4EchNtdU+IQ==" saltValue="z6RQdpgnVcdWVq03OKZOPg==" spinCount="100000" sheet="1" objects="1" scenarios="1"/>
  <mergeCells count="21">
    <mergeCell ref="A10:A15"/>
    <mergeCell ref="A2:C2"/>
    <mergeCell ref="A3:C3"/>
    <mergeCell ref="A4:C4"/>
    <mergeCell ref="A7:B7"/>
    <mergeCell ref="B9:C9"/>
    <mergeCell ref="A16:A22"/>
    <mergeCell ref="A23:A27"/>
    <mergeCell ref="A28:A33"/>
    <mergeCell ref="B60:C60"/>
    <mergeCell ref="B34:C34"/>
    <mergeCell ref="A35:A36"/>
    <mergeCell ref="B40:C40"/>
    <mergeCell ref="B62:C62"/>
    <mergeCell ref="B64:C64"/>
    <mergeCell ref="A37:A39"/>
    <mergeCell ref="A40:A43"/>
    <mergeCell ref="A46:A51"/>
    <mergeCell ref="B46:C46"/>
    <mergeCell ref="B49:C49"/>
    <mergeCell ref="A56:B56"/>
  </mergeCells>
  <dataValidations count="17">
    <dataValidation type="list" allowBlank="1" showInputMessage="1" showErrorMessage="1" errorTitle="Сонгох" error="Тохирох утгыг сонгох_x000a_" prompt="Заавал сонгоно уу." sqref="C37"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6" xr:uid="{00000000-0002-0000-0100-000001000000}">
      <formula1>0</formula1>
      <formula2>C35</formula2>
    </dataValidation>
    <dataValidation type="whole" allowBlank="1" showInputMessage="1" showErrorMessage="1" error="СМА-д хүргүүлсэн гүйлгээний ТООг оруулна уу" sqref="C47:C48"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0" xr:uid="{00000000-0002-0000-0100-000003000000}">
      <formula1>20000000</formula1>
      <formula2>1E+37</formula2>
    </dataValidation>
    <dataValidation type="decimal" allowBlank="1" showInputMessage="1" showErrorMessage="1" error="Сэжигтэй гүйлгээний ДҮНг оруулна уу." sqref="C51"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7 C29:C33"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2" xr:uid="{068D80A5-8805-4F1F-893E-382566FB5574}"/>
    <dataValidation allowBlank="1" showInputMessage="1" showErrorMessage="1" prompt="Тайлангийн талаар асууж тодруулах тул тайлан гаргасан ажилтны гар утасны дугаарыг оруулна уу." sqref="C43"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2" xr:uid="{04DE4E8F-3674-458F-81C1-4BC2B91DA430}"/>
  </dataValidations>
  <pageMargins left="0.7" right="0.7" top="0.75" bottom="0.75" header="0.3" footer="0.3"/>
  <pageSetup paperSize="9" scale="4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90" bestFit="1" customWidth="1"/>
    <col min="4" max="4" width="18.85546875" style="3" bestFit="1" customWidth="1"/>
    <col min="5" max="5" width="11.7109375" style="3" bestFit="1" customWidth="1"/>
    <col min="6" max="6" width="20.28515625" style="90" bestFit="1" customWidth="1"/>
    <col min="7" max="7" width="18.28515625" style="90" customWidth="1"/>
    <col min="8" max="8" width="17.7109375" style="134" customWidth="1"/>
    <col min="9" max="9" width="16.7109375" style="91" bestFit="1" customWidth="1"/>
    <col min="10" max="16384" width="9.140625" style="3"/>
  </cols>
  <sheetData>
    <row r="2" spans="1:9">
      <c r="A2" s="982" t="s">
        <v>449</v>
      </c>
      <c r="B2" s="982"/>
      <c r="C2" s="982"/>
      <c r="D2" s="982"/>
      <c r="E2" s="982"/>
      <c r="F2" s="982"/>
      <c r="G2" s="982"/>
      <c r="H2" s="982"/>
      <c r="I2" s="982"/>
    </row>
    <row r="3" spans="1:9">
      <c r="A3" s="990" t="str">
        <f>+GB!A3</f>
        <v xml:space="preserve">БАНК БУС САНХҮҮГИЙН БАЙГУУЛЛАГЫН НЭР </v>
      </c>
      <c r="B3" s="990"/>
      <c r="C3" s="990"/>
      <c r="D3" s="990"/>
      <c r="E3" s="990"/>
      <c r="F3" s="990"/>
      <c r="G3" s="990"/>
      <c r="H3" s="990"/>
      <c r="I3" s="990"/>
    </row>
    <row r="4" spans="1:9">
      <c r="A4" s="982" t="str">
        <f>+GB!A4</f>
        <v>БАНК БУС САНХҮҮГИЙН БАЙГУУЛЛАГА</v>
      </c>
      <c r="B4" s="982"/>
      <c r="C4" s="982"/>
      <c r="D4" s="982"/>
      <c r="E4" s="982"/>
      <c r="F4" s="982"/>
      <c r="G4" s="982"/>
      <c r="H4" s="982"/>
      <c r="I4" s="982"/>
    </row>
    <row r="5" spans="1:9" ht="15.75" customHeight="1">
      <c r="A5" s="1128">
        <f>+GB!A6</f>
        <v>45716</v>
      </c>
      <c r="B5" s="1128"/>
      <c r="H5" s="1132" t="s">
        <v>41</v>
      </c>
      <c r="I5" s="1132"/>
    </row>
    <row r="6" spans="1:9" ht="38.25">
      <c r="A6" s="82" t="s">
        <v>2</v>
      </c>
      <c r="B6" s="82" t="s">
        <v>450</v>
      </c>
      <c r="C6" s="214" t="s">
        <v>451</v>
      </c>
      <c r="D6" s="82" t="s">
        <v>452</v>
      </c>
      <c r="E6" s="82" t="s">
        <v>453</v>
      </c>
      <c r="F6" s="214" t="s">
        <v>454</v>
      </c>
      <c r="G6" s="135" t="s">
        <v>455</v>
      </c>
      <c r="H6" s="136" t="s">
        <v>456</v>
      </c>
      <c r="I6" s="136" t="s">
        <v>297</v>
      </c>
    </row>
    <row r="7" spans="1:9">
      <c r="A7" s="83">
        <v>1</v>
      </c>
      <c r="B7" s="76"/>
      <c r="C7" s="148"/>
      <c r="D7" s="84"/>
      <c r="E7" s="84"/>
      <c r="F7" s="148"/>
      <c r="G7" s="148"/>
      <c r="H7" s="215">
        <f>IF(AND(F7&lt;&gt;"",G7&lt;&gt;""),VALUE(F7/G7),0)</f>
        <v>0</v>
      </c>
      <c r="I7" s="920" t="e">
        <f>+F7/BS!I$96</f>
        <v>#DIV/0!</v>
      </c>
    </row>
    <row r="8" spans="1:9">
      <c r="A8" s="83">
        <v>2</v>
      </c>
      <c r="B8" s="76"/>
      <c r="C8" s="148"/>
      <c r="D8" s="84"/>
      <c r="E8" s="84"/>
      <c r="F8" s="148"/>
      <c r="G8" s="148"/>
      <c r="H8" s="215">
        <f t="shared" ref="H8:H26" si="0">IF(AND(F8&lt;&gt;"",G8&lt;&gt;""),VALUE(F8/G8),0)</f>
        <v>0</v>
      </c>
      <c r="I8" s="920" t="e">
        <f>+F8/BS!I$96</f>
        <v>#DIV/0!</v>
      </c>
    </row>
    <row r="9" spans="1:9">
      <c r="A9" s="83">
        <v>3</v>
      </c>
      <c r="B9" s="76"/>
      <c r="C9" s="148"/>
      <c r="D9" s="84"/>
      <c r="E9" s="84"/>
      <c r="F9" s="148"/>
      <c r="G9" s="148"/>
      <c r="H9" s="215">
        <f t="shared" si="0"/>
        <v>0</v>
      </c>
      <c r="I9" s="920" t="e">
        <f>+F9/BS!I$96</f>
        <v>#DIV/0!</v>
      </c>
    </row>
    <row r="10" spans="1:9">
      <c r="A10" s="83">
        <v>4</v>
      </c>
      <c r="B10" s="76"/>
      <c r="C10" s="148"/>
      <c r="D10" s="84"/>
      <c r="E10" s="84"/>
      <c r="F10" s="148"/>
      <c r="G10" s="148"/>
      <c r="H10" s="215">
        <f t="shared" si="0"/>
        <v>0</v>
      </c>
      <c r="I10" s="920" t="e">
        <f>+F10/BS!I$96</f>
        <v>#DIV/0!</v>
      </c>
    </row>
    <row r="11" spans="1:9">
      <c r="A11" s="83">
        <v>5</v>
      </c>
      <c r="B11" s="76"/>
      <c r="C11" s="148"/>
      <c r="D11" s="84"/>
      <c r="E11" s="84"/>
      <c r="F11" s="148"/>
      <c r="G11" s="148"/>
      <c r="H11" s="215">
        <f t="shared" si="0"/>
        <v>0</v>
      </c>
      <c r="I11" s="920" t="e">
        <f>+F11/BS!I$96</f>
        <v>#DIV/0!</v>
      </c>
    </row>
    <row r="12" spans="1:9">
      <c r="A12" s="83">
        <v>6</v>
      </c>
      <c r="B12" s="76"/>
      <c r="C12" s="148"/>
      <c r="D12" s="84"/>
      <c r="E12" s="84"/>
      <c r="F12" s="148"/>
      <c r="G12" s="148"/>
      <c r="H12" s="215">
        <f t="shared" si="0"/>
        <v>0</v>
      </c>
      <c r="I12" s="920" t="e">
        <f>+F12/BS!I$96</f>
        <v>#DIV/0!</v>
      </c>
    </row>
    <row r="13" spans="1:9">
      <c r="A13" s="83">
        <v>7</v>
      </c>
      <c r="B13" s="76"/>
      <c r="C13" s="148"/>
      <c r="D13" s="84"/>
      <c r="E13" s="84"/>
      <c r="F13" s="148"/>
      <c r="G13" s="148"/>
      <c r="H13" s="215">
        <f t="shared" si="0"/>
        <v>0</v>
      </c>
      <c r="I13" s="920" t="e">
        <f>+F13/BS!I$96</f>
        <v>#DIV/0!</v>
      </c>
    </row>
    <row r="14" spans="1:9">
      <c r="A14" s="83">
        <v>8</v>
      </c>
      <c r="B14" s="76"/>
      <c r="C14" s="148"/>
      <c r="D14" s="84"/>
      <c r="E14" s="84"/>
      <c r="F14" s="148"/>
      <c r="G14" s="148"/>
      <c r="H14" s="215">
        <f t="shared" si="0"/>
        <v>0</v>
      </c>
      <c r="I14" s="920" t="e">
        <f>+F14/BS!I$96</f>
        <v>#DIV/0!</v>
      </c>
    </row>
    <row r="15" spans="1:9">
      <c r="A15" s="83">
        <v>9</v>
      </c>
      <c r="B15" s="76"/>
      <c r="C15" s="148"/>
      <c r="D15" s="84"/>
      <c r="E15" s="84"/>
      <c r="F15" s="148"/>
      <c r="G15" s="148"/>
      <c r="H15" s="215">
        <f t="shared" si="0"/>
        <v>0</v>
      </c>
      <c r="I15" s="920" t="e">
        <f>+F15/BS!I$96</f>
        <v>#DIV/0!</v>
      </c>
    </row>
    <row r="16" spans="1:9">
      <c r="A16" s="83">
        <v>10</v>
      </c>
      <c r="B16" s="76"/>
      <c r="C16" s="148"/>
      <c r="D16" s="84"/>
      <c r="E16" s="84"/>
      <c r="F16" s="148"/>
      <c r="G16" s="148"/>
      <c r="H16" s="215">
        <f t="shared" si="0"/>
        <v>0</v>
      </c>
      <c r="I16" s="920" t="e">
        <f>+F16/BS!I$96</f>
        <v>#DIV/0!</v>
      </c>
    </row>
    <row r="17" spans="1:9">
      <c r="A17" s="83">
        <v>11</v>
      </c>
      <c r="B17" s="76"/>
      <c r="C17" s="148"/>
      <c r="D17" s="84"/>
      <c r="E17" s="84"/>
      <c r="F17" s="148"/>
      <c r="G17" s="148"/>
      <c r="H17" s="215">
        <f t="shared" si="0"/>
        <v>0</v>
      </c>
      <c r="I17" s="920" t="e">
        <f>+F17/BS!I$96</f>
        <v>#DIV/0!</v>
      </c>
    </row>
    <row r="18" spans="1:9">
      <c r="A18" s="83">
        <v>12</v>
      </c>
      <c r="B18" s="76"/>
      <c r="C18" s="148"/>
      <c r="D18" s="84"/>
      <c r="E18" s="84"/>
      <c r="F18" s="148"/>
      <c r="G18" s="148"/>
      <c r="H18" s="215">
        <f t="shared" si="0"/>
        <v>0</v>
      </c>
      <c r="I18" s="920" t="e">
        <f>+F18/BS!I$96</f>
        <v>#DIV/0!</v>
      </c>
    </row>
    <row r="19" spans="1:9">
      <c r="A19" s="83">
        <v>13</v>
      </c>
      <c r="B19" s="76"/>
      <c r="C19" s="148"/>
      <c r="D19" s="84"/>
      <c r="E19" s="84"/>
      <c r="F19" s="148"/>
      <c r="G19" s="148"/>
      <c r="H19" s="215">
        <f t="shared" si="0"/>
        <v>0</v>
      </c>
      <c r="I19" s="920" t="e">
        <f>+F19/BS!I$96</f>
        <v>#DIV/0!</v>
      </c>
    </row>
    <row r="20" spans="1:9">
      <c r="A20" s="83">
        <v>14</v>
      </c>
      <c r="B20" s="76"/>
      <c r="C20" s="148"/>
      <c r="D20" s="84"/>
      <c r="E20" s="84"/>
      <c r="F20" s="148"/>
      <c r="G20" s="148"/>
      <c r="H20" s="215">
        <f t="shared" si="0"/>
        <v>0</v>
      </c>
      <c r="I20" s="920" t="e">
        <f>+F20/BS!I$96</f>
        <v>#DIV/0!</v>
      </c>
    </row>
    <row r="21" spans="1:9">
      <c r="A21" s="83">
        <v>15</v>
      </c>
      <c r="B21" s="76"/>
      <c r="C21" s="148"/>
      <c r="D21" s="84"/>
      <c r="E21" s="84"/>
      <c r="F21" s="148"/>
      <c r="G21" s="148"/>
      <c r="H21" s="215">
        <f t="shared" si="0"/>
        <v>0</v>
      </c>
      <c r="I21" s="920" t="e">
        <f>+F21/BS!I$96</f>
        <v>#DIV/0!</v>
      </c>
    </row>
    <row r="22" spans="1:9">
      <c r="A22" s="83">
        <v>16</v>
      </c>
      <c r="B22" s="76"/>
      <c r="C22" s="148"/>
      <c r="D22" s="84"/>
      <c r="E22" s="84"/>
      <c r="F22" s="148"/>
      <c r="G22" s="148"/>
      <c r="H22" s="215">
        <f t="shared" si="0"/>
        <v>0</v>
      </c>
      <c r="I22" s="920" t="e">
        <f>+F22/BS!I$96</f>
        <v>#DIV/0!</v>
      </c>
    </row>
    <row r="23" spans="1:9">
      <c r="A23" s="83">
        <v>17</v>
      </c>
      <c r="B23" s="76"/>
      <c r="C23" s="148"/>
      <c r="D23" s="84"/>
      <c r="E23" s="84"/>
      <c r="F23" s="148"/>
      <c r="G23" s="148"/>
      <c r="H23" s="215">
        <f t="shared" si="0"/>
        <v>0</v>
      </c>
      <c r="I23" s="920" t="e">
        <f>+F23/BS!I$96</f>
        <v>#DIV/0!</v>
      </c>
    </row>
    <row r="24" spans="1:9">
      <c r="A24" s="83">
        <v>18</v>
      </c>
      <c r="B24" s="76"/>
      <c r="C24" s="148"/>
      <c r="D24" s="84"/>
      <c r="E24" s="84"/>
      <c r="F24" s="148"/>
      <c r="G24" s="148"/>
      <c r="H24" s="215">
        <f t="shared" si="0"/>
        <v>0</v>
      </c>
      <c r="I24" s="920" t="e">
        <f>+F24/BS!I$96</f>
        <v>#DIV/0!</v>
      </c>
    </row>
    <row r="25" spans="1:9">
      <c r="A25" s="83">
        <v>19</v>
      </c>
      <c r="B25" s="76"/>
      <c r="C25" s="148"/>
      <c r="D25" s="84"/>
      <c r="E25" s="84"/>
      <c r="F25" s="148"/>
      <c r="G25" s="148"/>
      <c r="H25" s="215">
        <f t="shared" si="0"/>
        <v>0</v>
      </c>
      <c r="I25" s="920" t="e">
        <f>+F25/BS!I$96</f>
        <v>#DIV/0!</v>
      </c>
    </row>
    <row r="26" spans="1:9">
      <c r="A26" s="83">
        <v>20</v>
      </c>
      <c r="B26" s="76"/>
      <c r="C26" s="148"/>
      <c r="D26" s="84"/>
      <c r="E26" s="84"/>
      <c r="F26" s="148"/>
      <c r="G26" s="148"/>
      <c r="H26" s="215">
        <f t="shared" si="0"/>
        <v>0</v>
      </c>
      <c r="I26" s="920" t="e">
        <f>+F26/BS!I$96</f>
        <v>#DIV/0!</v>
      </c>
    </row>
    <row r="27" spans="1:9">
      <c r="A27" s="1187" t="s">
        <v>298</v>
      </c>
      <c r="B27" s="1187"/>
      <c r="C27" s="149">
        <f>+SUM(C7:C26)</f>
        <v>0</v>
      </c>
      <c r="D27" s="85"/>
      <c r="E27" s="85"/>
      <c r="F27" s="216">
        <f>+SUM(F7:F26)</f>
        <v>0</v>
      </c>
      <c r="G27" s="216">
        <f>+SUM(G7:G26)</f>
        <v>0</v>
      </c>
      <c r="H27" s="217">
        <f>SUM(H7:H26)</f>
        <v>0</v>
      </c>
      <c r="I27" s="921" t="e">
        <f>SUM(I7:I26)</f>
        <v>#DIV/0!</v>
      </c>
    </row>
    <row r="28" spans="1:9" ht="15.75" customHeight="1">
      <c r="A28" s="1188" t="s">
        <v>457</v>
      </c>
      <c r="B28" s="1188"/>
      <c r="C28" s="1188"/>
      <c r="D28" s="1188"/>
      <c r="E28" s="1188"/>
      <c r="F28" s="218">
        <f>MAX(F7:F26)</f>
        <v>0</v>
      </c>
      <c r="G28" s="218">
        <f>+MAX(G7:G26)</f>
        <v>0</v>
      </c>
      <c r="H28" s="217">
        <f>MAX(H7:H26)</f>
        <v>0</v>
      </c>
      <c r="I28" s="921" t="e">
        <f>+MAX(I7:I26)</f>
        <v>#DIV/0!</v>
      </c>
    </row>
    <row r="29" spans="1:9">
      <c r="A29" s="86"/>
      <c r="B29" s="86"/>
      <c r="C29" s="86"/>
      <c r="D29" s="86"/>
      <c r="E29" s="86"/>
      <c r="F29" s="219"/>
      <c r="G29" s="220"/>
      <c r="H29" s="221"/>
      <c r="I29" s="222"/>
    </row>
    <row r="30" spans="1:9">
      <c r="B30" s="34" t="s">
        <v>33</v>
      </c>
      <c r="C30" s="3"/>
      <c r="D30" s="93"/>
      <c r="E30" s="92"/>
      <c r="F30" s="13"/>
      <c r="G30" s="14"/>
    </row>
    <row r="31" spans="1:9">
      <c r="C31" s="34"/>
      <c r="D31" s="93"/>
      <c r="E31" s="92"/>
      <c r="F31" s="13"/>
      <c r="G31" s="14"/>
    </row>
    <row r="32" spans="1:9">
      <c r="C32" s="1028" t="s">
        <v>122</v>
      </c>
      <c r="D32" s="1028"/>
      <c r="E32" s="94"/>
      <c r="F32" s="17"/>
      <c r="G32" s="3"/>
    </row>
    <row r="33" spans="3:8">
      <c r="C33" s="16"/>
      <c r="D33" s="93"/>
      <c r="E33" s="92"/>
      <c r="F33" s="13"/>
      <c r="G33" s="14"/>
    </row>
    <row r="34" spans="3:8">
      <c r="C34" s="126"/>
      <c r="D34" s="126" t="str">
        <f>+Statistic!B60</f>
        <v>ГҮЙЦЭТГЭХ ЗАХИРАЛ.......................//</v>
      </c>
      <c r="E34" s="126"/>
      <c r="F34" s="126"/>
      <c r="G34" s="126"/>
      <c r="H34" s="126"/>
    </row>
    <row r="35" spans="3:8">
      <c r="C35" s="95"/>
      <c r="D35" s="95"/>
      <c r="E35" s="95"/>
      <c r="F35" s="95"/>
      <c r="G35" s="95"/>
    </row>
    <row r="36" spans="3:8">
      <c r="C36" s="126"/>
      <c r="D36" s="126" t="str">
        <f>+Statistic!B62</f>
        <v>ЕРӨНХИЙ НЯГТЛАН БОДОГЧ...................................................//</v>
      </c>
      <c r="E36" s="126"/>
      <c r="F36" s="126"/>
      <c r="G36" s="126"/>
      <c r="H36" s="126"/>
    </row>
    <row r="37" spans="3:8">
      <c r="C37" s="95"/>
      <c r="D37" s="95"/>
      <c r="E37" s="95"/>
      <c r="F37" s="95"/>
      <c r="G37" s="95"/>
    </row>
    <row r="38" spans="3:8">
      <c r="C38" s="126"/>
      <c r="D38" s="126"/>
      <c r="E38" s="126"/>
      <c r="F38" s="126"/>
      <c r="G38" s="126"/>
      <c r="H38" s="126"/>
    </row>
  </sheetData>
  <sheetProtection algorithmName="SHA-512" hashValue="F27TAHdggxpNsubGRKz3Jb94UJLA3OB+pTx0Lt60Bctj93Ww+HEkMtzq76Tb1JrNpAWsHIxItrr4GO+lyo1Bdw==" saltValue="aaNZ99os62EUrzxKlxu5MA=="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D7:E26" xr:uid="{38E56722-1764-42CF-9BE6-25F0D3044921}">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90" customWidth="1"/>
    <col min="5" max="5" width="10.85546875" style="91" customWidth="1"/>
    <col min="6" max="6" width="11.140625" style="3" bestFit="1" customWidth="1"/>
    <col min="7" max="7" width="13.5703125" style="3" bestFit="1" customWidth="1"/>
    <col min="8" max="8" width="14.85546875" style="3" customWidth="1"/>
    <col min="9" max="9" width="14.28515625" style="3" bestFit="1" customWidth="1"/>
    <col min="10" max="10" width="14.42578125" style="90" bestFit="1" customWidth="1"/>
    <col min="11" max="11" width="14.42578125" style="90" customWidth="1"/>
    <col min="12" max="12" width="15.7109375" style="90" customWidth="1"/>
    <col min="13" max="13" width="9.140625" style="91"/>
    <col min="14" max="16384" width="9.140625" style="3"/>
  </cols>
  <sheetData>
    <row r="2" spans="1:13">
      <c r="A2" s="982" t="s">
        <v>340</v>
      </c>
      <c r="B2" s="982"/>
      <c r="C2" s="982"/>
      <c r="D2" s="982"/>
      <c r="E2" s="982"/>
      <c r="F2" s="982"/>
      <c r="G2" s="982"/>
      <c r="H2" s="982"/>
      <c r="I2" s="982"/>
      <c r="J2" s="982"/>
      <c r="K2" s="982"/>
      <c r="L2" s="982"/>
    </row>
    <row r="3" spans="1:13">
      <c r="A3" s="990" t="str">
        <f>GB!A3</f>
        <v xml:space="preserve">БАНК БУС САНХҮҮГИЙН БАЙГУУЛЛАГЫН НЭР </v>
      </c>
      <c r="B3" s="990"/>
      <c r="C3" s="990"/>
      <c r="D3" s="990"/>
      <c r="E3" s="990"/>
      <c r="F3" s="990"/>
      <c r="G3" s="990"/>
      <c r="H3" s="990"/>
      <c r="I3" s="990"/>
      <c r="J3" s="990"/>
      <c r="K3" s="990"/>
      <c r="L3" s="990"/>
    </row>
    <row r="4" spans="1:13">
      <c r="A4" s="982" t="str">
        <f>+GB!A4</f>
        <v>БАНК БУС САНХҮҮГИЙН БАЙГУУЛЛАГА</v>
      </c>
      <c r="B4" s="982"/>
      <c r="C4" s="982"/>
      <c r="D4" s="982"/>
      <c r="E4" s="982"/>
      <c r="F4" s="982"/>
      <c r="G4" s="982"/>
      <c r="H4" s="982"/>
      <c r="I4" s="982"/>
      <c r="J4" s="982"/>
      <c r="K4" s="982"/>
      <c r="L4" s="982"/>
    </row>
    <row r="5" spans="1:13">
      <c r="A5" s="1128">
        <f>GB!A6</f>
        <v>45716</v>
      </c>
      <c r="B5" s="1128"/>
      <c r="C5" s="244"/>
      <c r="L5" s="1132" t="s">
        <v>41</v>
      </c>
      <c r="M5" s="1132"/>
    </row>
    <row r="6" spans="1:13">
      <c r="A6" s="1163" t="s">
        <v>2</v>
      </c>
      <c r="B6" s="1191" t="s">
        <v>705</v>
      </c>
      <c r="C6" s="1192"/>
      <c r="D6" s="1157" t="s">
        <v>341</v>
      </c>
      <c r="E6" s="1175" t="s">
        <v>533</v>
      </c>
      <c r="F6" s="1163" t="s">
        <v>342</v>
      </c>
      <c r="G6" s="1163" t="s">
        <v>290</v>
      </c>
      <c r="H6" s="1163" t="s">
        <v>343</v>
      </c>
      <c r="I6" s="1163" t="s">
        <v>344</v>
      </c>
      <c r="J6" s="1157" t="s">
        <v>345</v>
      </c>
      <c r="K6" s="1157" t="s">
        <v>346</v>
      </c>
      <c r="L6" s="1157" t="s">
        <v>347</v>
      </c>
      <c r="M6" s="1193" t="s">
        <v>297</v>
      </c>
    </row>
    <row r="7" spans="1:13">
      <c r="A7" s="1164"/>
      <c r="B7" s="247" t="s">
        <v>530</v>
      </c>
      <c r="C7" s="247" t="s">
        <v>531</v>
      </c>
      <c r="D7" s="1158"/>
      <c r="E7" s="1176"/>
      <c r="F7" s="1164"/>
      <c r="G7" s="1164"/>
      <c r="H7" s="1164"/>
      <c r="I7" s="1164"/>
      <c r="J7" s="1158"/>
      <c r="K7" s="1158"/>
      <c r="L7" s="1158"/>
      <c r="M7" s="1194"/>
    </row>
    <row r="8" spans="1:13">
      <c r="A8" s="212">
        <v>1</v>
      </c>
      <c r="B8" s="76"/>
      <c r="C8" s="76"/>
      <c r="D8" s="148"/>
      <c r="E8" s="208"/>
      <c r="F8" s="77"/>
      <c r="G8" s="77"/>
      <c r="H8" s="77"/>
      <c r="I8" s="76"/>
      <c r="J8" s="209"/>
      <c r="K8" s="148"/>
      <c r="L8" s="148"/>
      <c r="M8" s="920" t="e">
        <f>+K8/BS!I$96</f>
        <v>#DIV/0!</v>
      </c>
    </row>
    <row r="9" spans="1:13">
      <c r="A9" s="212">
        <v>2</v>
      </c>
      <c r="B9" s="76"/>
      <c r="C9" s="76"/>
      <c r="D9" s="148"/>
      <c r="E9" s="208"/>
      <c r="F9" s="77"/>
      <c r="G9" s="77"/>
      <c r="H9" s="77"/>
      <c r="I9" s="76"/>
      <c r="J9" s="209"/>
      <c r="K9" s="148"/>
      <c r="L9" s="148"/>
      <c r="M9" s="920" t="e">
        <f>+K9/BS!I$96*100%</f>
        <v>#DIV/0!</v>
      </c>
    </row>
    <row r="10" spans="1:13">
      <c r="A10" s="212">
        <v>3</v>
      </c>
      <c r="B10" s="76"/>
      <c r="C10" s="76"/>
      <c r="D10" s="148"/>
      <c r="E10" s="208"/>
      <c r="F10" s="77"/>
      <c r="G10" s="77"/>
      <c r="H10" s="77"/>
      <c r="I10" s="76"/>
      <c r="J10" s="209"/>
      <c r="K10" s="148"/>
      <c r="L10" s="148"/>
      <c r="M10" s="920" t="e">
        <f>+K10/BS!I$96*100%</f>
        <v>#DIV/0!</v>
      </c>
    </row>
    <row r="11" spans="1:13">
      <c r="A11" s="212">
        <v>4</v>
      </c>
      <c r="B11" s="76"/>
      <c r="C11" s="76"/>
      <c r="D11" s="148"/>
      <c r="E11" s="208"/>
      <c r="F11" s="77"/>
      <c r="G11" s="77"/>
      <c r="H11" s="77"/>
      <c r="I11" s="76"/>
      <c r="J11" s="209"/>
      <c r="K11" s="148"/>
      <c r="L11" s="148"/>
      <c r="M11" s="920" t="e">
        <f>+K11/BS!I$96*100%</f>
        <v>#DIV/0!</v>
      </c>
    </row>
    <row r="12" spans="1:13">
      <c r="A12" s="212">
        <v>5</v>
      </c>
      <c r="B12" s="76"/>
      <c r="C12" s="76"/>
      <c r="D12" s="148"/>
      <c r="E12" s="208"/>
      <c r="F12" s="77"/>
      <c r="G12" s="77"/>
      <c r="H12" s="77"/>
      <c r="I12" s="76"/>
      <c r="J12" s="209"/>
      <c r="K12" s="148"/>
      <c r="L12" s="148"/>
      <c r="M12" s="920" t="e">
        <f>+K12/BS!I$96*100%</f>
        <v>#DIV/0!</v>
      </c>
    </row>
    <row r="13" spans="1:13">
      <c r="A13" s="212">
        <v>6</v>
      </c>
      <c r="B13" s="76"/>
      <c r="C13" s="76"/>
      <c r="D13" s="148"/>
      <c r="E13" s="208"/>
      <c r="F13" s="77"/>
      <c r="G13" s="77"/>
      <c r="H13" s="77"/>
      <c r="I13" s="76"/>
      <c r="J13" s="209"/>
      <c r="K13" s="148"/>
      <c r="L13" s="148"/>
      <c r="M13" s="920" t="e">
        <f>+K13/BS!I$96*100%</f>
        <v>#DIV/0!</v>
      </c>
    </row>
    <row r="14" spans="1:13">
      <c r="A14" s="212">
        <v>7</v>
      </c>
      <c r="B14" s="76"/>
      <c r="C14" s="76"/>
      <c r="D14" s="148"/>
      <c r="E14" s="208"/>
      <c r="F14" s="77"/>
      <c r="G14" s="77"/>
      <c r="H14" s="77"/>
      <c r="I14" s="76"/>
      <c r="J14" s="209"/>
      <c r="K14" s="148"/>
      <c r="L14" s="148"/>
      <c r="M14" s="920" t="e">
        <f>+K14/BS!I$96*100%</f>
        <v>#DIV/0!</v>
      </c>
    </row>
    <row r="15" spans="1:13">
      <c r="A15" s="212">
        <v>8</v>
      </c>
      <c r="B15" s="76"/>
      <c r="C15" s="76"/>
      <c r="D15" s="148"/>
      <c r="E15" s="208"/>
      <c r="F15" s="77"/>
      <c r="G15" s="77"/>
      <c r="H15" s="77"/>
      <c r="I15" s="76"/>
      <c r="J15" s="209"/>
      <c r="K15" s="148"/>
      <c r="L15" s="148"/>
      <c r="M15" s="920" t="e">
        <f>+K15/BS!I$96*100%</f>
        <v>#DIV/0!</v>
      </c>
    </row>
    <row r="16" spans="1:13">
      <c r="A16" s="212">
        <v>9</v>
      </c>
      <c r="B16" s="76"/>
      <c r="C16" s="76"/>
      <c r="D16" s="148"/>
      <c r="E16" s="208"/>
      <c r="F16" s="77"/>
      <c r="G16" s="77"/>
      <c r="H16" s="77"/>
      <c r="I16" s="76"/>
      <c r="J16" s="209"/>
      <c r="K16" s="148"/>
      <c r="L16" s="148"/>
      <c r="M16" s="920" t="e">
        <f>+K16/BS!I$96*100%</f>
        <v>#DIV/0!</v>
      </c>
    </row>
    <row r="17" spans="1:13">
      <c r="A17" s="212">
        <v>10</v>
      </c>
      <c r="B17" s="76"/>
      <c r="C17" s="76"/>
      <c r="D17" s="148"/>
      <c r="E17" s="208"/>
      <c r="F17" s="77"/>
      <c r="G17" s="77"/>
      <c r="H17" s="77"/>
      <c r="I17" s="76"/>
      <c r="J17" s="209"/>
      <c r="K17" s="148"/>
      <c r="L17" s="148"/>
      <c r="M17" s="920" t="e">
        <f>+K17/BS!I$96*100%</f>
        <v>#DIV/0!</v>
      </c>
    </row>
    <row r="18" spans="1:13">
      <c r="A18" s="212">
        <v>11</v>
      </c>
      <c r="B18" s="76"/>
      <c r="C18" s="76"/>
      <c r="D18" s="148"/>
      <c r="E18" s="208"/>
      <c r="F18" s="77"/>
      <c r="G18" s="77"/>
      <c r="H18" s="77"/>
      <c r="I18" s="76"/>
      <c r="J18" s="209"/>
      <c r="K18" s="148"/>
      <c r="L18" s="148"/>
      <c r="M18" s="920" t="e">
        <f>+K18/BS!I$96*100%</f>
        <v>#DIV/0!</v>
      </c>
    </row>
    <row r="19" spans="1:13">
      <c r="A19" s="212">
        <v>12</v>
      </c>
      <c r="B19" s="76"/>
      <c r="C19" s="76"/>
      <c r="D19" s="148"/>
      <c r="E19" s="208"/>
      <c r="F19" s="77"/>
      <c r="G19" s="77"/>
      <c r="H19" s="77"/>
      <c r="I19" s="76"/>
      <c r="J19" s="209"/>
      <c r="K19" s="148"/>
      <c r="L19" s="148"/>
      <c r="M19" s="920" t="e">
        <f>+K19/BS!I$96*100%</f>
        <v>#DIV/0!</v>
      </c>
    </row>
    <row r="20" spans="1:13">
      <c r="A20" s="212">
        <v>13</v>
      </c>
      <c r="B20" s="76"/>
      <c r="C20" s="76"/>
      <c r="D20" s="148"/>
      <c r="E20" s="208"/>
      <c r="F20" s="77"/>
      <c r="G20" s="77"/>
      <c r="H20" s="77"/>
      <c r="I20" s="76"/>
      <c r="J20" s="209"/>
      <c r="K20" s="148"/>
      <c r="L20" s="148"/>
      <c r="M20" s="920" t="e">
        <f>+K20/BS!I$96*100%</f>
        <v>#DIV/0!</v>
      </c>
    </row>
    <row r="21" spans="1:13">
      <c r="A21" s="212">
        <v>14</v>
      </c>
      <c r="B21" s="76"/>
      <c r="C21" s="76"/>
      <c r="D21" s="148"/>
      <c r="E21" s="208"/>
      <c r="F21" s="77"/>
      <c r="G21" s="77"/>
      <c r="H21" s="77"/>
      <c r="I21" s="76"/>
      <c r="J21" s="209"/>
      <c r="K21" s="148"/>
      <c r="L21" s="148"/>
      <c r="M21" s="920" t="e">
        <f>+K21/BS!I$96*100%</f>
        <v>#DIV/0!</v>
      </c>
    </row>
    <row r="22" spans="1:13">
      <c r="A22" s="212">
        <v>15</v>
      </c>
      <c r="B22" s="76"/>
      <c r="C22" s="76"/>
      <c r="D22" s="148"/>
      <c r="E22" s="208"/>
      <c r="F22" s="77"/>
      <c r="G22" s="77"/>
      <c r="H22" s="77"/>
      <c r="I22" s="76"/>
      <c r="J22" s="209"/>
      <c r="K22" s="148"/>
      <c r="L22" s="148"/>
      <c r="M22" s="920" t="e">
        <f>+K22/BS!I$96*100%</f>
        <v>#DIV/0!</v>
      </c>
    </row>
    <row r="23" spans="1:13">
      <c r="A23" s="212">
        <v>16</v>
      </c>
      <c r="B23" s="76"/>
      <c r="C23" s="76"/>
      <c r="D23" s="148"/>
      <c r="E23" s="208"/>
      <c r="F23" s="77"/>
      <c r="G23" s="77"/>
      <c r="H23" s="77"/>
      <c r="I23" s="76"/>
      <c r="J23" s="209"/>
      <c r="K23" s="148"/>
      <c r="L23" s="148"/>
      <c r="M23" s="920" t="e">
        <f>+K23/BS!I$96*100%</f>
        <v>#DIV/0!</v>
      </c>
    </row>
    <row r="24" spans="1:13">
      <c r="A24" s="212">
        <v>17</v>
      </c>
      <c r="B24" s="76"/>
      <c r="C24" s="76"/>
      <c r="D24" s="148"/>
      <c r="E24" s="208"/>
      <c r="F24" s="77"/>
      <c r="G24" s="77"/>
      <c r="H24" s="77"/>
      <c r="I24" s="76"/>
      <c r="J24" s="209"/>
      <c r="K24" s="148"/>
      <c r="L24" s="148"/>
      <c r="M24" s="920" t="e">
        <f>+K24/BS!I$96*100%</f>
        <v>#DIV/0!</v>
      </c>
    </row>
    <row r="25" spans="1:13">
      <c r="A25" s="212">
        <v>18</v>
      </c>
      <c r="B25" s="76"/>
      <c r="C25" s="76"/>
      <c r="D25" s="148"/>
      <c r="E25" s="208"/>
      <c r="F25" s="77"/>
      <c r="G25" s="77"/>
      <c r="H25" s="77"/>
      <c r="I25" s="76"/>
      <c r="J25" s="209"/>
      <c r="K25" s="148"/>
      <c r="L25" s="148"/>
      <c r="M25" s="920" t="e">
        <f>+K25/BS!I$96*100%</f>
        <v>#DIV/0!</v>
      </c>
    </row>
    <row r="26" spans="1:13">
      <c r="A26" s="212">
        <v>19</v>
      </c>
      <c r="B26" s="76"/>
      <c r="C26" s="76"/>
      <c r="D26" s="148"/>
      <c r="E26" s="208"/>
      <c r="F26" s="77"/>
      <c r="G26" s="77"/>
      <c r="H26" s="77"/>
      <c r="I26" s="76"/>
      <c r="J26" s="209"/>
      <c r="K26" s="148"/>
      <c r="L26" s="148"/>
      <c r="M26" s="920" t="e">
        <f>+K26/BS!I$96*100%</f>
        <v>#DIV/0!</v>
      </c>
    </row>
    <row r="27" spans="1:13">
      <c r="A27" s="212">
        <v>20</v>
      </c>
      <c r="B27" s="76"/>
      <c r="C27" s="76"/>
      <c r="D27" s="148"/>
      <c r="E27" s="208"/>
      <c r="F27" s="77"/>
      <c r="G27" s="77"/>
      <c r="H27" s="77"/>
      <c r="I27" s="76"/>
      <c r="J27" s="209"/>
      <c r="K27" s="148"/>
      <c r="L27" s="148"/>
      <c r="M27" s="920" t="e">
        <f>+K27/BS!I$96*100%</f>
        <v>#DIV/0!</v>
      </c>
    </row>
    <row r="28" spans="1:13" ht="15.75" customHeight="1">
      <c r="A28" s="1129" t="s">
        <v>298</v>
      </c>
      <c r="B28" s="1129"/>
      <c r="C28" s="245"/>
      <c r="D28" s="294">
        <f>+SUM(D8:D27)</f>
        <v>0</v>
      </c>
      <c r="E28" s="207"/>
      <c r="F28" s="295"/>
      <c r="G28" s="295"/>
      <c r="H28" s="295"/>
      <c r="I28" s="295"/>
      <c r="J28" s="294"/>
      <c r="K28" s="294">
        <f>SUM(K8:K27)</f>
        <v>0</v>
      </c>
      <c r="L28" s="294">
        <f>+SUM(L8:L27)</f>
        <v>0</v>
      </c>
      <c r="M28" s="291"/>
    </row>
    <row r="29" spans="1:13" ht="15.75" customHeight="1">
      <c r="F29" s="1189" t="s">
        <v>348</v>
      </c>
      <c r="G29" s="1189"/>
      <c r="H29" s="1189"/>
      <c r="I29" s="1189"/>
      <c r="J29" s="1189"/>
      <c r="K29" s="1189"/>
      <c r="L29" s="1189"/>
      <c r="M29" s="210" t="e">
        <f>+MAX(M8:M27)</f>
        <v>#DIV/0!</v>
      </c>
    </row>
    <row r="30" spans="1:13" ht="12.75" customHeight="1">
      <c r="F30" s="1190" t="str">
        <f>IF(ROUND(SUM(GB!H64,GB!H220),2)=K28,"","Балансын дүнгээс зөрүүтэй тул зууны нарийвчлалтай шивнэ үү. зөв 200,265.23 | буруу 200,236.256")</f>
        <v/>
      </c>
      <c r="G30" s="1190"/>
      <c r="H30" s="1190"/>
      <c r="I30" s="1190"/>
      <c r="J30" s="1190"/>
      <c r="K30" s="1190"/>
      <c r="L30" s="1190"/>
      <c r="M30" s="1190"/>
    </row>
    <row r="31" spans="1:13">
      <c r="B31" s="34" t="s">
        <v>33</v>
      </c>
      <c r="C31" s="34"/>
      <c r="D31" s="93"/>
      <c r="E31" s="92"/>
      <c r="F31" s="13"/>
      <c r="G31" s="14"/>
      <c r="I31" s="401"/>
      <c r="J31" s="401"/>
      <c r="K31" s="401"/>
      <c r="L31" s="401"/>
      <c r="M31" s="401"/>
    </row>
    <row r="32" spans="1:13">
      <c r="B32" s="34"/>
      <c r="C32" s="34"/>
      <c r="D32" s="93"/>
      <c r="E32" s="92"/>
      <c r="F32" s="13"/>
      <c r="G32" s="14"/>
    </row>
    <row r="33" spans="2:10">
      <c r="B33" s="90"/>
      <c r="C33" s="90"/>
      <c r="D33" s="17" t="s">
        <v>122</v>
      </c>
      <c r="E33" s="94"/>
      <c r="F33" s="17"/>
    </row>
    <row r="34" spans="2:10">
      <c r="B34" s="16"/>
      <c r="C34" s="16"/>
      <c r="D34" s="93"/>
      <c r="E34" s="92"/>
      <c r="F34" s="13"/>
      <c r="G34" s="14"/>
    </row>
    <row r="35" spans="2:10" ht="15" customHeight="1">
      <c r="B35" s="126"/>
      <c r="C35" s="126"/>
      <c r="D35" s="126"/>
      <c r="E35" s="126" t="str">
        <f>+Statistic!B60</f>
        <v>ГҮЙЦЭТГЭХ ЗАХИРАЛ.......................//</v>
      </c>
      <c r="F35" s="126"/>
      <c r="G35" s="126"/>
      <c r="H35" s="126"/>
      <c r="I35" s="126"/>
      <c r="J35" s="126"/>
    </row>
    <row r="36" spans="2:10">
      <c r="B36" s="95"/>
      <c r="C36" s="95"/>
      <c r="D36" s="95"/>
      <c r="E36" s="327"/>
      <c r="F36" s="96"/>
      <c r="G36" s="96"/>
      <c r="H36" s="66"/>
      <c r="I36" s="66"/>
      <c r="J36" s="328"/>
    </row>
    <row r="37" spans="2:10" ht="15" customHeight="1">
      <c r="B37" s="126"/>
      <c r="C37" s="126"/>
      <c r="D37" s="126"/>
      <c r="E37" s="126" t="str">
        <f>+Statistic!B62</f>
        <v>ЕРӨНХИЙ НЯГТЛАН БОДОГЧ...................................................//</v>
      </c>
      <c r="F37" s="126"/>
      <c r="G37" s="126"/>
      <c r="H37" s="126"/>
      <c r="I37" s="126"/>
      <c r="J37" s="126"/>
    </row>
    <row r="38" spans="2:10">
      <c r="B38" s="95"/>
      <c r="C38" s="95"/>
      <c r="D38" s="95"/>
      <c r="E38" s="327"/>
      <c r="F38" s="96"/>
      <c r="G38" s="96"/>
      <c r="H38" s="66"/>
      <c r="I38" s="66"/>
      <c r="J38" s="328"/>
    </row>
    <row r="39" spans="2:10" ht="15" customHeight="1">
      <c r="B39" s="126"/>
      <c r="C39" s="126"/>
      <c r="D39" s="126"/>
      <c r="E39" s="126"/>
      <c r="F39" s="126"/>
      <c r="G39" s="126"/>
      <c r="H39" s="126"/>
      <c r="I39" s="126"/>
      <c r="J39" s="126"/>
    </row>
    <row r="44" spans="2:10" hidden="1">
      <c r="B44" s="3" t="s">
        <v>126</v>
      </c>
    </row>
    <row r="45" spans="2:10" hidden="1">
      <c r="B45" s="3" t="s">
        <v>608</v>
      </c>
    </row>
    <row r="46" spans="2:10" hidden="1">
      <c r="B46" s="3" t="s">
        <v>130</v>
      </c>
    </row>
    <row r="47" spans="2:10" hidden="1">
      <c r="B47" s="3" t="s">
        <v>128</v>
      </c>
    </row>
    <row r="48" spans="2:10" hidden="1">
      <c r="B48" s="3" t="s">
        <v>306</v>
      </c>
    </row>
  </sheetData>
  <sheetProtection algorithmName="SHA-512" hashValue="ldOWqPV7BYUnpR3ES+bcarDaXP1jubuKuq/E36PEatAoBSsaUxNWIXwnCqUKp4cg8ljRLWgyESmUA6t87RMG7g==" saltValue="cOU74N3MOa/3jyCtX3gGdA==" spinCount="100000" sheet="1" objects="1" scenarios="1"/>
  <mergeCells count="20">
    <mergeCell ref="A2:L2"/>
    <mergeCell ref="A3:L3"/>
    <mergeCell ref="A4:L4"/>
    <mergeCell ref="A5:B5"/>
    <mergeCell ref="L5:M5"/>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s>
  <dataValidations count="3">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F8:H27" xr:uid="{4AFAC0DA-8369-45BD-A43A-27F799B420E8}">
      <formula1>1</formula1>
      <formula2>767011</formula2>
    </dataValidation>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s>
  <pageMargins left="0.7" right="0.7" top="0.75" bottom="0.75" header="0.3" footer="0.3"/>
  <pageSetup paperSize="9" scale="8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14" style="90" bestFit="1" customWidth="1"/>
    <col min="5" max="5" width="7.42578125" style="91" customWidth="1"/>
    <col min="6" max="6" width="7.85546875" style="26" bestFit="1" customWidth="1"/>
    <col min="7" max="8" width="13.5703125" style="3" bestFit="1" customWidth="1"/>
    <col min="9" max="9" width="16.7109375" style="90" customWidth="1"/>
    <col min="10" max="10" width="12.140625" style="91" bestFit="1" customWidth="1"/>
    <col min="11" max="16384" width="9.140625" style="3"/>
  </cols>
  <sheetData>
    <row r="2" spans="1:12">
      <c r="A2" s="982" t="s">
        <v>458</v>
      </c>
      <c r="B2" s="982"/>
      <c r="C2" s="982"/>
      <c r="D2" s="982"/>
      <c r="E2" s="982"/>
      <c r="F2" s="982"/>
      <c r="G2" s="982"/>
      <c r="H2" s="982"/>
      <c r="I2" s="982"/>
      <c r="J2" s="982"/>
    </row>
    <row r="3" spans="1:12">
      <c r="A3" s="990" t="str">
        <f>GB!A3</f>
        <v xml:space="preserve">БАНК БУС САНХҮҮГИЙН БАЙГУУЛЛАГЫН НЭР </v>
      </c>
      <c r="B3" s="990"/>
      <c r="C3" s="990"/>
      <c r="D3" s="990"/>
      <c r="E3" s="990"/>
      <c r="F3" s="990"/>
      <c r="G3" s="990"/>
      <c r="H3" s="990"/>
      <c r="I3" s="990"/>
      <c r="J3" s="990"/>
    </row>
    <row r="4" spans="1:12">
      <c r="A4" s="982" t="str">
        <f>GB!A4</f>
        <v>БАНК БУС САНХҮҮГИЙН БАЙГУУЛЛАГА</v>
      </c>
      <c r="B4" s="982"/>
      <c r="C4" s="982"/>
      <c r="D4" s="982"/>
      <c r="E4" s="982"/>
      <c r="F4" s="982"/>
      <c r="G4" s="982"/>
      <c r="H4" s="982"/>
      <c r="I4" s="982"/>
      <c r="J4" s="982"/>
    </row>
    <row r="5" spans="1:12">
      <c r="A5" s="1128">
        <f>GB!A6</f>
        <v>45716</v>
      </c>
      <c r="B5" s="1128"/>
      <c r="C5" s="244"/>
      <c r="I5" s="1182" t="s">
        <v>41</v>
      </c>
      <c r="J5" s="1182"/>
    </row>
    <row r="6" spans="1:12" ht="25.5" customHeight="1">
      <c r="A6" s="1155" t="s">
        <v>2</v>
      </c>
      <c r="B6" s="1177" t="s">
        <v>536</v>
      </c>
      <c r="C6" s="1178"/>
      <c r="D6" s="1157" t="s">
        <v>459</v>
      </c>
      <c r="E6" s="1175" t="s">
        <v>542</v>
      </c>
      <c r="F6" s="1163" t="s">
        <v>543</v>
      </c>
      <c r="G6" s="1155" t="s">
        <v>460</v>
      </c>
      <c r="H6" s="1155" t="s">
        <v>290</v>
      </c>
      <c r="I6" s="1195" t="s">
        <v>235</v>
      </c>
      <c r="J6" s="1175" t="s">
        <v>461</v>
      </c>
    </row>
    <row r="7" spans="1:12">
      <c r="A7" s="1156"/>
      <c r="B7" s="82" t="s">
        <v>530</v>
      </c>
      <c r="C7" s="82" t="s">
        <v>531</v>
      </c>
      <c r="D7" s="1158"/>
      <c r="E7" s="1176"/>
      <c r="F7" s="1164"/>
      <c r="G7" s="1156"/>
      <c r="H7" s="1156"/>
      <c r="I7" s="1196"/>
      <c r="J7" s="1176"/>
    </row>
    <row r="8" spans="1:12">
      <c r="A8" s="212">
        <v>1</v>
      </c>
      <c r="B8" s="76"/>
      <c r="C8" s="76"/>
      <c r="D8" s="148"/>
      <c r="E8" s="208"/>
      <c r="F8" s="87"/>
      <c r="G8" s="84"/>
      <c r="H8" s="84"/>
      <c r="I8" s="258"/>
      <c r="J8" s="963" t="e">
        <f>+I8/BS!I$35</f>
        <v>#DIV/0!</v>
      </c>
      <c r="L8" s="268"/>
    </row>
    <row r="9" spans="1:12">
      <c r="A9" s="212">
        <v>2</v>
      </c>
      <c r="B9" s="76"/>
      <c r="C9" s="76"/>
      <c r="D9" s="148"/>
      <c r="E9" s="208"/>
      <c r="F9" s="87"/>
      <c r="G9" s="84"/>
      <c r="H9" s="84"/>
      <c r="I9" s="258"/>
      <c r="J9" s="963" t="e">
        <f>+I9/BS!I$35</f>
        <v>#DIV/0!</v>
      </c>
    </row>
    <row r="10" spans="1:12">
      <c r="A10" s="212">
        <v>3</v>
      </c>
      <c r="B10" s="76"/>
      <c r="C10" s="76"/>
      <c r="D10" s="148"/>
      <c r="E10" s="208"/>
      <c r="F10" s="87"/>
      <c r="G10" s="84"/>
      <c r="H10" s="84"/>
      <c r="I10" s="258"/>
      <c r="J10" s="963" t="e">
        <f>+I10/BS!I$35</f>
        <v>#DIV/0!</v>
      </c>
    </row>
    <row r="11" spans="1:12">
      <c r="A11" s="212">
        <v>4</v>
      </c>
      <c r="B11" s="76"/>
      <c r="C11" s="76"/>
      <c r="D11" s="148"/>
      <c r="E11" s="208"/>
      <c r="F11" s="87"/>
      <c r="G11" s="84"/>
      <c r="H11" s="84"/>
      <c r="I11" s="258"/>
      <c r="J11" s="963" t="e">
        <f>+I11/BS!I$35</f>
        <v>#DIV/0!</v>
      </c>
    </row>
    <row r="12" spans="1:12">
      <c r="A12" s="212">
        <v>5</v>
      </c>
      <c r="B12" s="76"/>
      <c r="C12" s="76"/>
      <c r="D12" s="148"/>
      <c r="E12" s="208"/>
      <c r="F12" s="87"/>
      <c r="G12" s="84"/>
      <c r="H12" s="84"/>
      <c r="I12" s="258"/>
      <c r="J12" s="963" t="e">
        <f>+I12/BS!I$35</f>
        <v>#DIV/0!</v>
      </c>
    </row>
    <row r="13" spans="1:12">
      <c r="A13" s="212">
        <v>6</v>
      </c>
      <c r="B13" s="76"/>
      <c r="C13" s="76"/>
      <c r="D13" s="148"/>
      <c r="E13" s="208"/>
      <c r="F13" s="87"/>
      <c r="G13" s="84"/>
      <c r="H13" s="84"/>
      <c r="I13" s="258"/>
      <c r="J13" s="963" t="e">
        <f>+I13/BS!I$35</f>
        <v>#DIV/0!</v>
      </c>
    </row>
    <row r="14" spans="1:12">
      <c r="A14" s="212">
        <v>7</v>
      </c>
      <c r="B14" s="76"/>
      <c r="C14" s="76"/>
      <c r="D14" s="148"/>
      <c r="E14" s="208"/>
      <c r="F14" s="87"/>
      <c r="G14" s="84"/>
      <c r="H14" s="84"/>
      <c r="I14" s="258"/>
      <c r="J14" s="963" t="e">
        <f>+I14/BS!I$35</f>
        <v>#DIV/0!</v>
      </c>
    </row>
    <row r="15" spans="1:12">
      <c r="A15" s="212">
        <v>8</v>
      </c>
      <c r="B15" s="76"/>
      <c r="C15" s="76"/>
      <c r="D15" s="148"/>
      <c r="E15" s="208"/>
      <c r="F15" s="87"/>
      <c r="G15" s="84"/>
      <c r="H15" s="84"/>
      <c r="I15" s="258"/>
      <c r="J15" s="963" t="e">
        <f>+I15/BS!I$35</f>
        <v>#DIV/0!</v>
      </c>
    </row>
    <row r="16" spans="1:12">
      <c r="A16" s="212">
        <v>9</v>
      </c>
      <c r="B16" s="76"/>
      <c r="C16" s="76"/>
      <c r="D16" s="148"/>
      <c r="E16" s="208"/>
      <c r="F16" s="87"/>
      <c r="G16" s="84"/>
      <c r="H16" s="84"/>
      <c r="I16" s="258"/>
      <c r="J16" s="963" t="e">
        <f>+I16/BS!I$35</f>
        <v>#DIV/0!</v>
      </c>
    </row>
    <row r="17" spans="1:11">
      <c r="A17" s="212">
        <v>10</v>
      </c>
      <c r="B17" s="76"/>
      <c r="C17" s="76"/>
      <c r="D17" s="148"/>
      <c r="E17" s="208"/>
      <c r="F17" s="87"/>
      <c r="G17" s="84"/>
      <c r="H17" s="84"/>
      <c r="I17" s="258"/>
      <c r="J17" s="963" t="e">
        <f>+I17/BS!I$35</f>
        <v>#DIV/0!</v>
      </c>
    </row>
    <row r="18" spans="1:11">
      <c r="A18" s="212">
        <v>11</v>
      </c>
      <c r="B18" s="76"/>
      <c r="C18" s="76"/>
      <c r="D18" s="148"/>
      <c r="E18" s="208"/>
      <c r="F18" s="87"/>
      <c r="G18" s="84"/>
      <c r="H18" s="84"/>
      <c r="I18" s="258"/>
      <c r="J18" s="963" t="e">
        <f>+I18/BS!I$35</f>
        <v>#DIV/0!</v>
      </c>
    </row>
    <row r="19" spans="1:11">
      <c r="A19" s="212">
        <v>12</v>
      </c>
      <c r="B19" s="76"/>
      <c r="C19" s="76"/>
      <c r="D19" s="148"/>
      <c r="E19" s="208"/>
      <c r="F19" s="87"/>
      <c r="G19" s="84"/>
      <c r="H19" s="84"/>
      <c r="I19" s="258"/>
      <c r="J19" s="963" t="e">
        <f>+I19/BS!I$35</f>
        <v>#DIV/0!</v>
      </c>
    </row>
    <row r="20" spans="1:11">
      <c r="A20" s="212">
        <v>13</v>
      </c>
      <c r="B20" s="76"/>
      <c r="C20" s="76"/>
      <c r="D20" s="148"/>
      <c r="E20" s="208"/>
      <c r="F20" s="87"/>
      <c r="G20" s="84"/>
      <c r="H20" s="84"/>
      <c r="I20" s="258"/>
      <c r="J20" s="963" t="e">
        <f>+I20/BS!I$35</f>
        <v>#DIV/0!</v>
      </c>
    </row>
    <row r="21" spans="1:11">
      <c r="A21" s="212">
        <v>14</v>
      </c>
      <c r="B21" s="76"/>
      <c r="C21" s="76"/>
      <c r="D21" s="148"/>
      <c r="E21" s="208"/>
      <c r="F21" s="87"/>
      <c r="G21" s="84"/>
      <c r="H21" s="84"/>
      <c r="I21" s="258"/>
      <c r="J21" s="963" t="e">
        <f>+I21/BS!I$35</f>
        <v>#DIV/0!</v>
      </c>
    </row>
    <row r="22" spans="1:11">
      <c r="A22" s="212">
        <v>15</v>
      </c>
      <c r="B22" s="76"/>
      <c r="C22" s="76"/>
      <c r="D22" s="148"/>
      <c r="E22" s="208"/>
      <c r="F22" s="87"/>
      <c r="G22" s="84"/>
      <c r="H22" s="84"/>
      <c r="I22" s="258"/>
      <c r="J22" s="963" t="e">
        <f>+I22/BS!I$35</f>
        <v>#DIV/0!</v>
      </c>
    </row>
    <row r="23" spans="1:11">
      <c r="A23" s="212">
        <v>16</v>
      </c>
      <c r="B23" s="76"/>
      <c r="C23" s="76"/>
      <c r="D23" s="148"/>
      <c r="E23" s="208"/>
      <c r="F23" s="87"/>
      <c r="G23" s="84"/>
      <c r="H23" s="84"/>
      <c r="I23" s="258"/>
      <c r="J23" s="963" t="e">
        <f>+I23/BS!I$35</f>
        <v>#DIV/0!</v>
      </c>
    </row>
    <row r="24" spans="1:11">
      <c r="A24" s="212">
        <v>17</v>
      </c>
      <c r="B24" s="76"/>
      <c r="C24" s="76"/>
      <c r="D24" s="148"/>
      <c r="E24" s="208"/>
      <c r="F24" s="87"/>
      <c r="G24" s="84"/>
      <c r="H24" s="84"/>
      <c r="I24" s="258"/>
      <c r="J24" s="963" t="e">
        <f>+I24/BS!I$35</f>
        <v>#DIV/0!</v>
      </c>
    </row>
    <row r="25" spans="1:11">
      <c r="A25" s="212">
        <v>18</v>
      </c>
      <c r="B25" s="76"/>
      <c r="C25" s="76"/>
      <c r="D25" s="148"/>
      <c r="E25" s="208"/>
      <c r="F25" s="87"/>
      <c r="G25" s="84"/>
      <c r="H25" s="84"/>
      <c r="I25" s="258"/>
      <c r="J25" s="963" t="e">
        <f>+I25/BS!I$35</f>
        <v>#DIV/0!</v>
      </c>
    </row>
    <row r="26" spans="1:11">
      <c r="A26" s="212">
        <v>19</v>
      </c>
      <c r="B26" s="76"/>
      <c r="C26" s="76"/>
      <c r="D26" s="148"/>
      <c r="E26" s="208"/>
      <c r="F26" s="87"/>
      <c r="G26" s="84"/>
      <c r="H26" s="84"/>
      <c r="I26" s="258"/>
      <c r="J26" s="963" t="e">
        <f>+I26/BS!I$35</f>
        <v>#DIV/0!</v>
      </c>
    </row>
    <row r="27" spans="1:11">
      <c r="A27" s="212">
        <v>20</v>
      </c>
      <c r="B27" s="76"/>
      <c r="C27" s="76"/>
      <c r="D27" s="148"/>
      <c r="E27" s="208"/>
      <c r="F27" s="87"/>
      <c r="G27" s="84"/>
      <c r="H27" s="84"/>
      <c r="I27" s="258"/>
      <c r="J27" s="963" t="e">
        <f>+I27/BS!I$35</f>
        <v>#DIV/0!</v>
      </c>
      <c r="K27" s="10" t="str">
        <f>IF(SUM(I8:I27)=I28,"","Балансын дүн зөрүүтэй, Комментоор бичсэн зааврын дагуу шивнэ үү.")</f>
        <v/>
      </c>
    </row>
    <row r="28" spans="1:11">
      <c r="A28" s="1187" t="s">
        <v>298</v>
      </c>
      <c r="B28" s="1187"/>
      <c r="C28" s="300"/>
      <c r="D28" s="149">
        <f>+SUM(D8:D27)</f>
        <v>0</v>
      </c>
      <c r="E28" s="224"/>
      <c r="F28" s="300"/>
      <c r="G28" s="85"/>
      <c r="H28" s="85"/>
      <c r="I28" s="149">
        <f>SUM(I8:I27)</f>
        <v>0</v>
      </c>
      <c r="J28" s="224"/>
      <c r="K28" s="381"/>
    </row>
    <row r="29" spans="1:11">
      <c r="H29" s="1189" t="s">
        <v>462</v>
      </c>
      <c r="I29" s="1189"/>
      <c r="J29" s="210" t="e">
        <f>+MAX(J8:J27)</f>
        <v>#DIV/0!</v>
      </c>
    </row>
    <row r="30" spans="1:11">
      <c r="I30" s="369"/>
    </row>
    <row r="31" spans="1:11">
      <c r="B31" s="34" t="s">
        <v>33</v>
      </c>
      <c r="C31" s="34"/>
      <c r="D31" s="93"/>
      <c r="E31" s="92"/>
      <c r="F31" s="16"/>
      <c r="G31" s="14"/>
    </row>
    <row r="32" spans="1:11">
      <c r="B32" s="34"/>
      <c r="C32" s="34"/>
      <c r="D32" s="93"/>
      <c r="E32" s="92"/>
      <c r="F32" s="16"/>
      <c r="G32" s="14"/>
    </row>
    <row r="33" spans="2:9" ht="15" customHeight="1">
      <c r="B33" s="1028" t="s">
        <v>122</v>
      </c>
      <c r="C33" s="1028"/>
      <c r="D33" s="1028"/>
      <c r="E33" s="1028"/>
      <c r="F33" s="1028"/>
    </row>
    <row r="34" spans="2:9">
      <c r="B34" s="16"/>
      <c r="C34" s="16"/>
      <c r="D34" s="93"/>
      <c r="E34" s="92"/>
      <c r="F34" s="16"/>
      <c r="G34" s="14"/>
    </row>
    <row r="35" spans="2:9" ht="15" customHeight="1">
      <c r="B35" s="126"/>
      <c r="C35" s="126"/>
      <c r="D35" s="126" t="str">
        <f>+Statistic!B60</f>
        <v>ГҮЙЦЭТГЭХ ЗАХИРАЛ.......................//</v>
      </c>
      <c r="E35" s="126"/>
      <c r="F35" s="126"/>
      <c r="G35" s="126"/>
      <c r="H35" s="126"/>
      <c r="I35" s="126"/>
    </row>
    <row r="36" spans="2:9">
      <c r="B36" s="95"/>
      <c r="C36" s="95"/>
      <c r="D36" s="95"/>
      <c r="E36" s="211"/>
      <c r="F36" s="95"/>
      <c r="G36" s="95"/>
    </row>
    <row r="37" spans="2:9" ht="15" customHeight="1">
      <c r="B37" s="126"/>
      <c r="C37" s="126"/>
      <c r="D37" s="126" t="str">
        <f>+Statistic!B62</f>
        <v>ЕРӨНХИЙ НЯГТЛАН БОДОГЧ...................................................//</v>
      </c>
      <c r="E37" s="126"/>
      <c r="F37" s="126"/>
      <c r="G37" s="126"/>
      <c r="H37" s="126"/>
      <c r="I37" s="126"/>
    </row>
    <row r="38" spans="2:9">
      <c r="B38" s="95"/>
      <c r="C38" s="95"/>
      <c r="D38" s="95"/>
      <c r="E38" s="211"/>
      <c r="F38" s="95"/>
      <c r="G38" s="95"/>
    </row>
    <row r="39" spans="2:9" ht="15" customHeight="1">
      <c r="B39" s="126"/>
      <c r="C39" s="126"/>
      <c r="D39" s="126"/>
      <c r="E39" s="126"/>
      <c r="F39" s="126"/>
      <c r="G39" s="126"/>
      <c r="H39" s="126"/>
      <c r="I39" s="126"/>
    </row>
  </sheetData>
  <sheetProtection algorithmName="SHA-512" hashValue="1hngdtEwM1I+XuS5gPvPyOAux0xx6BZrbv3USSFtJZwSoW/clV7FgLHK7KwwsrnzBHXM8xpK1awDPEJmDyEpqg==" saltValue="4iUs2MmSQXR+ajRKCbKAHQ==" spinCount="100000" sheet="1" objects="1" scenarios="1"/>
  <mergeCells count="17">
    <mergeCell ref="J6:J7"/>
    <mergeCell ref="I6:I7"/>
    <mergeCell ref="A2:J2"/>
    <mergeCell ref="A3:J3"/>
    <mergeCell ref="A4:J4"/>
    <mergeCell ref="A5:B5"/>
    <mergeCell ref="I5:J5"/>
    <mergeCell ref="F6:F7"/>
    <mergeCell ref="E6:E7"/>
    <mergeCell ref="B6:C6"/>
    <mergeCell ref="B33:F33"/>
    <mergeCell ref="A6:A7"/>
    <mergeCell ref="D6:D7"/>
    <mergeCell ref="A28:B28"/>
    <mergeCell ref="H29:I29"/>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H27" xr:uid="{72807209-E3E5-4D1A-BF91-725FBE9E514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50"/>
  <sheetViews>
    <sheetView workbookViewId="0"/>
  </sheetViews>
  <sheetFormatPr defaultRowHeight="12.75"/>
  <cols>
    <col min="1" max="1" width="2.7109375" style="3" bestFit="1" customWidth="1"/>
    <col min="2" max="2" width="47" style="3" bestFit="1" customWidth="1"/>
    <col min="3" max="11" width="17.7109375" style="863" customWidth="1"/>
    <col min="12" max="12" width="15.85546875" style="9" customWidth="1"/>
    <col min="13" max="16384" width="9.140625" style="3"/>
  </cols>
  <sheetData>
    <row r="2" spans="1:11">
      <c r="A2" s="982" t="s">
        <v>265</v>
      </c>
      <c r="B2" s="982"/>
      <c r="C2" s="982"/>
      <c r="D2" s="982"/>
      <c r="E2" s="982"/>
      <c r="F2" s="982"/>
      <c r="G2" s="982"/>
      <c r="H2" s="982"/>
      <c r="I2" s="982"/>
      <c r="J2" s="982"/>
      <c r="K2" s="982"/>
    </row>
    <row r="3" spans="1:11">
      <c r="A3" s="1029" t="str">
        <f>GB!A3</f>
        <v xml:space="preserve">БАНК БУС САНХҮҮГИЙН БАЙГУУЛЛАГЫН НЭР </v>
      </c>
      <c r="B3" s="1029"/>
      <c r="C3" s="1029"/>
      <c r="D3" s="1029"/>
      <c r="E3" s="1029"/>
      <c r="F3" s="1029"/>
      <c r="G3" s="1029"/>
      <c r="H3" s="1029"/>
      <c r="I3" s="1029"/>
      <c r="J3" s="1029"/>
      <c r="K3" s="1029"/>
    </row>
    <row r="4" spans="1:11">
      <c r="A4" s="982" t="str">
        <f>+GB!A4</f>
        <v>БАНК БУС САНХҮҮГИЙН БАЙГУУЛЛАГА</v>
      </c>
      <c r="B4" s="982"/>
      <c r="C4" s="982"/>
      <c r="D4" s="982"/>
      <c r="E4" s="982"/>
      <c r="F4" s="982"/>
      <c r="G4" s="982"/>
      <c r="H4" s="982"/>
      <c r="I4" s="982"/>
      <c r="J4" s="982"/>
      <c r="K4" s="982"/>
    </row>
    <row r="5" spans="1:11">
      <c r="A5" s="1"/>
      <c r="B5" s="1"/>
      <c r="C5" s="1"/>
      <c r="D5" s="1"/>
      <c r="E5" s="1"/>
      <c r="F5" s="1"/>
      <c r="G5" s="1"/>
      <c r="H5" s="1"/>
      <c r="I5" s="1"/>
      <c r="J5" s="1"/>
      <c r="K5" s="1"/>
    </row>
    <row r="6" spans="1:11">
      <c r="A6" s="1128">
        <f>GB!A6</f>
        <v>45716</v>
      </c>
      <c r="B6" s="1128"/>
      <c r="J6" s="1200" t="s">
        <v>41</v>
      </c>
      <c r="K6" s="1200"/>
    </row>
    <row r="7" spans="1:11" ht="18.75" customHeight="1">
      <c r="A7" s="1129" t="s">
        <v>266</v>
      </c>
      <c r="B7" s="1129"/>
      <c r="C7" s="844" t="s">
        <v>267</v>
      </c>
      <c r="D7" s="844" t="s">
        <v>268</v>
      </c>
      <c r="E7" s="844" t="s">
        <v>269</v>
      </c>
      <c r="F7" s="844" t="s">
        <v>270</v>
      </c>
      <c r="G7" s="844" t="s">
        <v>271</v>
      </c>
      <c r="H7" s="844" t="s">
        <v>272</v>
      </c>
      <c r="I7" s="844" t="s">
        <v>273</v>
      </c>
      <c r="J7" s="844" t="s">
        <v>274</v>
      </c>
      <c r="K7" s="844" t="s">
        <v>275</v>
      </c>
    </row>
    <row r="8" spans="1:11">
      <c r="A8" s="23">
        <v>1</v>
      </c>
      <c r="B8" s="23" t="s">
        <v>45</v>
      </c>
      <c r="C8" s="161">
        <f>+BS!D9</f>
        <v>0</v>
      </c>
      <c r="D8" s="161"/>
      <c r="E8" s="161"/>
      <c r="F8" s="161"/>
      <c r="G8" s="161"/>
      <c r="H8" s="161"/>
      <c r="I8" s="161"/>
      <c r="J8" s="161"/>
      <c r="K8" s="161">
        <f t="shared" ref="K8:K15" si="0">+SUM(C8:J8)</f>
        <v>0</v>
      </c>
    </row>
    <row r="9" spans="1:11">
      <c r="A9" s="23">
        <v>2</v>
      </c>
      <c r="B9" s="23" t="s">
        <v>201</v>
      </c>
      <c r="C9" s="206"/>
      <c r="D9" s="206"/>
      <c r="E9" s="206"/>
      <c r="F9" s="206"/>
      <c r="G9" s="206"/>
      <c r="H9" s="206"/>
      <c r="I9" s="206"/>
      <c r="J9" s="206"/>
      <c r="K9" s="161">
        <f t="shared" si="0"/>
        <v>0</v>
      </c>
    </row>
    <row r="10" spans="1:11">
      <c r="A10" s="23">
        <v>3</v>
      </c>
      <c r="B10" s="23" t="s">
        <v>202</v>
      </c>
      <c r="C10" s="206"/>
      <c r="D10" s="206"/>
      <c r="E10" s="206"/>
      <c r="F10" s="206"/>
      <c r="G10" s="206"/>
      <c r="H10" s="206"/>
      <c r="I10" s="206"/>
      <c r="J10" s="206"/>
      <c r="K10" s="161">
        <f t="shared" si="0"/>
        <v>0</v>
      </c>
    </row>
    <row r="11" spans="1:11">
      <c r="A11" s="23">
        <v>4</v>
      </c>
      <c r="B11" s="23" t="s">
        <v>29</v>
      </c>
      <c r="C11" s="206"/>
      <c r="D11" s="206"/>
      <c r="E11" s="206"/>
      <c r="F11" s="206"/>
      <c r="G11" s="206"/>
      <c r="H11" s="206"/>
      <c r="I11" s="206"/>
      <c r="J11" s="206"/>
      <c r="K11" s="161">
        <f t="shared" si="0"/>
        <v>0</v>
      </c>
    </row>
    <row r="12" spans="1:11">
      <c r="A12" s="23">
        <v>5</v>
      </c>
      <c r="B12" s="23" t="s">
        <v>276</v>
      </c>
      <c r="C12" s="206"/>
      <c r="D12" s="206"/>
      <c r="E12" s="206"/>
      <c r="F12" s="206"/>
      <c r="G12" s="206"/>
      <c r="H12" s="206"/>
      <c r="I12" s="206"/>
      <c r="J12" s="206"/>
      <c r="K12" s="161">
        <f t="shared" si="0"/>
        <v>0</v>
      </c>
    </row>
    <row r="13" spans="1:11">
      <c r="A13" s="23">
        <v>6</v>
      </c>
      <c r="B13" s="23" t="s">
        <v>277</v>
      </c>
      <c r="C13" s="206"/>
      <c r="D13" s="206"/>
      <c r="E13" s="206"/>
      <c r="F13" s="206"/>
      <c r="G13" s="206"/>
      <c r="H13" s="206"/>
      <c r="I13" s="206"/>
      <c r="J13" s="206"/>
      <c r="K13" s="161">
        <f t="shared" si="0"/>
        <v>0</v>
      </c>
    </row>
    <row r="14" spans="1:11">
      <c r="A14" s="23">
        <v>7</v>
      </c>
      <c r="B14" s="23" t="s">
        <v>278</v>
      </c>
      <c r="C14" s="903"/>
      <c r="D14" s="206"/>
      <c r="E14" s="206"/>
      <c r="F14" s="206"/>
      <c r="G14" s="206"/>
      <c r="H14" s="206"/>
      <c r="I14" s="206"/>
      <c r="J14" s="206"/>
      <c r="K14" s="161">
        <f t="shared" si="0"/>
        <v>0</v>
      </c>
    </row>
    <row r="15" spans="1:11">
      <c r="A15" s="23">
        <v>8</v>
      </c>
      <c r="B15" s="967" t="s">
        <v>279</v>
      </c>
      <c r="C15" s="206"/>
      <c r="D15" s="323"/>
      <c r="E15" s="206"/>
      <c r="F15" s="206"/>
      <c r="G15" s="206"/>
      <c r="H15" s="206"/>
      <c r="I15" s="206"/>
      <c r="J15" s="206"/>
      <c r="K15" s="161">
        <f t="shared" si="0"/>
        <v>0</v>
      </c>
    </row>
    <row r="16" spans="1:11">
      <c r="A16" s="1198" t="s">
        <v>280</v>
      </c>
      <c r="B16" s="1198"/>
      <c r="C16" s="904">
        <f t="shared" ref="C16:K16" si="1">+SUM(C8:C15)</f>
        <v>0</v>
      </c>
      <c r="D16" s="846">
        <f t="shared" si="1"/>
        <v>0</v>
      </c>
      <c r="E16" s="846">
        <f t="shared" si="1"/>
        <v>0</v>
      </c>
      <c r="F16" s="846">
        <f t="shared" si="1"/>
        <v>0</v>
      </c>
      <c r="G16" s="846">
        <f t="shared" si="1"/>
        <v>0</v>
      </c>
      <c r="H16" s="846">
        <f t="shared" si="1"/>
        <v>0</v>
      </c>
      <c r="I16" s="846">
        <f t="shared" si="1"/>
        <v>0</v>
      </c>
      <c r="J16" s="846">
        <f t="shared" si="1"/>
        <v>0</v>
      </c>
      <c r="K16" s="846">
        <f t="shared" si="1"/>
        <v>0</v>
      </c>
    </row>
    <row r="17" spans="1:11">
      <c r="A17" s="1187" t="s">
        <v>281</v>
      </c>
      <c r="B17" s="1187"/>
      <c r="C17" s="905"/>
      <c r="D17" s="905"/>
      <c r="E17" s="905"/>
      <c r="F17" s="905"/>
      <c r="G17" s="905"/>
      <c r="H17" s="905"/>
      <c r="I17" s="905"/>
      <c r="J17" s="905"/>
      <c r="K17" s="905"/>
    </row>
    <row r="18" spans="1:11">
      <c r="A18" s="23">
        <v>1</v>
      </c>
      <c r="B18" s="23" t="s">
        <v>710</v>
      </c>
      <c r="C18" s="148"/>
      <c r="D18" s="148"/>
      <c r="E18" s="148"/>
      <c r="F18" s="148"/>
      <c r="G18" s="148"/>
      <c r="H18" s="148"/>
      <c r="I18" s="148"/>
      <c r="J18" s="148"/>
      <c r="K18" s="161">
        <f t="shared" ref="K18:K34" si="2">+SUM(C18:J18)</f>
        <v>0</v>
      </c>
    </row>
    <row r="19" spans="1:11">
      <c r="A19" s="23">
        <v>2</v>
      </c>
      <c r="B19" s="23" t="s">
        <v>735</v>
      </c>
      <c r="C19" s="395">
        <f>SUM(C20:C21)</f>
        <v>0</v>
      </c>
      <c r="D19" s="395">
        <f t="shared" ref="D19:J19" si="3">SUM(D20:D21)</f>
        <v>0</v>
      </c>
      <c r="E19" s="395">
        <f t="shared" si="3"/>
        <v>0</v>
      </c>
      <c r="F19" s="395">
        <f t="shared" si="3"/>
        <v>0</v>
      </c>
      <c r="G19" s="395">
        <f t="shared" si="3"/>
        <v>0</v>
      </c>
      <c r="H19" s="395">
        <f t="shared" si="3"/>
        <v>0</v>
      </c>
      <c r="I19" s="395">
        <f t="shared" si="3"/>
        <v>0</v>
      </c>
      <c r="J19" s="395">
        <f t="shared" si="3"/>
        <v>0</v>
      </c>
      <c r="K19" s="161">
        <f t="shared" si="2"/>
        <v>0</v>
      </c>
    </row>
    <row r="20" spans="1:11">
      <c r="A20" s="23"/>
      <c r="B20" s="850" t="s">
        <v>714</v>
      </c>
      <c r="C20" s="148"/>
      <c r="D20" s="148"/>
      <c r="E20" s="148"/>
      <c r="F20" s="148"/>
      <c r="G20" s="148"/>
      <c r="H20" s="148"/>
      <c r="I20" s="148"/>
      <c r="J20" s="148"/>
      <c r="K20" s="161"/>
    </row>
    <row r="21" spans="1:11">
      <c r="A21" s="23"/>
      <c r="B21" s="850" t="s">
        <v>83</v>
      </c>
      <c r="C21" s="148"/>
      <c r="D21" s="148"/>
      <c r="E21" s="148"/>
      <c r="F21" s="148"/>
      <c r="G21" s="148"/>
      <c r="H21" s="148"/>
      <c r="I21" s="148"/>
      <c r="J21" s="148"/>
      <c r="K21" s="161"/>
    </row>
    <row r="22" spans="1:11">
      <c r="A22" s="23">
        <v>3</v>
      </c>
      <c r="B22" s="23" t="s">
        <v>773</v>
      </c>
      <c r="C22" s="395">
        <f>SUM(C23:C24,C27)</f>
        <v>0</v>
      </c>
      <c r="D22" s="395">
        <f t="shared" ref="D22:J22" si="4">SUM(D23:D24,D27)</f>
        <v>0</v>
      </c>
      <c r="E22" s="395">
        <f t="shared" si="4"/>
        <v>0</v>
      </c>
      <c r="F22" s="395">
        <f t="shared" si="4"/>
        <v>0</v>
      </c>
      <c r="G22" s="395">
        <f t="shared" si="4"/>
        <v>0</v>
      </c>
      <c r="H22" s="395">
        <f t="shared" si="4"/>
        <v>0</v>
      </c>
      <c r="I22" s="395">
        <f t="shared" si="4"/>
        <v>0</v>
      </c>
      <c r="J22" s="395">
        <f t="shared" si="4"/>
        <v>0</v>
      </c>
      <c r="K22" s="161">
        <f t="shared" si="2"/>
        <v>0</v>
      </c>
    </row>
    <row r="23" spans="1:11">
      <c r="A23" s="23"/>
      <c r="B23" s="850" t="s">
        <v>1475</v>
      </c>
      <c r="C23" s="148"/>
      <c r="D23" s="148"/>
      <c r="E23" s="148"/>
      <c r="F23" s="148"/>
      <c r="G23" s="148"/>
      <c r="H23" s="148"/>
      <c r="I23" s="148"/>
      <c r="J23" s="148"/>
      <c r="K23" s="161">
        <f t="shared" si="2"/>
        <v>0</v>
      </c>
    </row>
    <row r="24" spans="1:11">
      <c r="A24" s="23"/>
      <c r="B24" s="850" t="s">
        <v>1476</v>
      </c>
      <c r="C24" s="395">
        <f>SUM(C25:C26)</f>
        <v>0</v>
      </c>
      <c r="D24" s="395">
        <f t="shared" ref="D24" si="5">SUM(D25:D26)</f>
        <v>0</v>
      </c>
      <c r="E24" s="395">
        <f t="shared" ref="E24" si="6">SUM(E25:E26)</f>
        <v>0</v>
      </c>
      <c r="F24" s="395">
        <f t="shared" ref="F24" si="7">SUM(F25:F26)</f>
        <v>0</v>
      </c>
      <c r="G24" s="395">
        <f t="shared" ref="G24" si="8">SUM(G25:G26)</f>
        <v>0</v>
      </c>
      <c r="H24" s="395">
        <f t="shared" ref="H24" si="9">SUM(H25:H26)</f>
        <v>0</v>
      </c>
      <c r="I24" s="395">
        <f t="shared" ref="I24" si="10">SUM(I25:I26)</f>
        <v>0</v>
      </c>
      <c r="J24" s="395">
        <f t="shared" ref="J24" si="11">SUM(J25:J26)</f>
        <v>0</v>
      </c>
      <c r="K24" s="161">
        <f t="shared" si="2"/>
        <v>0</v>
      </c>
    </row>
    <row r="25" spans="1:11">
      <c r="A25" s="23"/>
      <c r="B25" s="968" t="s">
        <v>714</v>
      </c>
      <c r="C25" s="148"/>
      <c r="D25" s="148"/>
      <c r="E25" s="148"/>
      <c r="F25" s="148"/>
      <c r="G25" s="148"/>
      <c r="H25" s="148"/>
      <c r="I25" s="148"/>
      <c r="J25" s="148"/>
      <c r="K25" s="161"/>
    </row>
    <row r="26" spans="1:11">
      <c r="A26" s="23"/>
      <c r="B26" s="968" t="s">
        <v>83</v>
      </c>
      <c r="C26" s="148"/>
      <c r="D26" s="148"/>
      <c r="E26" s="148"/>
      <c r="F26" s="148"/>
      <c r="G26" s="148"/>
      <c r="H26" s="148"/>
      <c r="I26" s="148"/>
      <c r="J26" s="148"/>
      <c r="K26" s="161"/>
    </row>
    <row r="27" spans="1:11">
      <c r="A27" s="23"/>
      <c r="B27" s="850" t="s">
        <v>1477</v>
      </c>
      <c r="C27" s="395">
        <f>SUM(C28:C29)</f>
        <v>0</v>
      </c>
      <c r="D27" s="395">
        <f t="shared" ref="D27" si="12">SUM(D28:D29)</f>
        <v>0</v>
      </c>
      <c r="E27" s="395">
        <f t="shared" ref="E27" si="13">SUM(E28:E29)</f>
        <v>0</v>
      </c>
      <c r="F27" s="395">
        <f t="shared" ref="F27" si="14">SUM(F28:F29)</f>
        <v>0</v>
      </c>
      <c r="G27" s="395">
        <f t="shared" ref="G27" si="15">SUM(G28:G29)</f>
        <v>0</v>
      </c>
      <c r="H27" s="395">
        <f t="shared" ref="H27" si="16">SUM(H28:H29)</f>
        <v>0</v>
      </c>
      <c r="I27" s="395">
        <f t="shared" ref="I27" si="17">SUM(I28:I29)</f>
        <v>0</v>
      </c>
      <c r="J27" s="395">
        <f t="shared" ref="J27" si="18">SUM(J28:J29)</f>
        <v>0</v>
      </c>
      <c r="K27" s="161">
        <f t="shared" si="2"/>
        <v>0</v>
      </c>
    </row>
    <row r="28" spans="1:11">
      <c r="A28" s="23"/>
      <c r="B28" s="968" t="s">
        <v>714</v>
      </c>
      <c r="C28" s="148"/>
      <c r="D28" s="148"/>
      <c r="E28" s="148"/>
      <c r="F28" s="148"/>
      <c r="G28" s="148"/>
      <c r="H28" s="148"/>
      <c r="I28" s="148"/>
      <c r="J28" s="148"/>
      <c r="K28" s="161"/>
    </row>
    <row r="29" spans="1:11">
      <c r="A29" s="23"/>
      <c r="B29" s="968" t="s">
        <v>83</v>
      </c>
      <c r="C29" s="148"/>
      <c r="D29" s="148"/>
      <c r="E29" s="148"/>
      <c r="F29" s="148"/>
      <c r="G29" s="148"/>
      <c r="H29" s="148"/>
      <c r="I29" s="148"/>
      <c r="J29" s="148"/>
      <c r="K29" s="161"/>
    </row>
    <row r="30" spans="1:11">
      <c r="A30" s="23">
        <v>4</v>
      </c>
      <c r="B30" s="23" t="s">
        <v>1161</v>
      </c>
      <c r="C30" s="148"/>
      <c r="D30" s="148"/>
      <c r="E30" s="148"/>
      <c r="F30" s="148"/>
      <c r="G30" s="148"/>
      <c r="H30" s="148"/>
      <c r="I30" s="148"/>
      <c r="J30" s="148"/>
      <c r="K30" s="161">
        <f t="shared" si="2"/>
        <v>0</v>
      </c>
    </row>
    <row r="31" spans="1:11">
      <c r="A31" s="23">
        <v>5</v>
      </c>
      <c r="B31" s="23" t="s">
        <v>832</v>
      </c>
      <c r="C31" s="148"/>
      <c r="D31" s="148"/>
      <c r="E31" s="148"/>
      <c r="F31" s="148"/>
      <c r="G31" s="148"/>
      <c r="H31" s="148"/>
      <c r="I31" s="148"/>
      <c r="J31" s="148"/>
      <c r="K31" s="161">
        <f t="shared" si="2"/>
        <v>0</v>
      </c>
    </row>
    <row r="32" spans="1:11">
      <c r="A32" s="23">
        <v>6</v>
      </c>
      <c r="B32" s="23" t="s">
        <v>66</v>
      </c>
      <c r="C32" s="148"/>
      <c r="D32" s="148"/>
      <c r="E32" s="148"/>
      <c r="F32" s="148"/>
      <c r="G32" s="148"/>
      <c r="H32" s="148"/>
      <c r="I32" s="148"/>
      <c r="J32" s="148"/>
      <c r="K32" s="161">
        <f>+SUM(C32:J32)</f>
        <v>0</v>
      </c>
    </row>
    <row r="33" spans="1:12">
      <c r="A33" s="23">
        <v>7</v>
      </c>
      <c r="B33" s="23" t="s">
        <v>855</v>
      </c>
      <c r="C33" s="148"/>
      <c r="D33" s="148"/>
      <c r="E33" s="148"/>
      <c r="F33" s="148"/>
      <c r="G33" s="148"/>
      <c r="H33" s="148"/>
      <c r="I33" s="148"/>
      <c r="J33" s="148"/>
      <c r="K33" s="161">
        <f t="shared" si="2"/>
        <v>0</v>
      </c>
    </row>
    <row r="34" spans="1:12">
      <c r="A34" s="23">
        <v>8</v>
      </c>
      <c r="B34" s="23" t="s">
        <v>1478</v>
      </c>
      <c r="C34" s="148"/>
      <c r="D34" s="148"/>
      <c r="E34" s="148"/>
      <c r="F34" s="148"/>
      <c r="G34" s="148"/>
      <c r="H34" s="148"/>
      <c r="I34" s="148"/>
      <c r="J34" s="148"/>
      <c r="K34" s="161">
        <f t="shared" si="2"/>
        <v>0</v>
      </c>
    </row>
    <row r="35" spans="1:12">
      <c r="A35" s="1198" t="s">
        <v>282</v>
      </c>
      <c r="B35" s="1198"/>
      <c r="C35" s="846">
        <f>+SUM(C18:C19,C22,C30:C34)</f>
        <v>0</v>
      </c>
      <c r="D35" s="846">
        <f t="shared" ref="D35:I35" si="19">+SUM(D18:D19,D22,D30:D34)</f>
        <v>0</v>
      </c>
      <c r="E35" s="846">
        <f t="shared" si="19"/>
        <v>0</v>
      </c>
      <c r="F35" s="846">
        <f t="shared" si="19"/>
        <v>0</v>
      </c>
      <c r="G35" s="846">
        <f t="shared" si="19"/>
        <v>0</v>
      </c>
      <c r="H35" s="846">
        <f t="shared" si="19"/>
        <v>0</v>
      </c>
      <c r="I35" s="846">
        <f t="shared" si="19"/>
        <v>0</v>
      </c>
      <c r="J35" s="846">
        <f>+SUM(J18:J19,J22,J30:J34)</f>
        <v>0</v>
      </c>
      <c r="K35" s="846">
        <f>+SUM(K18:K19,K22,K30:K34)</f>
        <v>0</v>
      </c>
    </row>
    <row r="36" spans="1:12">
      <c r="A36" s="1199" t="s">
        <v>283</v>
      </c>
      <c r="B36" s="1199"/>
      <c r="C36" s="395">
        <f>+C16-C35</f>
        <v>0</v>
      </c>
      <c r="D36" s="395">
        <f>+D16-D35</f>
        <v>0</v>
      </c>
      <c r="E36" s="395">
        <f t="shared" ref="E36:J36" si="20">+E16-E35</f>
        <v>0</v>
      </c>
      <c r="F36" s="395">
        <f t="shared" si="20"/>
        <v>0</v>
      </c>
      <c r="G36" s="395">
        <f t="shared" si="20"/>
        <v>0</v>
      </c>
      <c r="H36" s="395">
        <f t="shared" si="20"/>
        <v>0</v>
      </c>
      <c r="I36" s="395">
        <f t="shared" si="20"/>
        <v>0</v>
      </c>
      <c r="J36" s="395">
        <f t="shared" si="20"/>
        <v>0</v>
      </c>
      <c r="K36" s="395">
        <f>+K16-K35</f>
        <v>0</v>
      </c>
    </row>
    <row r="37" spans="1:12">
      <c r="A37" s="1199" t="s">
        <v>284</v>
      </c>
      <c r="B37" s="1199"/>
      <c r="C37" s="395">
        <f>+C36</f>
        <v>0</v>
      </c>
      <c r="D37" s="395">
        <f>+SUM(C36:D36)</f>
        <v>0</v>
      </c>
      <c r="E37" s="395">
        <f>+SUM(C36:E36)</f>
        <v>0</v>
      </c>
      <c r="F37" s="395">
        <f>+SUM(C36:F36)</f>
        <v>0</v>
      </c>
      <c r="G37" s="395">
        <f>+SUM(C36:G36)</f>
        <v>0</v>
      </c>
      <c r="H37" s="395">
        <f>+SUM(C36:H36)</f>
        <v>0</v>
      </c>
      <c r="I37" s="395">
        <f>+SUM(C36:I36)</f>
        <v>0</v>
      </c>
      <c r="J37" s="395">
        <f>+SUM(C36:J36)</f>
        <v>0</v>
      </c>
      <c r="K37" s="395">
        <f>K36</f>
        <v>0</v>
      </c>
    </row>
    <row r="38" spans="1:12" s="13" customFormat="1" ht="31.5" customHeight="1">
      <c r="A38" s="1197" t="s">
        <v>285</v>
      </c>
      <c r="B38" s="1197"/>
      <c r="C38" s="911" t="e">
        <f>+C37/BS!$I$102</f>
        <v>#DIV/0!</v>
      </c>
      <c r="D38" s="911" t="e">
        <f>+D37/BS!$I$102</f>
        <v>#DIV/0!</v>
      </c>
      <c r="E38" s="911" t="e">
        <f>+E37/BS!$I$102</f>
        <v>#DIV/0!</v>
      </c>
      <c r="F38" s="911" t="e">
        <f>+F37/BS!$I$102</f>
        <v>#DIV/0!</v>
      </c>
      <c r="G38" s="911" t="e">
        <f>+G37/BS!$I$102</f>
        <v>#DIV/0!</v>
      </c>
      <c r="H38" s="911" t="e">
        <f>+H37/BS!$I$102</f>
        <v>#DIV/0!</v>
      </c>
      <c r="I38" s="911" t="e">
        <f>+I37/BS!$I$102</f>
        <v>#DIV/0!</v>
      </c>
      <c r="J38" s="911" t="e">
        <f>+J37/BS!$I$102</f>
        <v>#DIV/0!</v>
      </c>
      <c r="K38" s="911" t="e">
        <f>+K37/BS!$I$102</f>
        <v>#DIV/0!</v>
      </c>
      <c r="L38" s="912"/>
    </row>
    <row r="39" spans="1:12">
      <c r="B39" s="3" t="s">
        <v>592</v>
      </c>
    </row>
    <row r="40" spans="1:12">
      <c r="B40" s="3" t="s">
        <v>593</v>
      </c>
    </row>
    <row r="42" spans="1:12">
      <c r="B42" s="34" t="s">
        <v>33</v>
      </c>
      <c r="C42" s="252"/>
      <c r="D42" s="906"/>
      <c r="E42" s="13"/>
      <c r="F42" s="14"/>
    </row>
    <row r="43" spans="1:12">
      <c r="B43" s="34"/>
      <c r="C43" s="252"/>
      <c r="D43" s="906"/>
      <c r="E43" s="13"/>
      <c r="F43" s="14"/>
    </row>
    <row r="44" spans="1:12">
      <c r="B44" s="863"/>
      <c r="C44" s="17" t="s">
        <v>122</v>
      </c>
      <c r="D44" s="907"/>
      <c r="E44" s="17"/>
      <c r="F44" s="3"/>
    </row>
    <row r="45" spans="1:12">
      <c r="B45" s="16"/>
      <c r="C45" s="252"/>
      <c r="D45" s="906"/>
      <c r="E45" s="13"/>
      <c r="F45" s="14"/>
    </row>
    <row r="46" spans="1:12" ht="15" customHeight="1">
      <c r="B46" s="252"/>
      <c r="C46" s="252"/>
      <c r="D46" s="252" t="str">
        <f>+Statistic!B60</f>
        <v>ГҮЙЦЭТГЭХ ЗАХИРАЛ.......................//</v>
      </c>
      <c r="E46" s="252"/>
      <c r="F46" s="252"/>
      <c r="G46" s="252"/>
      <c r="H46" s="252"/>
    </row>
    <row r="47" spans="1:12">
      <c r="B47" s="908"/>
      <c r="C47" s="908"/>
      <c r="D47" s="861"/>
      <c r="E47" s="861"/>
      <c r="F47" s="861"/>
      <c r="G47" s="909"/>
      <c r="H47" s="909"/>
    </row>
    <row r="48" spans="1:12" ht="15" customHeight="1">
      <c r="B48" s="252"/>
      <c r="C48" s="252"/>
      <c r="D48" s="252" t="str">
        <f>+Statistic!B62</f>
        <v>ЕРӨНХИЙ НЯГТЛАН БОДОГЧ...................................................//</v>
      </c>
      <c r="E48" s="252"/>
      <c r="F48" s="252"/>
      <c r="G48" s="252"/>
      <c r="H48" s="252"/>
    </row>
    <row r="49" spans="2:8">
      <c r="B49" s="908"/>
      <c r="C49" s="908"/>
      <c r="D49" s="861"/>
      <c r="E49" s="861"/>
      <c r="F49" s="861"/>
      <c r="G49" s="909"/>
      <c r="H49" s="909"/>
    </row>
    <row r="50" spans="2:8" ht="15" customHeight="1">
      <c r="B50" s="252"/>
      <c r="C50" s="252"/>
      <c r="D50" s="252"/>
      <c r="E50" s="252"/>
      <c r="F50" s="252"/>
      <c r="G50" s="252"/>
      <c r="H50" s="252"/>
    </row>
  </sheetData>
  <sheetProtection algorithmName="SHA-512" hashValue="ByEzEVGZNfAiJd2XyMIUgWiktEeKrDU1z2aTPRXiawRwaCfeIzJZrFX93mg82Wx7ds9dDEROlQ7O+LkPXKvqgQ==" saltValue="vWLvmWSDFdp0NR0Q+WgFQw==" spinCount="100000" sheet="1" objects="1" scenarios="1"/>
  <mergeCells count="12">
    <mergeCell ref="A7:B7"/>
    <mergeCell ref="A2:K2"/>
    <mergeCell ref="A3:K3"/>
    <mergeCell ref="A4:K4"/>
    <mergeCell ref="A6:B6"/>
    <mergeCell ref="J6:K6"/>
    <mergeCell ref="A38:B38"/>
    <mergeCell ref="A16:B16"/>
    <mergeCell ref="A17:B17"/>
    <mergeCell ref="A35:B35"/>
    <mergeCell ref="A36:B36"/>
    <mergeCell ref="A37:B37"/>
  </mergeCells>
  <pageMargins left="0.7" right="0.7" top="0.75" bottom="0.75" header="0.3" footer="0.3"/>
  <pageSetup paperSize="9" scale="5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90" customWidth="1"/>
    <col min="15" max="15" width="9.140625" style="91"/>
    <col min="16" max="16384" width="9.140625" style="3"/>
  </cols>
  <sheetData>
    <row r="2" spans="1:15">
      <c r="A2" s="982" t="s">
        <v>467</v>
      </c>
      <c r="B2" s="982"/>
      <c r="C2" s="982"/>
      <c r="D2" s="982"/>
      <c r="E2" s="982"/>
      <c r="F2" s="982"/>
      <c r="G2" s="982"/>
      <c r="H2" s="982"/>
      <c r="I2" s="982"/>
      <c r="J2" s="982"/>
      <c r="K2" s="982"/>
      <c r="L2" s="982"/>
      <c r="M2" s="982"/>
      <c r="N2" s="982"/>
      <c r="O2" s="982"/>
    </row>
    <row r="3" spans="1:15">
      <c r="A3" s="990" t="str">
        <f>+GB!A3</f>
        <v xml:space="preserve">БАНК БУС САНХҮҮГИЙН БАЙГУУЛЛАГЫН НЭР </v>
      </c>
      <c r="B3" s="990"/>
      <c r="C3" s="990"/>
      <c r="D3" s="990"/>
      <c r="E3" s="990"/>
      <c r="F3" s="990"/>
      <c r="G3" s="990"/>
      <c r="H3" s="990"/>
      <c r="I3" s="990"/>
      <c r="J3" s="990"/>
      <c r="K3" s="990"/>
      <c r="L3" s="990"/>
      <c r="M3" s="990"/>
      <c r="N3" s="990"/>
      <c r="O3" s="990"/>
    </row>
    <row r="4" spans="1:15">
      <c r="A4" s="982" t="str">
        <f>+GB!A4</f>
        <v>БАНК БУС САНХҮҮГИЙН БАЙГУУЛЛАГА</v>
      </c>
      <c r="B4" s="982"/>
      <c r="C4" s="982"/>
      <c r="D4" s="982"/>
      <c r="E4" s="982"/>
      <c r="F4" s="982"/>
      <c r="G4" s="982"/>
      <c r="H4" s="982"/>
      <c r="I4" s="982"/>
      <c r="J4" s="982"/>
      <c r="K4" s="982"/>
      <c r="L4" s="982"/>
      <c r="M4" s="982"/>
      <c r="N4" s="982"/>
      <c r="O4" s="982"/>
    </row>
    <row r="5" spans="1:15">
      <c r="A5" s="1"/>
      <c r="B5" s="1"/>
      <c r="C5" s="1"/>
      <c r="D5" s="1"/>
      <c r="E5" s="1"/>
      <c r="F5" s="1"/>
      <c r="G5" s="1"/>
      <c r="H5" s="1"/>
      <c r="I5" s="1"/>
      <c r="J5" s="1"/>
      <c r="K5" s="1"/>
      <c r="L5" s="1"/>
      <c r="M5" s="1"/>
      <c r="N5" s="1"/>
      <c r="O5" s="1"/>
    </row>
    <row r="6" spans="1:15">
      <c r="A6" s="1204">
        <f>+GB!A6</f>
        <v>45716</v>
      </c>
      <c r="B6" s="1204"/>
      <c r="N6" s="1182" t="s">
        <v>41</v>
      </c>
      <c r="O6" s="1182"/>
    </row>
    <row r="7" spans="1:15" ht="21" customHeight="1">
      <c r="A7" s="1203" t="s">
        <v>2</v>
      </c>
      <c r="B7" s="1202" t="s">
        <v>43</v>
      </c>
      <c r="C7" s="1203" t="s">
        <v>468</v>
      </c>
      <c r="D7" s="1203" t="s">
        <v>469</v>
      </c>
      <c r="E7" s="1203" t="s">
        <v>470</v>
      </c>
      <c r="F7" s="1202" t="s">
        <v>471</v>
      </c>
      <c r="G7" s="1203" t="s">
        <v>472</v>
      </c>
      <c r="H7" s="1203" t="s">
        <v>469</v>
      </c>
      <c r="I7" s="1202" t="s">
        <v>473</v>
      </c>
      <c r="J7" s="1203" t="s">
        <v>474</v>
      </c>
      <c r="K7" s="1203"/>
      <c r="L7" s="1203"/>
      <c r="M7" s="1207" t="s">
        <v>475</v>
      </c>
      <c r="N7" s="1207"/>
      <c r="O7" s="1205" t="s">
        <v>297</v>
      </c>
    </row>
    <row r="8" spans="1:15" ht="21" customHeight="1">
      <c r="A8" s="1203"/>
      <c r="B8" s="1202"/>
      <c r="C8" s="1203"/>
      <c r="D8" s="1203"/>
      <c r="E8" s="1203"/>
      <c r="F8" s="1202"/>
      <c r="G8" s="1203"/>
      <c r="H8" s="1203"/>
      <c r="I8" s="1202"/>
      <c r="J8" s="82" t="s">
        <v>476</v>
      </c>
      <c r="K8" s="82" t="s">
        <v>477</v>
      </c>
      <c r="L8" s="82" t="s">
        <v>478</v>
      </c>
      <c r="M8" s="214" t="s">
        <v>208</v>
      </c>
      <c r="N8" s="214" t="s">
        <v>313</v>
      </c>
      <c r="O8" s="1205"/>
    </row>
    <row r="9" spans="1:15">
      <c r="A9" s="212">
        <v>1</v>
      </c>
      <c r="B9" s="76"/>
      <c r="C9" s="76"/>
      <c r="D9" s="76"/>
      <c r="E9" s="76"/>
      <c r="F9" s="76"/>
      <c r="G9" s="76"/>
      <c r="H9" s="76"/>
      <c r="I9" s="76"/>
      <c r="J9" s="84"/>
      <c r="K9" s="84"/>
      <c r="L9" s="84"/>
      <c r="M9" s="148"/>
      <c r="N9" s="148"/>
      <c r="O9" s="920" t="e">
        <f>+M9/BS!I$96*100%</f>
        <v>#DIV/0!</v>
      </c>
    </row>
    <row r="10" spans="1:15">
      <c r="A10" s="212">
        <v>2</v>
      </c>
      <c r="B10" s="76"/>
      <c r="C10" s="76"/>
      <c r="D10" s="76"/>
      <c r="E10" s="76"/>
      <c r="F10" s="76"/>
      <c r="G10" s="76"/>
      <c r="H10" s="76"/>
      <c r="I10" s="76"/>
      <c r="J10" s="84"/>
      <c r="K10" s="84"/>
      <c r="L10" s="84"/>
      <c r="M10" s="148"/>
      <c r="N10" s="148"/>
      <c r="O10" s="920" t="e">
        <f>+M10/BS!I$96*100%</f>
        <v>#DIV/0!</v>
      </c>
    </row>
    <row r="11" spans="1:15">
      <c r="A11" s="212">
        <v>3</v>
      </c>
      <c r="B11" s="76"/>
      <c r="C11" s="76"/>
      <c r="D11" s="76"/>
      <c r="E11" s="76"/>
      <c r="F11" s="76"/>
      <c r="G11" s="76"/>
      <c r="H11" s="76"/>
      <c r="I11" s="76"/>
      <c r="J11" s="84"/>
      <c r="K11" s="84"/>
      <c r="L11" s="84"/>
      <c r="M11" s="148"/>
      <c r="N11" s="148"/>
      <c r="O11" s="920" t="e">
        <f>+M11/BS!I$96*100%</f>
        <v>#DIV/0!</v>
      </c>
    </row>
    <row r="12" spans="1:15">
      <c r="A12" s="212">
        <v>4</v>
      </c>
      <c r="B12" s="76"/>
      <c r="C12" s="76"/>
      <c r="D12" s="76"/>
      <c r="E12" s="76"/>
      <c r="F12" s="76"/>
      <c r="G12" s="76"/>
      <c r="H12" s="76"/>
      <c r="I12" s="76"/>
      <c r="J12" s="84"/>
      <c r="K12" s="84"/>
      <c r="L12" s="84"/>
      <c r="M12" s="148"/>
      <c r="N12" s="148"/>
      <c r="O12" s="920" t="e">
        <f>+M12/BS!I$96*100%</f>
        <v>#DIV/0!</v>
      </c>
    </row>
    <row r="13" spans="1:15">
      <c r="A13" s="212">
        <v>5</v>
      </c>
      <c r="B13" s="76"/>
      <c r="C13" s="76"/>
      <c r="D13" s="76"/>
      <c r="E13" s="76"/>
      <c r="F13" s="76"/>
      <c r="G13" s="76"/>
      <c r="H13" s="76"/>
      <c r="I13" s="76"/>
      <c r="J13" s="84"/>
      <c r="K13" s="84"/>
      <c r="L13" s="84"/>
      <c r="M13" s="148"/>
      <c r="N13" s="148"/>
      <c r="O13" s="920" t="e">
        <f>+M13/BS!I$96*100%</f>
        <v>#DIV/0!</v>
      </c>
    </row>
    <row r="14" spans="1:15">
      <c r="A14" s="1206" t="s">
        <v>3</v>
      </c>
      <c r="B14" s="1206"/>
      <c r="C14" s="88"/>
      <c r="D14" s="88"/>
      <c r="E14" s="88"/>
      <c r="F14" s="88"/>
      <c r="G14" s="88"/>
      <c r="H14" s="88"/>
      <c r="I14" s="88"/>
      <c r="J14" s="88"/>
      <c r="K14" s="88"/>
      <c r="L14" s="88"/>
      <c r="M14" s="225">
        <f>+SUM(M9:M13)</f>
        <v>0</v>
      </c>
      <c r="N14" s="225">
        <f>+SUM(N9:N13)</f>
        <v>0</v>
      </c>
      <c r="O14" s="920"/>
    </row>
    <row r="15" spans="1:15">
      <c r="A15" s="212">
        <v>1</v>
      </c>
      <c r="B15" s="76"/>
      <c r="C15" s="76"/>
      <c r="D15" s="76"/>
      <c r="E15" s="76"/>
      <c r="F15" s="76"/>
      <c r="G15" s="76"/>
      <c r="H15" s="76"/>
      <c r="I15" s="76"/>
      <c r="J15" s="84"/>
      <c r="K15" s="84"/>
      <c r="L15" s="84"/>
      <c r="M15" s="148"/>
      <c r="N15" s="148"/>
      <c r="O15" s="920" t="e">
        <f>+M15/BS!I$96*100%</f>
        <v>#DIV/0!</v>
      </c>
    </row>
    <row r="16" spans="1:15">
      <c r="A16" s="212">
        <v>2</v>
      </c>
      <c r="B16" s="76"/>
      <c r="C16" s="76"/>
      <c r="D16" s="76"/>
      <c r="E16" s="76"/>
      <c r="F16" s="76"/>
      <c r="G16" s="76"/>
      <c r="H16" s="76"/>
      <c r="I16" s="76"/>
      <c r="J16" s="84"/>
      <c r="K16" s="84"/>
      <c r="L16" s="84"/>
      <c r="M16" s="148"/>
      <c r="N16" s="148"/>
      <c r="O16" s="920" t="e">
        <f>+M16/BS!I$96*100%</f>
        <v>#DIV/0!</v>
      </c>
    </row>
    <row r="17" spans="1:15">
      <c r="A17" s="212">
        <v>3</v>
      </c>
      <c r="B17" s="76"/>
      <c r="C17" s="76"/>
      <c r="D17" s="76"/>
      <c r="E17" s="76"/>
      <c r="F17" s="76"/>
      <c r="G17" s="76"/>
      <c r="H17" s="76"/>
      <c r="I17" s="76"/>
      <c r="J17" s="84"/>
      <c r="K17" s="84"/>
      <c r="L17" s="84"/>
      <c r="M17" s="148"/>
      <c r="N17" s="148"/>
      <c r="O17" s="920" t="e">
        <f>+M17/BS!I$96*100%</f>
        <v>#DIV/0!</v>
      </c>
    </row>
    <row r="18" spans="1:15">
      <c r="A18" s="212">
        <v>4</v>
      </c>
      <c r="B18" s="76"/>
      <c r="C18" s="76"/>
      <c r="D18" s="76"/>
      <c r="E18" s="76"/>
      <c r="F18" s="76"/>
      <c r="G18" s="76"/>
      <c r="H18" s="76"/>
      <c r="I18" s="76"/>
      <c r="J18" s="84"/>
      <c r="K18" s="84"/>
      <c r="L18" s="84"/>
      <c r="M18" s="148"/>
      <c r="N18" s="148"/>
      <c r="O18" s="920" t="e">
        <f>+M18/BS!I$96*100%</f>
        <v>#DIV/0!</v>
      </c>
    </row>
    <row r="19" spans="1:15">
      <c r="A19" s="212">
        <v>5</v>
      </c>
      <c r="B19" s="76"/>
      <c r="C19" s="76"/>
      <c r="D19" s="76"/>
      <c r="E19" s="76"/>
      <c r="F19" s="76"/>
      <c r="G19" s="76"/>
      <c r="H19" s="76"/>
      <c r="I19" s="76"/>
      <c r="J19" s="84"/>
      <c r="K19" s="84"/>
      <c r="L19" s="84"/>
      <c r="M19" s="148"/>
      <c r="N19" s="148"/>
      <c r="O19" s="920" t="e">
        <f>+M19/BS!I$96*100%</f>
        <v>#DIV/0!</v>
      </c>
    </row>
    <row r="20" spans="1:15">
      <c r="A20" s="1206" t="s">
        <v>3</v>
      </c>
      <c r="B20" s="1206"/>
      <c r="C20" s="88"/>
      <c r="D20" s="88"/>
      <c r="E20" s="88"/>
      <c r="F20" s="88"/>
      <c r="G20" s="88"/>
      <c r="H20" s="88"/>
      <c r="I20" s="88"/>
      <c r="J20" s="88"/>
      <c r="K20" s="88"/>
      <c r="L20" s="88"/>
      <c r="M20" s="225">
        <f>+SUM(M15:M19)</f>
        <v>0</v>
      </c>
      <c r="N20" s="225">
        <f>+SUM(N15:N19)</f>
        <v>0</v>
      </c>
      <c r="O20" s="920"/>
    </row>
    <row r="21" spans="1:15">
      <c r="A21" s="212">
        <v>1</v>
      </c>
      <c r="B21" s="76"/>
      <c r="C21" s="76"/>
      <c r="D21" s="76"/>
      <c r="E21" s="76"/>
      <c r="F21" s="76"/>
      <c r="G21" s="76"/>
      <c r="H21" s="76"/>
      <c r="I21" s="76"/>
      <c r="J21" s="84"/>
      <c r="K21" s="84"/>
      <c r="L21" s="84"/>
      <c r="M21" s="148"/>
      <c r="N21" s="148"/>
      <c r="O21" s="920" t="e">
        <f>+M21/BS!I$96*100%</f>
        <v>#DIV/0!</v>
      </c>
    </row>
    <row r="22" spans="1:15">
      <c r="A22" s="212">
        <v>2</v>
      </c>
      <c r="B22" s="76"/>
      <c r="C22" s="76"/>
      <c r="D22" s="76"/>
      <c r="E22" s="76"/>
      <c r="F22" s="76"/>
      <c r="G22" s="76"/>
      <c r="H22" s="76"/>
      <c r="I22" s="76"/>
      <c r="J22" s="84"/>
      <c r="K22" s="84"/>
      <c r="L22" s="84"/>
      <c r="M22" s="148"/>
      <c r="N22" s="148"/>
      <c r="O22" s="920" t="e">
        <f>+M22/BS!I$96*100%</f>
        <v>#DIV/0!</v>
      </c>
    </row>
    <row r="23" spans="1:15">
      <c r="A23" s="212">
        <v>3</v>
      </c>
      <c r="B23" s="76"/>
      <c r="C23" s="76"/>
      <c r="D23" s="76"/>
      <c r="E23" s="76"/>
      <c r="F23" s="76"/>
      <c r="G23" s="76"/>
      <c r="H23" s="76"/>
      <c r="I23" s="76"/>
      <c r="J23" s="84"/>
      <c r="K23" s="84"/>
      <c r="L23" s="84"/>
      <c r="M23" s="148"/>
      <c r="N23" s="148"/>
      <c r="O23" s="920" t="e">
        <f>+M23/BS!I$96*100%</f>
        <v>#DIV/0!</v>
      </c>
    </row>
    <row r="24" spans="1:15">
      <c r="A24" s="212">
        <v>4</v>
      </c>
      <c r="B24" s="76"/>
      <c r="C24" s="76"/>
      <c r="D24" s="76"/>
      <c r="E24" s="76"/>
      <c r="F24" s="76"/>
      <c r="G24" s="76"/>
      <c r="H24" s="76"/>
      <c r="I24" s="76"/>
      <c r="J24" s="84"/>
      <c r="K24" s="84"/>
      <c r="L24" s="84"/>
      <c r="M24" s="148"/>
      <c r="N24" s="148"/>
      <c r="O24" s="920" t="e">
        <f>+M24/BS!I$96*100%</f>
        <v>#DIV/0!</v>
      </c>
    </row>
    <row r="25" spans="1:15">
      <c r="A25" s="212">
        <v>5</v>
      </c>
      <c r="B25" s="76"/>
      <c r="C25" s="76"/>
      <c r="D25" s="76"/>
      <c r="E25" s="76"/>
      <c r="F25" s="76"/>
      <c r="G25" s="76"/>
      <c r="H25" s="76"/>
      <c r="I25" s="76"/>
      <c r="J25" s="84"/>
      <c r="K25" s="84"/>
      <c r="L25" s="84"/>
      <c r="M25" s="148"/>
      <c r="N25" s="148"/>
      <c r="O25" s="920" t="e">
        <f>+M25/BS!I$96*100%</f>
        <v>#DIV/0!</v>
      </c>
    </row>
    <row r="26" spans="1:15">
      <c r="A26" s="1206" t="s">
        <v>3</v>
      </c>
      <c r="B26" s="1206"/>
      <c r="C26" s="88"/>
      <c r="D26" s="88"/>
      <c r="E26" s="88"/>
      <c r="F26" s="88"/>
      <c r="G26" s="88"/>
      <c r="H26" s="88"/>
      <c r="I26" s="88"/>
      <c r="J26" s="88"/>
      <c r="K26" s="88"/>
      <c r="L26" s="88"/>
      <c r="M26" s="225">
        <f>+SUM(M21:M25)</f>
        <v>0</v>
      </c>
      <c r="N26" s="225">
        <f>+SUM(N21:N25)</f>
        <v>0</v>
      </c>
      <c r="O26" s="920"/>
    </row>
    <row r="27" spans="1:15">
      <c r="A27" s="1129" t="s">
        <v>298</v>
      </c>
      <c r="B27" s="1129"/>
      <c r="C27" s="85"/>
      <c r="D27" s="85"/>
      <c r="E27" s="85"/>
      <c r="F27" s="85"/>
      <c r="G27" s="85"/>
      <c r="H27" s="85"/>
      <c r="I27" s="85"/>
      <c r="J27" s="85"/>
      <c r="K27" s="85"/>
      <c r="L27" s="85"/>
      <c r="M27" s="226">
        <f>+SUM(M14,M20,M26)</f>
        <v>0</v>
      </c>
      <c r="N27" s="226">
        <f>+SUM(N14,N20,N26)</f>
        <v>0</v>
      </c>
      <c r="O27" s="224"/>
    </row>
    <row r="28" spans="1:15">
      <c r="M28" s="1201" t="s">
        <v>462</v>
      </c>
      <c r="N28" s="1201"/>
      <c r="O28" s="210" t="e">
        <f>+MAX(O9:O25)</f>
        <v>#DIV/0!</v>
      </c>
    </row>
    <row r="30" spans="1:15">
      <c r="C30" s="34" t="s">
        <v>33</v>
      </c>
      <c r="D30" s="93"/>
      <c r="E30" s="92"/>
      <c r="F30" s="13"/>
      <c r="G30" s="14"/>
    </row>
    <row r="31" spans="1:15">
      <c r="C31" s="34"/>
      <c r="D31" s="93"/>
      <c r="E31" s="92"/>
      <c r="F31" s="13"/>
      <c r="G31" s="14"/>
    </row>
    <row r="32" spans="1:15">
      <c r="C32" s="90"/>
      <c r="D32" s="1028" t="s">
        <v>122</v>
      </c>
      <c r="E32" s="1028"/>
      <c r="F32" s="17"/>
    </row>
    <row r="33" spans="3:9">
      <c r="C33" s="16"/>
      <c r="D33" s="93"/>
      <c r="E33" s="92"/>
      <c r="F33" s="13"/>
      <c r="G33" s="14"/>
    </row>
    <row r="34" spans="3:9" ht="15" customHeight="1">
      <c r="C34" s="126"/>
      <c r="D34" s="126"/>
      <c r="E34" s="126" t="str">
        <f>+Statistic!B60</f>
        <v>ГҮЙЦЭТГЭХ ЗАХИРАЛ.......................//</v>
      </c>
      <c r="F34" s="126"/>
      <c r="G34" s="126"/>
      <c r="H34" s="126"/>
      <c r="I34" s="126"/>
    </row>
    <row r="35" spans="3:9">
      <c r="C35" s="95"/>
      <c r="D35" s="95"/>
      <c r="E35" s="95"/>
      <c r="F35" s="95"/>
      <c r="G35" s="95"/>
    </row>
    <row r="36" spans="3:9" ht="15" customHeight="1">
      <c r="C36" s="126"/>
      <c r="D36" s="126"/>
      <c r="E36" s="126" t="str">
        <f>+Statistic!B62</f>
        <v>ЕРӨНХИЙ НЯГТЛАН БОДОГЧ...................................................//</v>
      </c>
      <c r="F36" s="126"/>
      <c r="G36" s="126"/>
      <c r="H36" s="126"/>
      <c r="I36" s="126"/>
    </row>
    <row r="37" spans="3:9">
      <c r="C37" s="95"/>
      <c r="D37" s="95"/>
      <c r="E37" s="95"/>
      <c r="F37" s="95"/>
      <c r="G37" s="95"/>
    </row>
    <row r="38" spans="3:9" ht="15" customHeight="1">
      <c r="C38" s="126"/>
      <c r="D38" s="126"/>
      <c r="E38" s="126"/>
      <c r="F38" s="126"/>
      <c r="G38" s="126"/>
      <c r="H38" s="126"/>
      <c r="I38" s="126"/>
    </row>
  </sheetData>
  <sheetProtection algorithmName="SHA-512" hashValue="KmkKgh+O7A1wEsKSAb3PWaybBnsHTjF5iIjR5Hm4xguhWxkfMwgGU8CF5DkQ2vmhu85SFmPy6OuiuFa7pMjqCg==" saltValue="xhJg20WR/fYexSxYKkEOQQ==" spinCount="100000" sheet="1" objects="1" scenarios="1"/>
  <mergeCells count="23">
    <mergeCell ref="O7:O8"/>
    <mergeCell ref="H7:H8"/>
    <mergeCell ref="A20:B20"/>
    <mergeCell ref="A26:B26"/>
    <mergeCell ref="C7:C8"/>
    <mergeCell ref="M7:N7"/>
    <mergeCell ref="A14:B14"/>
    <mergeCell ref="D7:D8"/>
    <mergeCell ref="E7:E8"/>
    <mergeCell ref="F7:F8"/>
    <mergeCell ref="G7:G8"/>
    <mergeCell ref="A2:O2"/>
    <mergeCell ref="A3:O3"/>
    <mergeCell ref="A4:O4"/>
    <mergeCell ref="A6:B6"/>
    <mergeCell ref="N6:O6"/>
    <mergeCell ref="D32:E32"/>
    <mergeCell ref="A27:B27"/>
    <mergeCell ref="M28:N28"/>
    <mergeCell ref="I7:I8"/>
    <mergeCell ref="J7:L7"/>
    <mergeCell ref="A7:A8"/>
    <mergeCell ref="B7:B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E45"/>
  <sheetViews>
    <sheetView workbookViewId="0"/>
  </sheetViews>
  <sheetFormatPr defaultRowHeight="12.75"/>
  <cols>
    <col min="1" max="1" width="3.28515625" style="16" customWidth="1"/>
    <col min="2" max="2" width="55.7109375" style="3" customWidth="1"/>
    <col min="3" max="3" width="15.7109375" style="16" bestFit="1" customWidth="1"/>
    <col min="4" max="4" width="19.7109375" style="134" customWidth="1"/>
    <col min="5" max="5" width="16.85546875" style="16" bestFit="1" customWidth="1"/>
    <col min="6" max="16384" width="9.140625" style="3"/>
  </cols>
  <sheetData>
    <row r="2" spans="1:5">
      <c r="A2" s="982" t="s">
        <v>491</v>
      </c>
      <c r="B2" s="982"/>
      <c r="C2" s="982"/>
      <c r="D2" s="982"/>
      <c r="E2" s="982"/>
    </row>
    <row r="3" spans="1:5">
      <c r="A3" s="990" t="str">
        <f>+GB!A3</f>
        <v xml:space="preserve">БАНК БУС САНХҮҮГИЙН БАЙГУУЛЛАГЫН НЭР </v>
      </c>
      <c r="B3" s="990"/>
      <c r="C3" s="990"/>
      <c r="D3" s="990"/>
      <c r="E3" s="990"/>
    </row>
    <row r="4" spans="1:5">
      <c r="A4" s="982" t="str">
        <f>+GB!A4</f>
        <v>БАНК БУС САНХҮҮГИЙН БАЙГУУЛЛАГА</v>
      </c>
      <c r="B4" s="982"/>
      <c r="C4" s="982"/>
      <c r="D4" s="982"/>
      <c r="E4" s="982"/>
    </row>
    <row r="5" spans="1:5">
      <c r="A5" s="1"/>
      <c r="B5" s="1"/>
      <c r="C5" s="1"/>
      <c r="D5" s="1"/>
      <c r="E5" s="18"/>
    </row>
    <row r="6" spans="1:5">
      <c r="A6" s="1128">
        <f>+GB!A6</f>
        <v>45716</v>
      </c>
      <c r="B6" s="1128"/>
    </row>
    <row r="7" spans="1:5">
      <c r="A7" s="233" t="s">
        <v>2</v>
      </c>
      <c r="B7" s="21" t="s">
        <v>492</v>
      </c>
      <c r="C7" s="233" t="s">
        <v>493</v>
      </c>
      <c r="D7" s="234" t="s">
        <v>494</v>
      </c>
      <c r="E7" s="233" t="s">
        <v>495</v>
      </c>
    </row>
    <row r="8" spans="1:5">
      <c r="A8" s="233" t="s">
        <v>239</v>
      </c>
      <c r="B8" s="1208" t="s">
        <v>496</v>
      </c>
      <c r="C8" s="1208"/>
      <c r="D8" s="1208"/>
      <c r="E8" s="1208"/>
    </row>
    <row r="9" spans="1:5" ht="25.5">
      <c r="A9" s="25">
        <v>1</v>
      </c>
      <c r="B9" s="235" t="s">
        <v>497</v>
      </c>
      <c r="C9" s="236" t="s">
        <v>189</v>
      </c>
      <c r="D9" s="237" t="e">
        <f>+Capital!E49</f>
        <v>#DIV/0!</v>
      </c>
      <c r="E9" s="250" t="e">
        <f>+Capital!E50</f>
        <v>#DIV/0!</v>
      </c>
    </row>
    <row r="10" spans="1:5" ht="25.5">
      <c r="A10" s="25">
        <v>2</v>
      </c>
      <c r="B10" s="235" t="s">
        <v>498</v>
      </c>
      <c r="C10" s="167" t="s">
        <v>194</v>
      </c>
      <c r="D10" s="237" t="e">
        <f>+Capital!E52</f>
        <v>#DIV/0!</v>
      </c>
      <c r="E10" s="250" t="e">
        <f>+Capital!E53</f>
        <v>#DIV/0!</v>
      </c>
    </row>
    <row r="11" spans="1:5" ht="25.5">
      <c r="A11" s="25">
        <v>3</v>
      </c>
      <c r="B11" s="238" t="s">
        <v>196</v>
      </c>
      <c r="C11" s="25" t="s">
        <v>189</v>
      </c>
      <c r="D11" s="239" t="e">
        <f>+Capital!E55</f>
        <v>#DIV/0!</v>
      </c>
      <c r="E11" s="250" t="e">
        <f>+Capital!E56</f>
        <v>#DIV/0!</v>
      </c>
    </row>
    <row r="12" spans="1:5">
      <c r="A12" s="233" t="s">
        <v>246</v>
      </c>
      <c r="B12" s="1208" t="s">
        <v>499</v>
      </c>
      <c r="C12" s="1208"/>
      <c r="D12" s="1208"/>
      <c r="E12" s="1208"/>
    </row>
    <row r="13" spans="1:5">
      <c r="A13" s="25">
        <v>4</v>
      </c>
      <c r="B13" s="23" t="s">
        <v>499</v>
      </c>
      <c r="C13" s="25" t="s">
        <v>500</v>
      </c>
      <c r="D13" s="239" t="str">
        <f>+Liquidity!E27</f>
        <v>-</v>
      </c>
      <c r="E13" s="250" t="str">
        <f>+Liquidity!E28</f>
        <v>-</v>
      </c>
    </row>
    <row r="14" spans="1:5">
      <c r="A14" s="233" t="s">
        <v>250</v>
      </c>
      <c r="B14" s="1208" t="s">
        <v>501</v>
      </c>
      <c r="C14" s="1208"/>
      <c r="D14" s="1208"/>
      <c r="E14" s="1208"/>
    </row>
    <row r="15" spans="1:5" ht="25.5">
      <c r="A15" s="25">
        <v>5</v>
      </c>
      <c r="B15" s="238" t="s">
        <v>502</v>
      </c>
      <c r="C15" s="240">
        <f>+Provision!E45</f>
        <v>0</v>
      </c>
      <c r="D15" s="240">
        <f>+Provision!F45</f>
        <v>0</v>
      </c>
      <c r="E15" s="214">
        <f>+Provision!G45</f>
        <v>0</v>
      </c>
    </row>
    <row r="16" spans="1:5" ht="39.75" customHeight="1">
      <c r="A16" s="25">
        <v>6</v>
      </c>
      <c r="B16" s="238" t="s">
        <v>503</v>
      </c>
      <c r="C16" s="25" t="s">
        <v>504</v>
      </c>
      <c r="D16" s="866" t="e">
        <f>'Top40'!S49</f>
        <v>#DIV/0!</v>
      </c>
      <c r="E16" s="250" t="e">
        <f>+IF(D16&gt;0.3,"Хангаагүй","Хангасан")</f>
        <v>#DIV/0!</v>
      </c>
    </row>
    <row r="17" spans="1:5" ht="25.5">
      <c r="A17" s="25">
        <v>14</v>
      </c>
      <c r="B17" s="238" t="s">
        <v>513</v>
      </c>
      <c r="C17" s="25" t="s">
        <v>514</v>
      </c>
      <c r="D17" s="866" t="e">
        <f>(GB!D1675+GB!D1679)/GB!H416</f>
        <v>#DIV/0!</v>
      </c>
      <c r="E17" s="250" t="e">
        <f>IF(D17=0,"-",IF(D17&gt;0.7,"Хангаагүй","Хангасан"))</f>
        <v>#DIV/0!</v>
      </c>
    </row>
    <row r="18" spans="1:5" ht="63.75">
      <c r="A18" s="25">
        <v>8</v>
      </c>
      <c r="B18" s="238" t="s">
        <v>537</v>
      </c>
      <c r="C18" s="25" t="s">
        <v>507</v>
      </c>
      <c r="D18" s="866" t="e">
        <f>Insider!M28/BS!I96</f>
        <v>#DIV/0!</v>
      </c>
      <c r="E18" s="250" t="e">
        <f>+IF(D18&gt;0.25,"Хангаагүй","Хангасан")</f>
        <v>#DIV/0!</v>
      </c>
    </row>
    <row r="19" spans="1:5" ht="51">
      <c r="A19" s="25">
        <v>7</v>
      </c>
      <c r="B19" s="238" t="s">
        <v>505</v>
      </c>
      <c r="C19" s="25" t="s">
        <v>506</v>
      </c>
      <c r="D19" s="866" t="e">
        <f>Insider!P29</f>
        <v>#DIV/0!</v>
      </c>
      <c r="E19" s="250" t="e">
        <f>+IF(D19&gt;0.1,"Хангаагүй","Хангасан")</f>
        <v>#DIV/0!</v>
      </c>
    </row>
    <row r="20" spans="1:5" ht="25.5">
      <c r="A20" s="25">
        <v>9</v>
      </c>
      <c r="B20" s="238" t="s">
        <v>508</v>
      </c>
      <c r="C20" s="25" t="s">
        <v>509</v>
      </c>
      <c r="D20" s="866" t="e">
        <f>+SUM(BS!D15,BS!D47)/BS!I96</f>
        <v>#DIV/0!</v>
      </c>
      <c r="E20" s="250" t="e">
        <f>IF(D20=0,"-",IF(D20&gt;0.5,"Хангаагүй","Хангасан"))</f>
        <v>#DIV/0!</v>
      </c>
    </row>
    <row r="21" spans="1:5" ht="25.5">
      <c r="A21" s="25">
        <v>10</v>
      </c>
      <c r="B21" s="238" t="s">
        <v>510</v>
      </c>
      <c r="C21" s="25" t="s">
        <v>511</v>
      </c>
      <c r="D21" s="866" t="e">
        <f>+SUM(GB!D232,GB!D337,GB!D595)/BS!I96</f>
        <v>#DIV/0!</v>
      </c>
      <c r="E21" s="250" t="e">
        <f>IF(D21=0,"-",IF(D21&gt;0.2,"Хангаагүй","Хангасан"))</f>
        <v>#DIV/0!</v>
      </c>
    </row>
    <row r="22" spans="1:5" ht="38.25">
      <c r="A22" s="25">
        <v>11</v>
      </c>
      <c r="B22" s="238" t="s">
        <v>567</v>
      </c>
      <c r="C22" s="25" t="s">
        <v>511</v>
      </c>
      <c r="D22" s="866">
        <f>Securities!H28</f>
        <v>0</v>
      </c>
      <c r="E22" s="251" t="str">
        <f>IF(D22=0,"-",IF(D22&gt;0.2,"Хангаагүй","Хангасан"))</f>
        <v>-</v>
      </c>
    </row>
    <row r="23" spans="1:5" ht="25.5">
      <c r="A23" s="25">
        <v>12</v>
      </c>
      <c r="B23" s="238" t="s">
        <v>512</v>
      </c>
      <c r="C23" s="25" t="s">
        <v>511</v>
      </c>
      <c r="D23" s="866" t="e">
        <f>+SUM(GB!D247,GB!D273,GB!D298,GB!D373,GB!D419,GB!D444,GB!D511,GB!D553,GB!D578,GB!D610,GB!D636,GB!D661,GB!D686)/BS!I96</f>
        <v>#DIV/0!</v>
      </c>
      <c r="E23" s="250" t="e">
        <f>IF(D23=0,"-",IF(D23&gt;0.2,"Хангаагүй","Хангасан"))</f>
        <v>#DIV/0!</v>
      </c>
    </row>
    <row r="24" spans="1:5" ht="25.5">
      <c r="A24" s="25">
        <v>13</v>
      </c>
      <c r="B24" s="238" t="s">
        <v>1471</v>
      </c>
      <c r="C24" s="25" t="s">
        <v>506</v>
      </c>
      <c r="D24" s="866" t="e">
        <f>+SUM(GB!D225,GB!D239,GB!D240,GB!D258,GB!D265,GB!D266,GB!D283,GB!D290,GB!D291,GB!D314,GB!D344,GB!D350,GB!D404,GB!D411,GB!D412,GB!D429,GB!D436,GB!D437,GB!D460,GB!D483,GB!D488,GB!D538,GB!D545,GB!D546,GB!D563,GB!D570,GB!D571,GB!D588,GB!D602,GB!D603,GB!D621,GB!D628,GB!D629,GB!D646,GB!D653,GB!D654,GB!D671,GB!D678,GB!D679)/BS!I96</f>
        <v>#DIV/0!</v>
      </c>
      <c r="E24" s="250" t="e">
        <f>IF(D24=0,"-",IF(D24&gt;0.1,"Хангаагүй","Хангасан"))</f>
        <v>#DIV/0!</v>
      </c>
    </row>
    <row r="25" spans="1:5">
      <c r="A25" s="233" t="s">
        <v>254</v>
      </c>
      <c r="B25" s="1208" t="s">
        <v>515</v>
      </c>
      <c r="C25" s="1208"/>
      <c r="D25" s="1208"/>
      <c r="E25" s="1208"/>
    </row>
    <row r="26" spans="1:5" ht="25.5">
      <c r="A26" s="25">
        <v>15</v>
      </c>
      <c r="B26" s="238" t="s">
        <v>516</v>
      </c>
      <c r="C26" s="25" t="s">
        <v>517</v>
      </c>
      <c r="D26" s="866" t="e">
        <f>Forex!M30</f>
        <v>#DIV/0!</v>
      </c>
      <c r="E26" s="250" t="e">
        <f>IF(AND(D26&lt;0.4,D26&gt;-0.4),"Хангасан","Хангаагүй")</f>
        <v>#DIV/0!</v>
      </c>
    </row>
    <row r="27" spans="1:5">
      <c r="A27" s="233" t="s">
        <v>195</v>
      </c>
      <c r="B27" s="1208" t="s">
        <v>544</v>
      </c>
      <c r="C27" s="1208"/>
      <c r="D27" s="1208"/>
      <c r="E27" s="1208"/>
    </row>
    <row r="28" spans="1:5" ht="25.5">
      <c r="A28" s="25">
        <v>16</v>
      </c>
      <c r="B28" s="238" t="s">
        <v>518</v>
      </c>
      <c r="C28" s="25" t="s">
        <v>519</v>
      </c>
      <c r="D28" s="866" t="e">
        <f>SUM(BS!I9:I12)/BS!I96</f>
        <v>#DIV/0!</v>
      </c>
      <c r="E28" s="250" t="e">
        <f>IF(D28=0,"-",IF(D28&gt;0.8,"Хангаагүй","Хангасан"))</f>
        <v>#DIV/0!</v>
      </c>
    </row>
    <row r="29" spans="1:5">
      <c r="A29" s="25">
        <v>18</v>
      </c>
      <c r="B29" s="23" t="s">
        <v>523</v>
      </c>
      <c r="C29" s="25" t="s">
        <v>509</v>
      </c>
      <c r="D29" s="866" t="e">
        <f>+BS!I35/BS!I96</f>
        <v>#DIV/0!</v>
      </c>
      <c r="E29" s="250" t="e">
        <f>IF(D29=0,"-",IF(D29&gt;0.5,"Хангаагүй","Хангасан"))</f>
        <v>#DIV/0!</v>
      </c>
    </row>
    <row r="30" spans="1:5">
      <c r="A30" s="233" t="s">
        <v>258</v>
      </c>
      <c r="B30" s="1208" t="s">
        <v>520</v>
      </c>
      <c r="C30" s="1208"/>
      <c r="D30" s="1208"/>
      <c r="E30" s="1208"/>
    </row>
    <row r="31" spans="1:5">
      <c r="A31" s="25">
        <v>17</v>
      </c>
      <c r="B31" s="23" t="s">
        <v>521</v>
      </c>
      <c r="C31" s="25" t="s">
        <v>522</v>
      </c>
      <c r="D31" s="866" t="e">
        <f>+BS!D83/BS!D102</f>
        <v>#DIV/0!</v>
      </c>
      <c r="E31" s="250" t="e">
        <f>+IF(D31&gt;0.15,"Хангаагүй","Хангасан")</f>
        <v>#DIV/0!</v>
      </c>
    </row>
    <row r="32" spans="1:5">
      <c r="A32" s="233" t="s">
        <v>524</v>
      </c>
      <c r="B32" s="1208" t="s">
        <v>525</v>
      </c>
      <c r="C32" s="1208"/>
      <c r="D32" s="1208"/>
      <c r="E32" s="1208"/>
    </row>
    <row r="33" spans="1:5" ht="15.75" customHeight="1">
      <c r="A33" s="25">
        <v>19</v>
      </c>
      <c r="B33" s="23" t="s">
        <v>526</v>
      </c>
      <c r="C33" s="1209" t="e">
        <f>+IS!D208/((Statistic!C44+BS!D102)/2)</f>
        <v>#DIV/0!</v>
      </c>
      <c r="D33" s="1209"/>
      <c r="E33" s="1209"/>
    </row>
    <row r="34" spans="1:5" ht="15.75" customHeight="1">
      <c r="A34" s="25">
        <v>20</v>
      </c>
      <c r="B34" s="23" t="s">
        <v>527</v>
      </c>
      <c r="C34" s="1209" t="e">
        <f>+IS!D208/((Statistic!C45+BS!I96)/2)</f>
        <v>#DIV/0!</v>
      </c>
      <c r="D34" s="1209"/>
      <c r="E34" s="1209"/>
    </row>
    <row r="37" spans="1:5">
      <c r="A37" s="976" t="s">
        <v>33</v>
      </c>
      <c r="B37" s="976"/>
      <c r="C37" s="92"/>
      <c r="D37" s="13"/>
      <c r="E37" s="27"/>
    </row>
    <row r="38" spans="1:5">
      <c r="A38" s="34"/>
      <c r="B38" s="93"/>
      <c r="C38" s="92"/>
      <c r="D38" s="13"/>
      <c r="E38" s="27"/>
    </row>
    <row r="39" spans="1:5">
      <c r="A39" s="90"/>
      <c r="B39" s="17" t="s">
        <v>122</v>
      </c>
      <c r="C39" s="94"/>
      <c r="D39" s="17"/>
    </row>
    <row r="41" spans="1:5">
      <c r="B41" s="671" t="str">
        <f>+Statistic!B60</f>
        <v>ГҮЙЦЭТГЭХ ЗАХИРАЛ.......................//</v>
      </c>
      <c r="C41" s="454"/>
      <c r="D41" s="454"/>
    </row>
    <row r="42" spans="1:5">
      <c r="B42" s="672"/>
    </row>
    <row r="43" spans="1:5">
      <c r="B43" s="671" t="str">
        <f>+Statistic!B62</f>
        <v>ЕРӨНХИЙ НЯГТЛАН БОДОГЧ...................................................//</v>
      </c>
      <c r="C43" s="454"/>
      <c r="D43" s="454"/>
    </row>
    <row r="45" spans="1:5">
      <c r="B45" s="454"/>
      <c r="C45" s="454"/>
      <c r="D45" s="454"/>
    </row>
  </sheetData>
  <sheetProtection algorithmName="SHA-512" hashValue="EwU4xoGF2XDIKRHLnAdEPjDq5XShCIwWfKnCcZH1gn+y4hEO25LOKIXjuS8i5lhCnb9H6tq/OMlsCxxaNqa0Lw==" saltValue="ZQBH8ayRXs6fd/OimC5PvA==" spinCount="100000" sheet="1" objects="1" scenarios="1"/>
  <mergeCells count="14">
    <mergeCell ref="C33:E33"/>
    <mergeCell ref="B12:E12"/>
    <mergeCell ref="C34:E34"/>
    <mergeCell ref="A37:B37"/>
    <mergeCell ref="B14:E14"/>
    <mergeCell ref="B25:E25"/>
    <mergeCell ref="B27:E27"/>
    <mergeCell ref="B30:E30"/>
    <mergeCell ref="B32:E32"/>
    <mergeCell ref="A2:E2"/>
    <mergeCell ref="A3:E3"/>
    <mergeCell ref="A4:E4"/>
    <mergeCell ref="A6:B6"/>
    <mergeCell ref="B8:E8"/>
  </mergeCells>
  <pageMargins left="0.78740157480314965" right="0.78740157480314965" top="1.1811023622047243" bottom="0.59055118110236215" header="0.78740157480314965" footer="0.78740157480314965"/>
  <pageSetup paperSize="9" scale="8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8"/>
  <sheetViews>
    <sheetView workbookViewId="0">
      <pane xSplit="3" ySplit="9" topLeftCell="E55" activePane="bottomRight" state="frozen"/>
      <selection pane="topRight" activeCell="D1" sqref="D1"/>
      <selection pane="bottomLeft" activeCell="A10" sqref="A10"/>
      <selection pane="bottomRight"/>
    </sheetView>
  </sheetViews>
  <sheetFormatPr defaultRowHeight="12"/>
  <cols>
    <col min="1" max="1" width="39.5703125" style="333" customWidth="1"/>
    <col min="2" max="2" width="18.7109375" style="352" customWidth="1"/>
    <col min="3" max="3" width="18.7109375" style="342" customWidth="1"/>
    <col min="4" max="4" width="18.7109375" style="352" customWidth="1"/>
    <col min="5" max="5" width="18.7109375" style="342" customWidth="1"/>
    <col min="6" max="6" width="10.42578125" style="353" customWidth="1"/>
    <col min="7" max="7" width="18.7109375" style="352" customWidth="1"/>
    <col min="8" max="8" width="18.7109375" style="342" customWidth="1"/>
    <col min="9" max="9" width="18.42578125" style="342" customWidth="1"/>
    <col min="10" max="10" width="18.7109375" style="352" customWidth="1"/>
    <col min="11" max="11" width="18.7109375" style="342" customWidth="1"/>
    <col min="12" max="13" width="18.7109375" style="352" customWidth="1"/>
    <col min="14" max="14" width="18.7109375" style="342" customWidth="1"/>
    <col min="15" max="16" width="12" style="353" customWidth="1"/>
    <col min="17" max="17" width="24.85546875" style="332" bestFit="1" customWidth="1"/>
    <col min="18" max="18" width="18.42578125" style="416" customWidth="1"/>
    <col min="19" max="16384" width="9.140625" style="333"/>
  </cols>
  <sheetData>
    <row r="2" spans="1:18">
      <c r="A2" s="1210" t="s">
        <v>349</v>
      </c>
      <c r="B2" s="1210"/>
      <c r="C2" s="1210"/>
      <c r="D2" s="1210"/>
      <c r="E2" s="1210"/>
      <c r="F2" s="1210"/>
      <c r="G2" s="1210"/>
      <c r="H2" s="1210"/>
      <c r="I2" s="1210"/>
      <c r="J2" s="1210"/>
      <c r="K2" s="1210"/>
      <c r="L2" s="1210"/>
      <c r="M2" s="1210"/>
      <c r="N2" s="1210"/>
      <c r="O2" s="1210"/>
      <c r="P2" s="1210"/>
    </row>
    <row r="3" spans="1:18">
      <c r="A3" s="1211" t="str">
        <f>+GB!A3</f>
        <v xml:space="preserve">БАНК БУС САНХҮҮГИЙН БАЙГУУЛЛАГЫН НЭР </v>
      </c>
      <c r="B3" s="1211"/>
      <c r="C3" s="1211"/>
      <c r="D3" s="1211"/>
      <c r="E3" s="1211"/>
      <c r="F3" s="1211"/>
      <c r="G3" s="1211"/>
      <c r="H3" s="1211"/>
      <c r="I3" s="1211"/>
      <c r="J3" s="1211"/>
      <c r="K3" s="1211"/>
      <c r="L3" s="1211"/>
      <c r="M3" s="1211"/>
      <c r="N3" s="1211"/>
      <c r="O3" s="1211"/>
      <c r="P3" s="1211"/>
    </row>
    <row r="4" spans="1:18">
      <c r="A4" s="1212" t="str">
        <f>+GB!A4</f>
        <v>БАНК БУС САНХҮҮГИЙН БАЙГУУЛЛАГА</v>
      </c>
      <c r="B4" s="1212"/>
      <c r="C4" s="1212"/>
      <c r="D4" s="1212"/>
      <c r="E4" s="1212"/>
      <c r="F4" s="1212"/>
      <c r="G4" s="1212"/>
      <c r="H4" s="1212"/>
      <c r="I4" s="1212"/>
      <c r="J4" s="1212"/>
      <c r="K4" s="1212"/>
      <c r="L4" s="1212"/>
      <c r="M4" s="1212"/>
      <c r="N4" s="1212"/>
      <c r="O4" s="1212"/>
      <c r="P4" s="1212"/>
    </row>
    <row r="5" spans="1:18">
      <c r="A5" s="334"/>
      <c r="B5" s="334"/>
      <c r="C5" s="935"/>
      <c r="D5" s="334"/>
      <c r="E5" s="335"/>
      <c r="F5" s="336"/>
      <c r="G5" s="334"/>
      <c r="H5" s="335"/>
      <c r="I5" s="335"/>
      <c r="J5" s="334"/>
      <c r="K5" s="935"/>
      <c r="L5" s="334"/>
      <c r="M5" s="334"/>
      <c r="N5" s="335"/>
      <c r="O5" s="336"/>
      <c r="P5" s="336"/>
    </row>
    <row r="6" spans="1:18">
      <c r="A6" s="918">
        <f>+GB!A6</f>
        <v>45716</v>
      </c>
      <c r="B6" s="380"/>
      <c r="C6" s="936"/>
      <c r="D6" s="337"/>
      <c r="E6" s="338"/>
      <c r="F6" s="339"/>
      <c r="G6" s="340"/>
      <c r="H6" s="1213"/>
      <c r="I6" s="1213"/>
      <c r="J6" s="1213"/>
      <c r="K6" s="939"/>
      <c r="L6" s="341"/>
      <c r="M6" s="341"/>
      <c r="O6" s="1214" t="s">
        <v>41</v>
      </c>
      <c r="P6" s="1214"/>
    </row>
    <row r="7" spans="1:18" ht="12.75" customHeight="1">
      <c r="A7" s="1233" t="s">
        <v>350</v>
      </c>
      <c r="B7" s="1222" t="s">
        <v>341</v>
      </c>
      <c r="C7" s="1222"/>
      <c r="D7" s="1222" t="s">
        <v>351</v>
      </c>
      <c r="E7" s="1222"/>
      <c r="F7" s="1234" t="s">
        <v>541</v>
      </c>
      <c r="G7" s="1222" t="s">
        <v>352</v>
      </c>
      <c r="H7" s="1222"/>
      <c r="I7" s="1229" t="s">
        <v>568</v>
      </c>
      <c r="J7" s="1222" t="s">
        <v>353</v>
      </c>
      <c r="K7" s="1222"/>
      <c r="L7" s="1222"/>
      <c r="M7" s="1222"/>
      <c r="N7" s="1222"/>
      <c r="O7" s="1231" t="s">
        <v>354</v>
      </c>
      <c r="P7" s="1231"/>
    </row>
    <row r="8" spans="1:18" ht="23.25" customHeight="1">
      <c r="A8" s="1233"/>
      <c r="B8" s="343" t="s">
        <v>355</v>
      </c>
      <c r="C8" s="344" t="s">
        <v>356</v>
      </c>
      <c r="D8" s="343" t="s">
        <v>355</v>
      </c>
      <c r="E8" s="344" t="s">
        <v>356</v>
      </c>
      <c r="F8" s="1234"/>
      <c r="G8" s="343" t="s">
        <v>355</v>
      </c>
      <c r="H8" s="344" t="s">
        <v>356</v>
      </c>
      <c r="I8" s="1230"/>
      <c r="J8" s="343" t="s">
        <v>355</v>
      </c>
      <c r="K8" s="344" t="s">
        <v>356</v>
      </c>
      <c r="L8" s="343" t="s">
        <v>126</v>
      </c>
      <c r="M8" s="343" t="s">
        <v>608</v>
      </c>
      <c r="N8" s="344" t="s">
        <v>540</v>
      </c>
      <c r="O8" s="345" t="s">
        <v>357</v>
      </c>
      <c r="P8" s="345" t="s">
        <v>358</v>
      </c>
    </row>
    <row r="9" spans="1:18" s="346" customFormat="1">
      <c r="A9" s="285" t="s">
        <v>359</v>
      </c>
      <c r="B9" s="383">
        <f>+SUM(B10:B28)</f>
        <v>0</v>
      </c>
      <c r="C9" s="272">
        <f>+SUM(C10:C28)</f>
        <v>0</v>
      </c>
      <c r="D9" s="383">
        <f t="shared" ref="D9:N9" si="0">+SUM(D10:D28)</f>
        <v>0</v>
      </c>
      <c r="E9" s="272">
        <f t="shared" si="0"/>
        <v>0</v>
      </c>
      <c r="F9" s="273" t="e">
        <f>(D10*F10+D11*F11+D12*F12+D13*F13+D14*F14+D15*F15+D16*F16+D17*F17+D18*F18+D19*F19+D20*F20+D21*F21+D22*F22+D23*F23+D24*F24+D25*F25+D26*F26+D27*F27+D28*F28)/D9</f>
        <v>#DIV/0!</v>
      </c>
      <c r="G9" s="383">
        <f t="shared" si="0"/>
        <v>0</v>
      </c>
      <c r="H9" s="272">
        <f t="shared" si="0"/>
        <v>0</v>
      </c>
      <c r="I9" s="383">
        <f>+SUM(I10:I28)</f>
        <v>0</v>
      </c>
      <c r="J9" s="383">
        <f t="shared" si="0"/>
        <v>0</v>
      </c>
      <c r="K9" s="272">
        <f t="shared" si="0"/>
        <v>0</v>
      </c>
      <c r="L9" s="383">
        <f t="shared" si="0"/>
        <v>0</v>
      </c>
      <c r="M9" s="383">
        <f t="shared" si="0"/>
        <v>0</v>
      </c>
      <c r="N9" s="383">
        <f t="shared" si="0"/>
        <v>0</v>
      </c>
      <c r="O9" s="274">
        <f>+MAX(O10:O28)</f>
        <v>0</v>
      </c>
      <c r="P9" s="274">
        <f t="array" ref="P9">MIN(IF(P10:P29&gt;0,P10:P29))</f>
        <v>0</v>
      </c>
      <c r="Q9" s="332"/>
      <c r="R9" s="417"/>
    </row>
    <row r="10" spans="1:18" ht="24">
      <c r="A10" s="347" t="s">
        <v>360</v>
      </c>
      <c r="B10" s="384"/>
      <c r="C10" s="275"/>
      <c r="D10" s="384"/>
      <c r="E10" s="929"/>
      <c r="F10" s="365"/>
      <c r="G10" s="384"/>
      <c r="H10" s="929"/>
      <c r="I10" s="385"/>
      <c r="J10" s="386">
        <f t="shared" ref="J10:J28" si="1">B10+D10-G10+I10</f>
        <v>0</v>
      </c>
      <c r="K10" s="929"/>
      <c r="L10" s="384"/>
      <c r="M10" s="384"/>
      <c r="N10" s="384"/>
      <c r="O10" s="276"/>
      <c r="P10" s="276"/>
      <c r="Q10" s="332" t="str">
        <f>+IF(D10&gt;0,IF(AND(F10&gt;0,F10&lt;0.15,O10&gt;0,O10&lt;0.15,P10&gt;0,P10&lt;0.15),"","ЗЖДХ болон дээд, доод хүүг сараар шивнэ үү."),"")</f>
        <v/>
      </c>
      <c r="R10" s="417" t="str">
        <f>IF(SUM(L10:N10)=J10,"",IF(ROUND(J10-L10-M10-N10,2)=ROUND($Q$71,2),"","Зээлийн эцсийн үлдэгдлийн дүн зөрүүтэй"))</f>
        <v/>
      </c>
    </row>
    <row r="11" spans="1:18">
      <c r="A11" s="347" t="s">
        <v>361</v>
      </c>
      <c r="B11" s="384"/>
      <c r="C11" s="275"/>
      <c r="D11" s="384"/>
      <c r="E11" s="929"/>
      <c r="F11" s="365"/>
      <c r="G11" s="384"/>
      <c r="H11" s="929"/>
      <c r="I11" s="385"/>
      <c r="J11" s="386">
        <f t="shared" si="1"/>
        <v>0</v>
      </c>
      <c r="K11" s="929"/>
      <c r="L11" s="384"/>
      <c r="M11" s="384"/>
      <c r="N11" s="384"/>
      <c r="O11" s="276"/>
      <c r="P11" s="276"/>
      <c r="Q11" s="332" t="str">
        <f t="shared" ref="Q11:Q29" si="2">+IF(D11&gt;0,IF(AND(F11&gt;0,F11&lt;0.15,O11&gt;0,O11&lt;0.15,P11&gt;0,P11&lt;0.15),"","ЗЖДХ болон дээд, доод хүүг сараар шивнэ үү."),"")</f>
        <v/>
      </c>
      <c r="R11" s="417" t="str">
        <f t="shared" ref="R11:R50" si="3">IF(SUM(L11:N11)=J11,"",IF(ROUND(J11-L11-M11-N11,2)=ROUND($Q$71,2),"","Зээлийн эцсийн үлдэгдлийн дүн зөрүүтэй"))</f>
        <v/>
      </c>
    </row>
    <row r="12" spans="1:18">
      <c r="A12" s="348" t="s">
        <v>362</v>
      </c>
      <c r="B12" s="384"/>
      <c r="C12" s="277"/>
      <c r="D12" s="387"/>
      <c r="E12" s="278"/>
      <c r="F12" s="365"/>
      <c r="G12" s="387"/>
      <c r="H12" s="278"/>
      <c r="I12" s="388"/>
      <c r="J12" s="386">
        <f t="shared" si="1"/>
        <v>0</v>
      </c>
      <c r="K12" s="929"/>
      <c r="L12" s="387"/>
      <c r="M12" s="387"/>
      <c r="N12" s="387"/>
      <c r="O12" s="276"/>
      <c r="P12" s="276"/>
      <c r="Q12" s="332" t="str">
        <f t="shared" si="2"/>
        <v/>
      </c>
      <c r="R12" s="417" t="str">
        <f t="shared" si="3"/>
        <v/>
      </c>
    </row>
    <row r="13" spans="1:18">
      <c r="A13" s="348" t="s">
        <v>363</v>
      </c>
      <c r="B13" s="384"/>
      <c r="C13" s="277"/>
      <c r="D13" s="387"/>
      <c r="E13" s="278"/>
      <c r="F13" s="365"/>
      <c r="G13" s="387"/>
      <c r="H13" s="278"/>
      <c r="I13" s="388"/>
      <c r="J13" s="386">
        <f t="shared" si="1"/>
        <v>0</v>
      </c>
      <c r="K13" s="929"/>
      <c r="L13" s="387"/>
      <c r="M13" s="387"/>
      <c r="N13" s="387"/>
      <c r="O13" s="276"/>
      <c r="P13" s="276"/>
      <c r="Q13" s="332" t="str">
        <f t="shared" si="2"/>
        <v/>
      </c>
      <c r="R13" s="417" t="str">
        <f t="shared" si="3"/>
        <v/>
      </c>
    </row>
    <row r="14" spans="1:18" ht="24">
      <c r="A14" s="348" t="s">
        <v>364</v>
      </c>
      <c r="B14" s="384"/>
      <c r="C14" s="277"/>
      <c r="D14" s="387"/>
      <c r="E14" s="278"/>
      <c r="F14" s="365"/>
      <c r="G14" s="387"/>
      <c r="H14" s="278"/>
      <c r="I14" s="388"/>
      <c r="J14" s="386">
        <f t="shared" si="1"/>
        <v>0</v>
      </c>
      <c r="K14" s="929"/>
      <c r="L14" s="387"/>
      <c r="M14" s="387"/>
      <c r="N14" s="387"/>
      <c r="O14" s="276"/>
      <c r="P14" s="276"/>
      <c r="Q14" s="332" t="str">
        <f t="shared" si="2"/>
        <v/>
      </c>
      <c r="R14" s="417" t="str">
        <f t="shared" si="3"/>
        <v/>
      </c>
    </row>
    <row r="15" spans="1:18">
      <c r="A15" s="348" t="s">
        <v>365</v>
      </c>
      <c r="B15" s="384"/>
      <c r="C15" s="277"/>
      <c r="D15" s="387"/>
      <c r="E15" s="278"/>
      <c r="F15" s="365"/>
      <c r="G15" s="387"/>
      <c r="H15" s="278"/>
      <c r="I15" s="388"/>
      <c r="J15" s="386">
        <f t="shared" si="1"/>
        <v>0</v>
      </c>
      <c r="K15" s="929"/>
      <c r="L15" s="387"/>
      <c r="M15" s="387"/>
      <c r="N15" s="387"/>
      <c r="O15" s="276"/>
      <c r="P15" s="276"/>
      <c r="Q15" s="332" t="str">
        <f t="shared" si="2"/>
        <v/>
      </c>
      <c r="R15" s="417" t="str">
        <f t="shared" si="3"/>
        <v/>
      </c>
    </row>
    <row r="16" spans="1:18">
      <c r="A16" s="348" t="s">
        <v>366</v>
      </c>
      <c r="B16" s="384"/>
      <c r="C16" s="277"/>
      <c r="D16" s="387"/>
      <c r="E16" s="278"/>
      <c r="F16" s="365"/>
      <c r="G16" s="387"/>
      <c r="H16" s="278"/>
      <c r="I16" s="388"/>
      <c r="J16" s="386">
        <f t="shared" si="1"/>
        <v>0</v>
      </c>
      <c r="K16" s="929"/>
      <c r="L16" s="387"/>
      <c r="M16" s="387"/>
      <c r="N16" s="387"/>
      <c r="O16" s="276"/>
      <c r="P16" s="276"/>
      <c r="Q16" s="332" t="str">
        <f t="shared" si="2"/>
        <v/>
      </c>
      <c r="R16" s="417" t="str">
        <f t="shared" si="3"/>
        <v/>
      </c>
    </row>
    <row r="17" spans="1:18">
      <c r="A17" s="348" t="s">
        <v>367</v>
      </c>
      <c r="B17" s="384"/>
      <c r="C17" s="277"/>
      <c r="D17" s="387"/>
      <c r="E17" s="278"/>
      <c r="F17" s="365"/>
      <c r="G17" s="387"/>
      <c r="H17" s="278"/>
      <c r="I17" s="388"/>
      <c r="J17" s="386">
        <f t="shared" si="1"/>
        <v>0</v>
      </c>
      <c r="K17" s="929"/>
      <c r="L17" s="387"/>
      <c r="M17" s="387"/>
      <c r="N17" s="387"/>
      <c r="O17" s="276"/>
      <c r="P17" s="276"/>
      <c r="Q17" s="332" t="str">
        <f t="shared" si="2"/>
        <v/>
      </c>
      <c r="R17" s="417" t="str">
        <f t="shared" si="3"/>
        <v/>
      </c>
    </row>
    <row r="18" spans="1:18">
      <c r="A18" s="348" t="s">
        <v>368</v>
      </c>
      <c r="B18" s="384"/>
      <c r="C18" s="277"/>
      <c r="D18" s="387"/>
      <c r="E18" s="278"/>
      <c r="F18" s="365"/>
      <c r="G18" s="387"/>
      <c r="H18" s="278"/>
      <c r="I18" s="388"/>
      <c r="J18" s="386">
        <f t="shared" si="1"/>
        <v>0</v>
      </c>
      <c r="K18" s="929"/>
      <c r="L18" s="387"/>
      <c r="M18" s="387"/>
      <c r="N18" s="387"/>
      <c r="O18" s="276"/>
      <c r="P18" s="276"/>
      <c r="Q18" s="332" t="str">
        <f t="shared" si="2"/>
        <v/>
      </c>
      <c r="R18" s="417" t="str">
        <f t="shared" si="3"/>
        <v/>
      </c>
    </row>
    <row r="19" spans="1:18" ht="24">
      <c r="A19" s="348" t="s">
        <v>369</v>
      </c>
      <c r="B19" s="384"/>
      <c r="C19" s="277"/>
      <c r="D19" s="387"/>
      <c r="E19" s="278"/>
      <c r="F19" s="365"/>
      <c r="G19" s="387"/>
      <c r="H19" s="278"/>
      <c r="I19" s="388"/>
      <c r="J19" s="386">
        <f t="shared" si="1"/>
        <v>0</v>
      </c>
      <c r="K19" s="929"/>
      <c r="L19" s="387"/>
      <c r="M19" s="387"/>
      <c r="N19" s="387"/>
      <c r="O19" s="276"/>
      <c r="P19" s="276"/>
      <c r="Q19" s="332" t="str">
        <f t="shared" si="2"/>
        <v/>
      </c>
      <c r="R19" s="417" t="str">
        <f t="shared" si="3"/>
        <v/>
      </c>
    </row>
    <row r="20" spans="1:18">
      <c r="A20" s="348" t="s">
        <v>370</v>
      </c>
      <c r="B20" s="384"/>
      <c r="C20" s="277"/>
      <c r="D20" s="387"/>
      <c r="E20" s="278"/>
      <c r="F20" s="365"/>
      <c r="G20" s="387"/>
      <c r="H20" s="278"/>
      <c r="I20" s="388"/>
      <c r="J20" s="386">
        <f t="shared" si="1"/>
        <v>0</v>
      </c>
      <c r="K20" s="929"/>
      <c r="L20" s="387"/>
      <c r="M20" s="387"/>
      <c r="N20" s="387"/>
      <c r="O20" s="276"/>
      <c r="P20" s="276"/>
      <c r="Q20" s="332" t="str">
        <f t="shared" si="2"/>
        <v/>
      </c>
      <c r="R20" s="417" t="str">
        <f t="shared" si="3"/>
        <v/>
      </c>
    </row>
    <row r="21" spans="1:18">
      <c r="A21" s="348" t="s">
        <v>371</v>
      </c>
      <c r="B21" s="384"/>
      <c r="C21" s="277"/>
      <c r="D21" s="387"/>
      <c r="E21" s="278"/>
      <c r="F21" s="365"/>
      <c r="G21" s="387"/>
      <c r="H21" s="278"/>
      <c r="I21" s="388"/>
      <c r="J21" s="386">
        <f t="shared" si="1"/>
        <v>0</v>
      </c>
      <c r="K21" s="929"/>
      <c r="L21" s="387"/>
      <c r="M21" s="387"/>
      <c r="N21" s="387"/>
      <c r="O21" s="276"/>
      <c r="P21" s="276"/>
      <c r="Q21" s="332" t="str">
        <f t="shared" si="2"/>
        <v/>
      </c>
      <c r="R21" s="417" t="str">
        <f t="shared" si="3"/>
        <v/>
      </c>
    </row>
    <row r="22" spans="1:18">
      <c r="A22" s="348" t="s">
        <v>372</v>
      </c>
      <c r="B22" s="384"/>
      <c r="C22" s="277"/>
      <c r="D22" s="387"/>
      <c r="E22" s="278"/>
      <c r="F22" s="365"/>
      <c r="G22" s="387"/>
      <c r="H22" s="278"/>
      <c r="I22" s="388"/>
      <c r="J22" s="386">
        <f t="shared" si="1"/>
        <v>0</v>
      </c>
      <c r="K22" s="929"/>
      <c r="L22" s="387"/>
      <c r="M22" s="387"/>
      <c r="N22" s="387"/>
      <c r="O22" s="276"/>
      <c r="P22" s="276"/>
      <c r="Q22" s="332" t="str">
        <f t="shared" si="2"/>
        <v/>
      </c>
      <c r="R22" s="417" t="str">
        <f t="shared" si="3"/>
        <v/>
      </c>
    </row>
    <row r="23" spans="1:18" ht="24">
      <c r="A23" s="348" t="s">
        <v>373</v>
      </c>
      <c r="B23" s="384"/>
      <c r="C23" s="277"/>
      <c r="D23" s="387"/>
      <c r="E23" s="278"/>
      <c r="F23" s="365"/>
      <c r="G23" s="387"/>
      <c r="H23" s="278"/>
      <c r="I23" s="388"/>
      <c r="J23" s="386">
        <f t="shared" si="1"/>
        <v>0</v>
      </c>
      <c r="K23" s="929"/>
      <c r="L23" s="387"/>
      <c r="M23" s="387"/>
      <c r="N23" s="387"/>
      <c r="O23" s="276"/>
      <c r="P23" s="276"/>
      <c r="Q23" s="332" t="str">
        <f t="shared" si="2"/>
        <v/>
      </c>
      <c r="R23" s="417" t="str">
        <f t="shared" si="3"/>
        <v/>
      </c>
    </row>
    <row r="24" spans="1:18" ht="24">
      <c r="A24" s="348" t="s">
        <v>374</v>
      </c>
      <c r="B24" s="384"/>
      <c r="C24" s="277"/>
      <c r="D24" s="387"/>
      <c r="E24" s="278"/>
      <c r="F24" s="365"/>
      <c r="G24" s="387"/>
      <c r="H24" s="278"/>
      <c r="I24" s="388"/>
      <c r="J24" s="386">
        <f t="shared" si="1"/>
        <v>0</v>
      </c>
      <c r="K24" s="929"/>
      <c r="L24" s="387"/>
      <c r="M24" s="387"/>
      <c r="N24" s="387"/>
      <c r="O24" s="276"/>
      <c r="P24" s="276"/>
      <c r="Q24" s="332" t="str">
        <f t="shared" si="2"/>
        <v/>
      </c>
      <c r="R24" s="417" t="str">
        <f t="shared" si="3"/>
        <v/>
      </c>
    </row>
    <row r="25" spans="1:18" ht="24">
      <c r="A25" s="348" t="s">
        <v>375</v>
      </c>
      <c r="B25" s="384"/>
      <c r="C25" s="277"/>
      <c r="D25" s="387"/>
      <c r="E25" s="278"/>
      <c r="F25" s="365"/>
      <c r="G25" s="387"/>
      <c r="H25" s="278"/>
      <c r="I25" s="388"/>
      <c r="J25" s="386">
        <f t="shared" si="1"/>
        <v>0</v>
      </c>
      <c r="K25" s="929"/>
      <c r="L25" s="387"/>
      <c r="M25" s="387"/>
      <c r="N25" s="387"/>
      <c r="O25" s="276"/>
      <c r="P25" s="276"/>
      <c r="Q25" s="332" t="str">
        <f t="shared" si="2"/>
        <v/>
      </c>
      <c r="R25" s="417" t="str">
        <f t="shared" si="3"/>
        <v/>
      </c>
    </row>
    <row r="26" spans="1:18">
      <c r="A26" s="348" t="s">
        <v>376</v>
      </c>
      <c r="B26" s="384"/>
      <c r="C26" s="277"/>
      <c r="D26" s="387"/>
      <c r="E26" s="278"/>
      <c r="F26" s="365"/>
      <c r="G26" s="387"/>
      <c r="H26" s="278"/>
      <c r="I26" s="388"/>
      <c r="J26" s="386">
        <f t="shared" si="1"/>
        <v>0</v>
      </c>
      <c r="K26" s="929"/>
      <c r="L26" s="387"/>
      <c r="M26" s="387"/>
      <c r="N26" s="387"/>
      <c r="O26" s="276"/>
      <c r="P26" s="276"/>
      <c r="Q26" s="332" t="str">
        <f t="shared" si="2"/>
        <v/>
      </c>
      <c r="R26" s="417" t="str">
        <f t="shared" si="3"/>
        <v/>
      </c>
    </row>
    <row r="27" spans="1:18">
      <c r="A27" s="348" t="s">
        <v>377</v>
      </c>
      <c r="B27" s="384"/>
      <c r="C27" s="277"/>
      <c r="D27" s="387"/>
      <c r="E27" s="278"/>
      <c r="F27" s="365"/>
      <c r="G27" s="387"/>
      <c r="H27" s="278"/>
      <c r="I27" s="388"/>
      <c r="J27" s="386">
        <f t="shared" si="1"/>
        <v>0</v>
      </c>
      <c r="K27" s="929"/>
      <c r="L27" s="387"/>
      <c r="M27" s="387"/>
      <c r="N27" s="387"/>
      <c r="O27" s="276"/>
      <c r="P27" s="276"/>
      <c r="Q27" s="332" t="str">
        <f t="shared" si="2"/>
        <v/>
      </c>
      <c r="R27" s="417" t="str">
        <f t="shared" si="3"/>
        <v/>
      </c>
    </row>
    <row r="28" spans="1:18">
      <c r="A28" s="348" t="s">
        <v>378</v>
      </c>
      <c r="B28" s="384"/>
      <c r="C28" s="277"/>
      <c r="D28" s="387"/>
      <c r="E28" s="278"/>
      <c r="F28" s="365"/>
      <c r="G28" s="387"/>
      <c r="H28" s="278"/>
      <c r="I28" s="388"/>
      <c r="J28" s="386">
        <f t="shared" si="1"/>
        <v>0</v>
      </c>
      <c r="K28" s="929"/>
      <c r="L28" s="387"/>
      <c r="M28" s="387"/>
      <c r="N28" s="387"/>
      <c r="O28" s="276"/>
      <c r="P28" s="276"/>
      <c r="Q28" s="332" t="str">
        <f t="shared" si="2"/>
        <v/>
      </c>
      <c r="R28" s="417" t="str">
        <f t="shared" si="3"/>
        <v/>
      </c>
    </row>
    <row r="29" spans="1:18" ht="24">
      <c r="A29" s="349" t="s">
        <v>379</v>
      </c>
      <c r="B29" s="390"/>
      <c r="C29" s="279"/>
      <c r="D29" s="390"/>
      <c r="E29" s="280"/>
      <c r="F29" s="281"/>
      <c r="G29" s="390"/>
      <c r="H29" s="280"/>
      <c r="I29" s="391"/>
      <c r="J29" s="389">
        <f>+B29+D29-G29+I29</f>
        <v>0</v>
      </c>
      <c r="K29" s="280"/>
      <c r="L29" s="390"/>
      <c r="M29" s="390"/>
      <c r="N29" s="390"/>
      <c r="O29" s="282"/>
      <c r="P29" s="282"/>
      <c r="Q29" s="332" t="str">
        <f t="shared" si="2"/>
        <v/>
      </c>
      <c r="R29" s="417" t="str">
        <f t="shared" si="3"/>
        <v/>
      </c>
    </row>
    <row r="30" spans="1:18" s="346" customFormat="1">
      <c r="A30" s="285" t="s">
        <v>380</v>
      </c>
      <c r="B30" s="383">
        <f t="shared" ref="B30:N30" si="4">+SUM(B31:B49)</f>
        <v>0</v>
      </c>
      <c r="C30" s="272">
        <f t="shared" si="4"/>
        <v>0</v>
      </c>
      <c r="D30" s="383">
        <f t="shared" si="4"/>
        <v>0</v>
      </c>
      <c r="E30" s="272">
        <f t="shared" si="4"/>
        <v>0</v>
      </c>
      <c r="F30" s="273" t="e">
        <f>(D31*F31+D32*F32+D33*F33+D34*F34+D35*F35+D36*F36+D37*F37+D38*F38+D39*F39+D40*F40+D41*F41+D42*F42+D43*F43+D44*F44+D45*F45+D46*F46+D47*F47+D48*F48+D49*F49)/D30</f>
        <v>#DIV/0!</v>
      </c>
      <c r="G30" s="383">
        <f t="shared" si="4"/>
        <v>0</v>
      </c>
      <c r="H30" s="272">
        <f t="shared" si="4"/>
        <v>0</v>
      </c>
      <c r="I30" s="383">
        <f t="shared" si="4"/>
        <v>0</v>
      </c>
      <c r="J30" s="383">
        <f t="shared" si="4"/>
        <v>0</v>
      </c>
      <c r="K30" s="272">
        <f t="shared" si="4"/>
        <v>0</v>
      </c>
      <c r="L30" s="383">
        <f t="shared" si="4"/>
        <v>0</v>
      </c>
      <c r="M30" s="383">
        <f t="shared" si="4"/>
        <v>0</v>
      </c>
      <c r="N30" s="383">
        <f t="shared" si="4"/>
        <v>0</v>
      </c>
      <c r="O30" s="274">
        <f>+MAX(O31:O49)</f>
        <v>0</v>
      </c>
      <c r="P30" s="274">
        <f t="array" ref="P30">MIN(IF(P31:P50&gt;0,P31:P50))</f>
        <v>0</v>
      </c>
      <c r="Q30" s="332"/>
      <c r="R30" s="417"/>
    </row>
    <row r="31" spans="1:18" ht="24">
      <c r="A31" s="347" t="s">
        <v>381</v>
      </c>
      <c r="B31" s="384"/>
      <c r="C31" s="275"/>
      <c r="D31" s="384"/>
      <c r="E31" s="929"/>
      <c r="F31" s="365"/>
      <c r="G31" s="384"/>
      <c r="H31" s="929"/>
      <c r="I31" s="385"/>
      <c r="J31" s="386">
        <f t="shared" ref="J31:J49" si="5">B31+D31-G31+I31</f>
        <v>0</v>
      </c>
      <c r="K31" s="929"/>
      <c r="L31" s="384"/>
      <c r="M31" s="384"/>
      <c r="N31" s="384"/>
      <c r="O31" s="276"/>
      <c r="P31" s="276"/>
      <c r="Q31" s="332" t="str">
        <f>+IF(D31&gt;0,IF(AND(F31&gt;0,F31&lt;0.15,O31&gt;0,O31&lt;0.15,P31&gt;0,P31&lt;0.15),"","ЗЖДХ болон дээд, доод хүүг сараар шивнэ үү."),"")</f>
        <v/>
      </c>
      <c r="R31" s="417" t="str">
        <f t="shared" si="3"/>
        <v/>
      </c>
    </row>
    <row r="32" spans="1:18">
      <c r="A32" s="347" t="s">
        <v>382</v>
      </c>
      <c r="B32" s="384"/>
      <c r="C32" s="275"/>
      <c r="D32" s="384"/>
      <c r="E32" s="929"/>
      <c r="F32" s="365"/>
      <c r="G32" s="384"/>
      <c r="H32" s="929"/>
      <c r="I32" s="385"/>
      <c r="J32" s="386">
        <f t="shared" si="5"/>
        <v>0</v>
      </c>
      <c r="K32" s="929"/>
      <c r="L32" s="384"/>
      <c r="M32" s="384"/>
      <c r="N32" s="384"/>
      <c r="O32" s="276"/>
      <c r="P32" s="276"/>
      <c r="Q32" s="332" t="str">
        <f t="shared" ref="Q32:Q50" si="6">+IF(D32&gt;0,IF(AND(F32&gt;0,F32&lt;0.15,O32&gt;0,O32&lt;0.15,P32&gt;0,P32&lt;0.15),"","ЗЖДХ болон дээд, доод хүүг сараар шивнэ үү."),"")</f>
        <v/>
      </c>
      <c r="R32" s="417" t="str">
        <f t="shared" si="3"/>
        <v/>
      </c>
    </row>
    <row r="33" spans="1:18">
      <c r="A33" s="348" t="s">
        <v>383</v>
      </c>
      <c r="B33" s="384"/>
      <c r="C33" s="277"/>
      <c r="D33" s="387"/>
      <c r="E33" s="278"/>
      <c r="F33" s="365"/>
      <c r="G33" s="387"/>
      <c r="H33" s="278"/>
      <c r="I33" s="388"/>
      <c r="J33" s="386">
        <f t="shared" si="5"/>
        <v>0</v>
      </c>
      <c r="K33" s="929"/>
      <c r="L33" s="387"/>
      <c r="M33" s="387"/>
      <c r="N33" s="387"/>
      <c r="O33" s="276"/>
      <c r="P33" s="276"/>
      <c r="Q33" s="332" t="str">
        <f t="shared" si="6"/>
        <v/>
      </c>
      <c r="R33" s="417" t="str">
        <f t="shared" si="3"/>
        <v/>
      </c>
    </row>
    <row r="34" spans="1:18">
      <c r="A34" s="348" t="s">
        <v>384</v>
      </c>
      <c r="B34" s="384"/>
      <c r="C34" s="277"/>
      <c r="D34" s="387"/>
      <c r="E34" s="278"/>
      <c r="F34" s="365"/>
      <c r="G34" s="387"/>
      <c r="H34" s="278"/>
      <c r="I34" s="388"/>
      <c r="J34" s="386">
        <f t="shared" si="5"/>
        <v>0</v>
      </c>
      <c r="K34" s="929"/>
      <c r="L34" s="387"/>
      <c r="M34" s="387"/>
      <c r="N34" s="387"/>
      <c r="O34" s="276"/>
      <c r="P34" s="276"/>
      <c r="Q34" s="332" t="str">
        <f t="shared" si="6"/>
        <v/>
      </c>
      <c r="R34" s="417" t="str">
        <f t="shared" si="3"/>
        <v/>
      </c>
    </row>
    <row r="35" spans="1:18" ht="24">
      <c r="A35" s="348" t="s">
        <v>385</v>
      </c>
      <c r="B35" s="384"/>
      <c r="C35" s="277"/>
      <c r="D35" s="387"/>
      <c r="E35" s="278"/>
      <c r="F35" s="365"/>
      <c r="G35" s="387"/>
      <c r="H35" s="278"/>
      <c r="I35" s="388"/>
      <c r="J35" s="386">
        <f t="shared" si="5"/>
        <v>0</v>
      </c>
      <c r="K35" s="929"/>
      <c r="L35" s="387"/>
      <c r="M35" s="387"/>
      <c r="N35" s="387"/>
      <c r="O35" s="276"/>
      <c r="P35" s="276"/>
      <c r="Q35" s="332" t="str">
        <f t="shared" si="6"/>
        <v/>
      </c>
      <c r="R35" s="417" t="str">
        <f t="shared" si="3"/>
        <v/>
      </c>
    </row>
    <row r="36" spans="1:18">
      <c r="A36" s="348" t="s">
        <v>386</v>
      </c>
      <c r="B36" s="384"/>
      <c r="C36" s="277"/>
      <c r="D36" s="387"/>
      <c r="E36" s="278"/>
      <c r="F36" s="365"/>
      <c r="G36" s="387"/>
      <c r="H36" s="278"/>
      <c r="I36" s="388"/>
      <c r="J36" s="386">
        <f t="shared" si="5"/>
        <v>0</v>
      </c>
      <c r="K36" s="929"/>
      <c r="L36" s="387"/>
      <c r="M36" s="387"/>
      <c r="N36" s="387"/>
      <c r="O36" s="276"/>
      <c r="P36" s="276"/>
      <c r="Q36" s="332" t="str">
        <f t="shared" si="6"/>
        <v/>
      </c>
      <c r="R36" s="417" t="str">
        <f t="shared" si="3"/>
        <v/>
      </c>
    </row>
    <row r="37" spans="1:18">
      <c r="A37" s="348" t="s">
        <v>387</v>
      </c>
      <c r="B37" s="384"/>
      <c r="C37" s="277"/>
      <c r="D37" s="387"/>
      <c r="E37" s="278"/>
      <c r="F37" s="365"/>
      <c r="G37" s="387"/>
      <c r="H37" s="278"/>
      <c r="I37" s="388"/>
      <c r="J37" s="386">
        <f t="shared" si="5"/>
        <v>0</v>
      </c>
      <c r="K37" s="929"/>
      <c r="L37" s="387"/>
      <c r="M37" s="387"/>
      <c r="N37" s="387"/>
      <c r="O37" s="276"/>
      <c r="P37" s="276"/>
      <c r="Q37" s="332" t="str">
        <f t="shared" si="6"/>
        <v/>
      </c>
      <c r="R37" s="417" t="str">
        <f t="shared" si="3"/>
        <v/>
      </c>
    </row>
    <row r="38" spans="1:18">
      <c r="A38" s="348" t="s">
        <v>388</v>
      </c>
      <c r="B38" s="384"/>
      <c r="C38" s="277"/>
      <c r="D38" s="387"/>
      <c r="E38" s="278"/>
      <c r="F38" s="365"/>
      <c r="G38" s="387"/>
      <c r="H38" s="278"/>
      <c r="I38" s="388"/>
      <c r="J38" s="386">
        <f t="shared" si="5"/>
        <v>0</v>
      </c>
      <c r="K38" s="929"/>
      <c r="L38" s="387"/>
      <c r="M38" s="387"/>
      <c r="N38" s="387"/>
      <c r="O38" s="276"/>
      <c r="P38" s="276"/>
      <c r="Q38" s="332" t="str">
        <f t="shared" si="6"/>
        <v/>
      </c>
      <c r="R38" s="417" t="str">
        <f t="shared" si="3"/>
        <v/>
      </c>
    </row>
    <row r="39" spans="1:18">
      <c r="A39" s="348" t="s">
        <v>389</v>
      </c>
      <c r="B39" s="384"/>
      <c r="C39" s="277"/>
      <c r="D39" s="387"/>
      <c r="E39" s="278"/>
      <c r="F39" s="365"/>
      <c r="G39" s="387"/>
      <c r="H39" s="278"/>
      <c r="I39" s="388"/>
      <c r="J39" s="386">
        <f t="shared" si="5"/>
        <v>0</v>
      </c>
      <c r="K39" s="929"/>
      <c r="L39" s="387"/>
      <c r="M39" s="387"/>
      <c r="N39" s="387"/>
      <c r="O39" s="276"/>
      <c r="P39" s="276"/>
      <c r="Q39" s="332" t="str">
        <f t="shared" si="6"/>
        <v/>
      </c>
      <c r="R39" s="417" t="str">
        <f t="shared" si="3"/>
        <v/>
      </c>
    </row>
    <row r="40" spans="1:18" ht="24">
      <c r="A40" s="348" t="s">
        <v>390</v>
      </c>
      <c r="B40" s="384"/>
      <c r="C40" s="277"/>
      <c r="D40" s="387"/>
      <c r="E40" s="278"/>
      <c r="F40" s="365"/>
      <c r="G40" s="387"/>
      <c r="H40" s="278"/>
      <c r="I40" s="388"/>
      <c r="J40" s="386">
        <f t="shared" si="5"/>
        <v>0</v>
      </c>
      <c r="K40" s="929"/>
      <c r="L40" s="387"/>
      <c r="M40" s="387"/>
      <c r="N40" s="387"/>
      <c r="O40" s="276"/>
      <c r="P40" s="276"/>
      <c r="Q40" s="332" t="str">
        <f t="shared" si="6"/>
        <v/>
      </c>
      <c r="R40" s="417" t="str">
        <f t="shared" si="3"/>
        <v/>
      </c>
    </row>
    <row r="41" spans="1:18">
      <c r="A41" s="348" t="s">
        <v>391</v>
      </c>
      <c r="B41" s="384"/>
      <c r="C41" s="277"/>
      <c r="D41" s="387"/>
      <c r="E41" s="278"/>
      <c r="F41" s="365"/>
      <c r="G41" s="387"/>
      <c r="H41" s="278"/>
      <c r="I41" s="388"/>
      <c r="J41" s="386">
        <f t="shared" si="5"/>
        <v>0</v>
      </c>
      <c r="K41" s="929"/>
      <c r="L41" s="387"/>
      <c r="M41" s="387"/>
      <c r="N41" s="387"/>
      <c r="O41" s="276"/>
      <c r="P41" s="276"/>
      <c r="Q41" s="332" t="str">
        <f t="shared" si="6"/>
        <v/>
      </c>
      <c r="R41" s="417" t="str">
        <f t="shared" si="3"/>
        <v/>
      </c>
    </row>
    <row r="42" spans="1:18">
      <c r="A42" s="348" t="s">
        <v>392</v>
      </c>
      <c r="B42" s="384"/>
      <c r="C42" s="277"/>
      <c r="D42" s="387"/>
      <c r="E42" s="278"/>
      <c r="F42" s="365"/>
      <c r="G42" s="387"/>
      <c r="H42" s="278"/>
      <c r="I42" s="388"/>
      <c r="J42" s="386">
        <f t="shared" si="5"/>
        <v>0</v>
      </c>
      <c r="K42" s="929"/>
      <c r="L42" s="387"/>
      <c r="M42" s="387"/>
      <c r="N42" s="387"/>
      <c r="O42" s="276"/>
      <c r="P42" s="276"/>
      <c r="Q42" s="332" t="str">
        <f t="shared" si="6"/>
        <v/>
      </c>
      <c r="R42" s="417" t="str">
        <f t="shared" si="3"/>
        <v/>
      </c>
    </row>
    <row r="43" spans="1:18">
      <c r="A43" s="348" t="s">
        <v>393</v>
      </c>
      <c r="B43" s="384"/>
      <c r="C43" s="277"/>
      <c r="D43" s="387"/>
      <c r="E43" s="278"/>
      <c r="F43" s="365"/>
      <c r="G43" s="387"/>
      <c r="H43" s="278"/>
      <c r="I43" s="388"/>
      <c r="J43" s="386">
        <f t="shared" si="5"/>
        <v>0</v>
      </c>
      <c r="K43" s="929"/>
      <c r="L43" s="387"/>
      <c r="M43" s="387"/>
      <c r="N43" s="387"/>
      <c r="O43" s="276"/>
      <c r="P43" s="276"/>
      <c r="Q43" s="332" t="str">
        <f t="shared" si="6"/>
        <v/>
      </c>
      <c r="R43" s="417" t="str">
        <f t="shared" si="3"/>
        <v/>
      </c>
    </row>
    <row r="44" spans="1:18" ht="24">
      <c r="A44" s="348" t="s">
        <v>394</v>
      </c>
      <c r="B44" s="384"/>
      <c r="C44" s="277"/>
      <c r="D44" s="387"/>
      <c r="E44" s="278"/>
      <c r="F44" s="365"/>
      <c r="G44" s="387"/>
      <c r="H44" s="278"/>
      <c r="I44" s="388"/>
      <c r="J44" s="386">
        <f t="shared" si="5"/>
        <v>0</v>
      </c>
      <c r="K44" s="929"/>
      <c r="L44" s="387"/>
      <c r="M44" s="387"/>
      <c r="N44" s="387"/>
      <c r="O44" s="276"/>
      <c r="P44" s="276"/>
      <c r="Q44" s="332" t="str">
        <f t="shared" si="6"/>
        <v/>
      </c>
      <c r="R44" s="417" t="str">
        <f t="shared" si="3"/>
        <v/>
      </c>
    </row>
    <row r="45" spans="1:18" ht="24">
      <c r="A45" s="348" t="s">
        <v>395</v>
      </c>
      <c r="B45" s="384"/>
      <c r="C45" s="277"/>
      <c r="D45" s="387"/>
      <c r="E45" s="278"/>
      <c r="F45" s="365"/>
      <c r="G45" s="387"/>
      <c r="H45" s="278"/>
      <c r="I45" s="388"/>
      <c r="J45" s="386">
        <f t="shared" si="5"/>
        <v>0</v>
      </c>
      <c r="K45" s="929"/>
      <c r="L45" s="387"/>
      <c r="M45" s="387"/>
      <c r="N45" s="387"/>
      <c r="O45" s="276"/>
      <c r="P45" s="276"/>
      <c r="Q45" s="332" t="str">
        <f t="shared" si="6"/>
        <v/>
      </c>
      <c r="R45" s="417" t="str">
        <f t="shared" si="3"/>
        <v/>
      </c>
    </row>
    <row r="46" spans="1:18" ht="24">
      <c r="A46" s="348" t="s">
        <v>396</v>
      </c>
      <c r="B46" s="384"/>
      <c r="C46" s="277"/>
      <c r="D46" s="387"/>
      <c r="E46" s="278"/>
      <c r="F46" s="365"/>
      <c r="G46" s="387"/>
      <c r="H46" s="278"/>
      <c r="I46" s="388"/>
      <c r="J46" s="386">
        <f t="shared" si="5"/>
        <v>0</v>
      </c>
      <c r="K46" s="929"/>
      <c r="L46" s="387"/>
      <c r="M46" s="387"/>
      <c r="N46" s="387"/>
      <c r="O46" s="276"/>
      <c r="P46" s="276"/>
      <c r="Q46" s="332" t="str">
        <f t="shared" si="6"/>
        <v/>
      </c>
      <c r="R46" s="417" t="str">
        <f t="shared" si="3"/>
        <v/>
      </c>
    </row>
    <row r="47" spans="1:18">
      <c r="A47" s="348" t="s">
        <v>397</v>
      </c>
      <c r="B47" s="384"/>
      <c r="C47" s="277"/>
      <c r="D47" s="387"/>
      <c r="E47" s="278"/>
      <c r="F47" s="365"/>
      <c r="G47" s="387"/>
      <c r="H47" s="278"/>
      <c r="I47" s="388"/>
      <c r="J47" s="386">
        <f t="shared" si="5"/>
        <v>0</v>
      </c>
      <c r="K47" s="929"/>
      <c r="L47" s="387"/>
      <c r="M47" s="387"/>
      <c r="N47" s="387"/>
      <c r="O47" s="276"/>
      <c r="P47" s="276"/>
      <c r="Q47" s="332" t="str">
        <f t="shared" si="6"/>
        <v/>
      </c>
      <c r="R47" s="417" t="str">
        <f t="shared" si="3"/>
        <v/>
      </c>
    </row>
    <row r="48" spans="1:18">
      <c r="A48" s="348" t="s">
        <v>398</v>
      </c>
      <c r="B48" s="384"/>
      <c r="C48" s="277"/>
      <c r="D48" s="387"/>
      <c r="E48" s="278"/>
      <c r="F48" s="365"/>
      <c r="G48" s="387"/>
      <c r="H48" s="278"/>
      <c r="I48" s="388"/>
      <c r="J48" s="386">
        <f t="shared" si="5"/>
        <v>0</v>
      </c>
      <c r="K48" s="929"/>
      <c r="L48" s="387"/>
      <c r="M48" s="387"/>
      <c r="N48" s="387"/>
      <c r="O48" s="276"/>
      <c r="P48" s="276"/>
      <c r="Q48" s="332" t="str">
        <f t="shared" si="6"/>
        <v/>
      </c>
      <c r="R48" s="417" t="str">
        <f t="shared" si="3"/>
        <v/>
      </c>
    </row>
    <row r="49" spans="1:18">
      <c r="A49" s="348" t="s">
        <v>399</v>
      </c>
      <c r="B49" s="384"/>
      <c r="C49" s="277"/>
      <c r="D49" s="387"/>
      <c r="E49" s="278"/>
      <c r="F49" s="365"/>
      <c r="G49" s="387"/>
      <c r="H49" s="278"/>
      <c r="I49" s="388"/>
      <c r="J49" s="386">
        <f t="shared" si="5"/>
        <v>0</v>
      </c>
      <c r="K49" s="929"/>
      <c r="L49" s="387"/>
      <c r="M49" s="387"/>
      <c r="N49" s="387"/>
      <c r="O49" s="276"/>
      <c r="P49" s="276"/>
      <c r="Q49" s="332" t="str">
        <f t="shared" si="6"/>
        <v/>
      </c>
      <c r="R49" s="417" t="str">
        <f t="shared" si="3"/>
        <v/>
      </c>
    </row>
    <row r="50" spans="1:18" ht="24">
      <c r="A50" s="349" t="s">
        <v>400</v>
      </c>
      <c r="B50" s="390"/>
      <c r="C50" s="279"/>
      <c r="D50" s="390"/>
      <c r="E50" s="280"/>
      <c r="F50" s="281"/>
      <c r="G50" s="390"/>
      <c r="H50" s="280"/>
      <c r="I50" s="391"/>
      <c r="J50" s="389">
        <f>+B50+D50-G50+I50</f>
        <v>0</v>
      </c>
      <c r="K50" s="280"/>
      <c r="L50" s="390"/>
      <c r="M50" s="390"/>
      <c r="N50" s="390"/>
      <c r="O50" s="282"/>
      <c r="P50" s="282"/>
      <c r="Q50" s="332" t="str">
        <f t="shared" si="6"/>
        <v/>
      </c>
      <c r="R50" s="417" t="str">
        <f t="shared" si="3"/>
        <v/>
      </c>
    </row>
    <row r="51" spans="1:18" s="346" customFormat="1" ht="15" customHeight="1">
      <c r="A51" s="350" t="s">
        <v>595</v>
      </c>
      <c r="B51" s="1216" t="s">
        <v>549</v>
      </c>
      <c r="C51" s="1217"/>
      <c r="D51" s="383">
        <f>SUM(D52:D58)</f>
        <v>0</v>
      </c>
      <c r="E51" s="272">
        <f>SUM(E52:E58)</f>
        <v>0</v>
      </c>
      <c r="F51" s="366" t="e">
        <f>(D52*F52+D53*F53+D54*F54+D55*F55+D56*F56+D57*F57+D58*F58)/D51</f>
        <v>#DIV/0!</v>
      </c>
      <c r="G51" s="383">
        <f>SUM(G52:G58)</f>
        <v>0</v>
      </c>
      <c r="H51" s="272">
        <f>SUM(H52:H58)</f>
        <v>0</v>
      </c>
      <c r="I51" s="1216" t="s">
        <v>549</v>
      </c>
      <c r="J51" s="1217"/>
      <c r="K51" s="1217"/>
      <c r="L51" s="1217"/>
      <c r="M51" s="1217"/>
      <c r="N51" s="1217"/>
      <c r="O51" s="1217"/>
      <c r="P51" s="1226"/>
      <c r="Q51" s="332"/>
      <c r="R51" s="417"/>
    </row>
    <row r="52" spans="1:18">
      <c r="A52" s="348" t="s">
        <v>572</v>
      </c>
      <c r="B52" s="1218"/>
      <c r="C52" s="1219"/>
      <c r="D52" s="387"/>
      <c r="E52" s="278"/>
      <c r="F52" s="286"/>
      <c r="G52" s="387"/>
      <c r="H52" s="278"/>
      <c r="I52" s="1218"/>
      <c r="J52" s="1219"/>
      <c r="K52" s="1219"/>
      <c r="L52" s="1219"/>
      <c r="M52" s="1219"/>
      <c r="N52" s="1219"/>
      <c r="O52" s="1219"/>
      <c r="P52" s="1227"/>
      <c r="Q52" s="332" t="str">
        <f t="shared" ref="Q52:Q58" si="7">+IF(D52&gt;0,IF(AND(F52&gt;0,F52&lt;0.15),"","ЗЖДХ-г сараар шивнэ үү."),"")</f>
        <v/>
      </c>
      <c r="R52" s="417"/>
    </row>
    <row r="53" spans="1:18">
      <c r="A53" s="348" t="s">
        <v>573</v>
      </c>
      <c r="B53" s="1218"/>
      <c r="C53" s="1219"/>
      <c r="D53" s="387"/>
      <c r="E53" s="278"/>
      <c r="F53" s="286"/>
      <c r="G53" s="387"/>
      <c r="H53" s="278"/>
      <c r="I53" s="1218"/>
      <c r="J53" s="1219"/>
      <c r="K53" s="1219"/>
      <c r="L53" s="1219"/>
      <c r="M53" s="1219"/>
      <c r="N53" s="1219"/>
      <c r="O53" s="1219"/>
      <c r="P53" s="1227"/>
      <c r="Q53" s="332" t="str">
        <f t="shared" si="7"/>
        <v/>
      </c>
      <c r="R53" s="417"/>
    </row>
    <row r="54" spans="1:18">
      <c r="A54" s="348" t="s">
        <v>574</v>
      </c>
      <c r="B54" s="1218"/>
      <c r="C54" s="1219"/>
      <c r="D54" s="387"/>
      <c r="E54" s="278"/>
      <c r="F54" s="286"/>
      <c r="G54" s="387"/>
      <c r="H54" s="278"/>
      <c r="I54" s="1218"/>
      <c r="J54" s="1219"/>
      <c r="K54" s="1219"/>
      <c r="L54" s="1219"/>
      <c r="M54" s="1219"/>
      <c r="N54" s="1219"/>
      <c r="O54" s="1219"/>
      <c r="P54" s="1227"/>
      <c r="Q54" s="332" t="str">
        <f t="shared" si="7"/>
        <v/>
      </c>
      <c r="R54" s="417"/>
    </row>
    <row r="55" spans="1:18">
      <c r="A55" s="348" t="s">
        <v>575</v>
      </c>
      <c r="B55" s="1218"/>
      <c r="C55" s="1219"/>
      <c r="D55" s="387"/>
      <c r="E55" s="278"/>
      <c r="F55" s="286"/>
      <c r="G55" s="387"/>
      <c r="H55" s="278"/>
      <c r="I55" s="1218"/>
      <c r="J55" s="1219"/>
      <c r="K55" s="1219"/>
      <c r="L55" s="1219"/>
      <c r="M55" s="1219"/>
      <c r="N55" s="1219"/>
      <c r="O55" s="1219"/>
      <c r="P55" s="1227"/>
      <c r="Q55" s="332" t="str">
        <f t="shared" si="7"/>
        <v/>
      </c>
      <c r="R55" s="417"/>
    </row>
    <row r="56" spans="1:18">
      <c r="A56" s="348" t="s">
        <v>576</v>
      </c>
      <c r="B56" s="1218"/>
      <c r="C56" s="1219"/>
      <c r="D56" s="387"/>
      <c r="E56" s="278"/>
      <c r="F56" s="286"/>
      <c r="G56" s="387"/>
      <c r="H56" s="278"/>
      <c r="I56" s="1218"/>
      <c r="J56" s="1219"/>
      <c r="K56" s="1219"/>
      <c r="L56" s="1219"/>
      <c r="M56" s="1219"/>
      <c r="N56" s="1219"/>
      <c r="O56" s="1219"/>
      <c r="P56" s="1227"/>
      <c r="Q56" s="332" t="str">
        <f t="shared" si="7"/>
        <v/>
      </c>
      <c r="R56" s="417"/>
    </row>
    <row r="57" spans="1:18">
      <c r="A57" s="348" t="s">
        <v>577</v>
      </c>
      <c r="B57" s="1218"/>
      <c r="C57" s="1219"/>
      <c r="D57" s="387"/>
      <c r="E57" s="278"/>
      <c r="F57" s="286"/>
      <c r="G57" s="387"/>
      <c r="H57" s="278"/>
      <c r="I57" s="1218"/>
      <c r="J57" s="1219"/>
      <c r="K57" s="1219"/>
      <c r="L57" s="1219"/>
      <c r="M57" s="1219"/>
      <c r="N57" s="1219"/>
      <c r="O57" s="1219"/>
      <c r="P57" s="1227"/>
      <c r="Q57" s="332" t="str">
        <f t="shared" si="7"/>
        <v/>
      </c>
      <c r="R57" s="417"/>
    </row>
    <row r="58" spans="1:18">
      <c r="A58" s="348" t="s">
        <v>578</v>
      </c>
      <c r="B58" s="1220"/>
      <c r="C58" s="1221"/>
      <c r="D58" s="387"/>
      <c r="E58" s="278"/>
      <c r="F58" s="286"/>
      <c r="G58" s="387"/>
      <c r="H58" s="278"/>
      <c r="I58" s="1220"/>
      <c r="J58" s="1221"/>
      <c r="K58" s="1221"/>
      <c r="L58" s="1221"/>
      <c r="M58" s="1221"/>
      <c r="N58" s="1221"/>
      <c r="O58" s="1221"/>
      <c r="P58" s="1228"/>
      <c r="Q58" s="332" t="str">
        <f t="shared" si="7"/>
        <v/>
      </c>
      <c r="R58" s="417"/>
    </row>
    <row r="59" spans="1:18" s="346" customFormat="1">
      <c r="A59" s="1223" t="s">
        <v>596</v>
      </c>
      <c r="B59" s="1224"/>
      <c r="C59" s="1224"/>
      <c r="D59" s="1224"/>
      <c r="E59" s="1224"/>
      <c r="F59" s="1224"/>
      <c r="G59" s="1224"/>
      <c r="H59" s="1224"/>
      <c r="I59" s="1224"/>
      <c r="J59" s="1224"/>
      <c r="K59" s="1224"/>
      <c r="L59" s="1224"/>
      <c r="M59" s="1224"/>
      <c r="N59" s="1224"/>
      <c r="O59" s="1224"/>
      <c r="P59" s="1225"/>
      <c r="Q59" s="332"/>
      <c r="R59" s="417"/>
    </row>
    <row r="60" spans="1:18">
      <c r="A60" s="271" t="s">
        <v>550</v>
      </c>
      <c r="B60" s="392">
        <f>SUM(B61:B65)</f>
        <v>0</v>
      </c>
      <c r="C60" s="930">
        <f t="shared" ref="C60:N60" si="8">SUM(C61:C65)</f>
        <v>0</v>
      </c>
      <c r="D60" s="392">
        <f t="shared" si="8"/>
        <v>0</v>
      </c>
      <c r="E60" s="930">
        <f t="shared" si="8"/>
        <v>0</v>
      </c>
      <c r="F60" s="273" t="e">
        <f>(D61*F61+D62*F62+D63*F63+D64*F64+D65*F65)/D60</f>
        <v>#DIV/0!</v>
      </c>
      <c r="G60" s="392">
        <f t="shared" si="8"/>
        <v>0</v>
      </c>
      <c r="H60" s="930">
        <f t="shared" si="8"/>
        <v>0</v>
      </c>
      <c r="I60" s="392">
        <f t="shared" si="8"/>
        <v>0</v>
      </c>
      <c r="J60" s="392">
        <f t="shared" si="8"/>
        <v>0</v>
      </c>
      <c r="K60" s="930">
        <f t="shared" si="8"/>
        <v>0</v>
      </c>
      <c r="L60" s="392">
        <f t="shared" si="8"/>
        <v>0</v>
      </c>
      <c r="M60" s="392">
        <f t="shared" si="8"/>
        <v>0</v>
      </c>
      <c r="N60" s="392">
        <f t="shared" si="8"/>
        <v>0</v>
      </c>
      <c r="O60" s="283">
        <f>MAX(O61:O65)</f>
        <v>0</v>
      </c>
      <c r="P60" s="274">
        <f t="array" ref="P60">MIN(IF(P61:P65&gt;0,P61:P65))</f>
        <v>0</v>
      </c>
      <c r="R60" s="417"/>
    </row>
    <row r="61" spans="1:18">
      <c r="A61" s="348" t="s">
        <v>579</v>
      </c>
      <c r="B61" s="393"/>
      <c r="C61" s="937"/>
      <c r="D61" s="387"/>
      <c r="E61" s="278"/>
      <c r="F61" s="286"/>
      <c r="G61" s="387"/>
      <c r="H61" s="278"/>
      <c r="I61" s="393"/>
      <c r="J61" s="386">
        <f>B61+D61-G61+I61</f>
        <v>0</v>
      </c>
      <c r="K61" s="929"/>
      <c r="L61" s="393"/>
      <c r="M61" s="393"/>
      <c r="N61" s="393"/>
      <c r="O61" s="287"/>
      <c r="P61" s="287"/>
      <c r="Q61" s="332" t="str">
        <f t="shared" ref="Q61:Q72" si="9">+IF(D61&gt;0,IF(AND(F61&gt;0,F61&lt;0.15,O61&gt;0,O61&lt;0.15,P61&gt;0,P61&lt;0.15),"","ЗЖДХ болон дээд, доод хүүг сараар шивнэ үү."),"")</f>
        <v/>
      </c>
      <c r="R61" s="417" t="str">
        <f>IF(SUM(L61:N61)=J61,"",IF(ROUND(J61-L61-M61-N61,2)=ROUND($Q$71,2),"","Зээлийн эцсийн үлдэгдлийн дүн зөрүүтэй"))</f>
        <v/>
      </c>
    </row>
    <row r="62" spans="1:18">
      <c r="A62" s="348" t="s">
        <v>600</v>
      </c>
      <c r="B62" s="393"/>
      <c r="C62" s="937"/>
      <c r="D62" s="387"/>
      <c r="E62" s="278"/>
      <c r="F62" s="286"/>
      <c r="G62" s="387"/>
      <c r="H62" s="278"/>
      <c r="I62" s="393"/>
      <c r="J62" s="386">
        <f>B62+D62-G62+I62</f>
        <v>0</v>
      </c>
      <c r="K62" s="929"/>
      <c r="L62" s="393"/>
      <c r="M62" s="393"/>
      <c r="N62" s="393"/>
      <c r="O62" s="287"/>
      <c r="P62" s="287"/>
      <c r="Q62" s="332" t="str">
        <f t="shared" si="9"/>
        <v/>
      </c>
      <c r="R62" s="417" t="str">
        <f>IF(SUM(L62:N62)=J62,"",IF(ROUND(J62-L62-M62-N62,2)=ROUND($Q$71,2),"","Зээлийн эцсийн үлдэгдлийн дүн зөрүүтэй"))</f>
        <v/>
      </c>
    </row>
    <row r="63" spans="1:18">
      <c r="A63" s="348" t="s">
        <v>601</v>
      </c>
      <c r="B63" s="393"/>
      <c r="C63" s="937"/>
      <c r="D63" s="387"/>
      <c r="E63" s="278"/>
      <c r="F63" s="286"/>
      <c r="G63" s="387"/>
      <c r="H63" s="278"/>
      <c r="I63" s="393"/>
      <c r="J63" s="386">
        <f>B63+D63-G63+I63</f>
        <v>0</v>
      </c>
      <c r="K63" s="929"/>
      <c r="L63" s="393"/>
      <c r="M63" s="393"/>
      <c r="N63" s="393"/>
      <c r="O63" s="287"/>
      <c r="P63" s="287"/>
      <c r="Q63" s="332" t="str">
        <f t="shared" si="9"/>
        <v/>
      </c>
      <c r="R63" s="417" t="str">
        <f>IF(SUM(L63:N63)=J63,"",IF(ROUND(J63-L63-M63-N63,2)=ROUND($Q$71,2),"","Зээлийн эцсийн үлдэгдлийн дүн зөрүүтэй"))</f>
        <v/>
      </c>
    </row>
    <row r="64" spans="1:18" ht="24">
      <c r="A64" s="348" t="s">
        <v>602</v>
      </c>
      <c r="B64" s="393"/>
      <c r="C64" s="937"/>
      <c r="D64" s="387"/>
      <c r="E64" s="278"/>
      <c r="F64" s="286"/>
      <c r="G64" s="387"/>
      <c r="H64" s="278"/>
      <c r="I64" s="393"/>
      <c r="J64" s="386">
        <f>B64+D64-G64+I64</f>
        <v>0</v>
      </c>
      <c r="K64" s="929"/>
      <c r="L64" s="393"/>
      <c r="M64" s="393"/>
      <c r="N64" s="393"/>
      <c r="O64" s="287"/>
      <c r="P64" s="287"/>
      <c r="Q64" s="332" t="str">
        <f t="shared" si="9"/>
        <v/>
      </c>
      <c r="R64" s="417" t="str">
        <f>IF(SUM(L64:N64)=J64,"",IF(ROUND(J64-L64-M64-N64,2)=ROUND($Q$71,2),"","Зээлийн эцсийн үлдэгдлийн дүн зөрүүтэй"))</f>
        <v/>
      </c>
    </row>
    <row r="65" spans="1:18">
      <c r="A65" s="348" t="s">
        <v>548</v>
      </c>
      <c r="B65" s="393"/>
      <c r="C65" s="937"/>
      <c r="D65" s="387"/>
      <c r="E65" s="278"/>
      <c r="F65" s="286"/>
      <c r="G65" s="387"/>
      <c r="H65" s="278"/>
      <c r="I65" s="393"/>
      <c r="J65" s="386">
        <f>B65+D65-G65+I65</f>
        <v>0</v>
      </c>
      <c r="K65" s="929"/>
      <c r="L65" s="393"/>
      <c r="M65" s="393"/>
      <c r="N65" s="393"/>
      <c r="O65" s="287"/>
      <c r="P65" s="287"/>
      <c r="Q65" s="332" t="str">
        <f t="shared" si="9"/>
        <v/>
      </c>
      <c r="R65" s="417" t="str">
        <f>IF(SUM(L65:N65)=J65,"",IF(ROUND(J65-L65-M65-N65,2)=ROUND($Q$71,2),"","Зээлийн эцсийн үлдэгдлийн дүн зөрүүтэй"))</f>
        <v/>
      </c>
    </row>
    <row r="66" spans="1:18">
      <c r="A66" s="271" t="s">
        <v>551</v>
      </c>
      <c r="B66" s="392">
        <f>SUM(B67:B70)</f>
        <v>0</v>
      </c>
      <c r="C66" s="930">
        <f>SUM(C67:C70)</f>
        <v>0</v>
      </c>
      <c r="D66" s="392">
        <f>SUM(D67:D70)</f>
        <v>0</v>
      </c>
      <c r="E66" s="930">
        <f>SUM(E67:E70)</f>
        <v>0</v>
      </c>
      <c r="F66" s="273" t="e">
        <f>(D67*F67+D68*F68+D69*F69+D70*F70)/D66</f>
        <v>#DIV/0!</v>
      </c>
      <c r="G66" s="392">
        <f t="shared" ref="G66:N66" si="10">SUM(G67:G70)</f>
        <v>0</v>
      </c>
      <c r="H66" s="930">
        <f t="shared" si="10"/>
        <v>0</v>
      </c>
      <c r="I66" s="392">
        <f t="shared" si="10"/>
        <v>0</v>
      </c>
      <c r="J66" s="392">
        <f t="shared" si="10"/>
        <v>0</v>
      </c>
      <c r="K66" s="930">
        <f t="shared" si="10"/>
        <v>0</v>
      </c>
      <c r="L66" s="392">
        <f t="shared" si="10"/>
        <v>0</v>
      </c>
      <c r="M66" s="392">
        <f t="shared" si="10"/>
        <v>0</v>
      </c>
      <c r="N66" s="392">
        <f t="shared" si="10"/>
        <v>0</v>
      </c>
      <c r="O66" s="283">
        <f>MAX(O67:O70)</f>
        <v>0</v>
      </c>
      <c r="P66" s="274">
        <f t="array" ref="P66">MIN(IF(P67:P70&gt;0,P67:P70))</f>
        <v>0</v>
      </c>
      <c r="R66" s="417"/>
    </row>
    <row r="67" spans="1:18">
      <c r="A67" s="348" t="s">
        <v>545</v>
      </c>
      <c r="B67" s="393"/>
      <c r="C67" s="937"/>
      <c r="D67" s="387"/>
      <c r="E67" s="278"/>
      <c r="F67" s="286"/>
      <c r="G67" s="387"/>
      <c r="H67" s="278"/>
      <c r="I67" s="393"/>
      <c r="J67" s="386">
        <f>B67+D67-G67+I67</f>
        <v>0</v>
      </c>
      <c r="K67" s="929"/>
      <c r="L67" s="393"/>
      <c r="M67" s="393"/>
      <c r="N67" s="393"/>
      <c r="O67" s="287"/>
      <c r="P67" s="287"/>
      <c r="Q67" s="332" t="str">
        <f t="shared" si="9"/>
        <v/>
      </c>
      <c r="R67" s="417" t="str">
        <f>IF(SUM(L67:N67)=J67,"",IF(ROUND(J67-L67-M67-N67,2)=ROUND($Q$71,2),"","Зээлийн эцсийн үлдэгдлийн дүн зөрүүтэй"))</f>
        <v/>
      </c>
    </row>
    <row r="68" spans="1:18">
      <c r="A68" s="348" t="s">
        <v>546</v>
      </c>
      <c r="B68" s="393"/>
      <c r="C68" s="937"/>
      <c r="D68" s="387"/>
      <c r="E68" s="278"/>
      <c r="F68" s="286"/>
      <c r="G68" s="387"/>
      <c r="H68" s="278"/>
      <c r="I68" s="393"/>
      <c r="J68" s="386">
        <f>B68+D68-G68+I68</f>
        <v>0</v>
      </c>
      <c r="K68" s="929"/>
      <c r="L68" s="393"/>
      <c r="M68" s="393"/>
      <c r="N68" s="393"/>
      <c r="O68" s="287"/>
      <c r="P68" s="287"/>
      <c r="Q68" s="332" t="str">
        <f t="shared" si="9"/>
        <v/>
      </c>
      <c r="R68" s="417" t="str">
        <f>IF(SUM(L68:N68)=J68,"",IF(ROUND(J68-L68-M68-N68,2)=ROUND($Q$71,2),"","Зээлийн эцсийн үлдэгдлийн дүн зөрүүтэй"))</f>
        <v/>
      </c>
    </row>
    <row r="69" spans="1:18">
      <c r="A69" s="348" t="s">
        <v>547</v>
      </c>
      <c r="B69" s="393"/>
      <c r="C69" s="937"/>
      <c r="D69" s="387"/>
      <c r="E69" s="278"/>
      <c r="F69" s="286"/>
      <c r="G69" s="387"/>
      <c r="H69" s="278"/>
      <c r="I69" s="393"/>
      <c r="J69" s="386">
        <f>B69+D69-G69+I69</f>
        <v>0</v>
      </c>
      <c r="K69" s="929"/>
      <c r="L69" s="393"/>
      <c r="M69" s="393"/>
      <c r="N69" s="393"/>
      <c r="O69" s="287"/>
      <c r="P69" s="287"/>
      <c r="Q69" s="332" t="str">
        <f t="shared" si="9"/>
        <v/>
      </c>
      <c r="R69" s="417" t="str">
        <f>IF(SUM(L69:N69)=J69,"",IF(ROUND(J69-L69-M69-N69,2)=ROUND($Q$71,2),"","Зээлийн эцсийн үлдэгдлийн дүн зөрүүтэй"))</f>
        <v/>
      </c>
    </row>
    <row r="70" spans="1:18">
      <c r="A70" s="348" t="s">
        <v>548</v>
      </c>
      <c r="B70" s="393"/>
      <c r="C70" s="937"/>
      <c r="D70" s="387"/>
      <c r="E70" s="278"/>
      <c r="F70" s="286"/>
      <c r="G70" s="387"/>
      <c r="H70" s="278"/>
      <c r="I70" s="393"/>
      <c r="J70" s="386">
        <f>B70+D70-G70+I70</f>
        <v>0</v>
      </c>
      <c r="K70" s="929"/>
      <c r="L70" s="393"/>
      <c r="M70" s="393"/>
      <c r="N70" s="393"/>
      <c r="O70" s="287"/>
      <c r="P70" s="287"/>
      <c r="Q70" s="332" t="str">
        <f t="shared" si="9"/>
        <v/>
      </c>
      <c r="R70" s="417" t="str">
        <f>IF(SUM(L70:N70)=J70,"",IF(ROUND(J70-L70-M70-N70,2)=ROUND($Q$71,2),"","Зээлийн эцсийн үлдэгдлийн дүн зөрүүтэй"))</f>
        <v/>
      </c>
    </row>
    <row r="71" spans="1:18">
      <c r="A71" s="409" t="s">
        <v>604</v>
      </c>
      <c r="B71" s="407">
        <f>+SUM(B30,B9)</f>
        <v>0</v>
      </c>
      <c r="C71" s="931">
        <f>+SUM(C30,C9)</f>
        <v>0</v>
      </c>
      <c r="D71" s="407">
        <f>+SUM(D30,D9)</f>
        <v>0</v>
      </c>
      <c r="E71" s="931">
        <f>+SUM(E30,E9)</f>
        <v>0</v>
      </c>
      <c r="F71" s="408" t="e">
        <f>(D9*F9+D30*F30)/D71</f>
        <v>#DIV/0!</v>
      </c>
      <c r="G71" s="383">
        <f>+SUM(G9,G30)</f>
        <v>0</v>
      </c>
      <c r="H71" s="272">
        <f>+SUM(H9,H30)</f>
        <v>0</v>
      </c>
      <c r="I71" s="383">
        <f>+SUM(I9,I30)</f>
        <v>0</v>
      </c>
      <c r="J71" s="383">
        <f>ROUND(SUM(L71:N71),2)</f>
        <v>0</v>
      </c>
      <c r="K71" s="272">
        <f>+SUM(K9,K30)</f>
        <v>0</v>
      </c>
      <c r="L71" s="383">
        <f>ROUND(BS!D26,2)</f>
        <v>0</v>
      </c>
      <c r="M71" s="383">
        <f>ROUND(BS!D27,2)</f>
        <v>0</v>
      </c>
      <c r="N71" s="383">
        <f>ROUND(BS!D28,2)</f>
        <v>0</v>
      </c>
      <c r="O71" s="274">
        <f>+MAX(O30,O9)</f>
        <v>0</v>
      </c>
      <c r="P71" s="274">
        <f>+MIN(P30,P9)</f>
        <v>0</v>
      </c>
      <c r="Q71" s="418">
        <f>J71-L71-M71-N71</f>
        <v>0</v>
      </c>
      <c r="R71" s="417"/>
    </row>
    <row r="72" spans="1:18">
      <c r="A72" s="411" t="s">
        <v>603</v>
      </c>
      <c r="B72" s="412"/>
      <c r="C72" s="413"/>
      <c r="D72" s="412"/>
      <c r="E72" s="413"/>
      <c r="F72" s="282"/>
      <c r="G72" s="412"/>
      <c r="H72" s="413"/>
      <c r="I72" s="413"/>
      <c r="J72" s="414">
        <f>B72+D72-G72+I72</f>
        <v>0</v>
      </c>
      <c r="K72" s="413"/>
      <c r="L72" s="412"/>
      <c r="M72" s="412"/>
      <c r="N72" s="413"/>
      <c r="O72" s="282"/>
      <c r="P72" s="282"/>
      <c r="Q72" s="332" t="str">
        <f t="shared" si="9"/>
        <v/>
      </c>
    </row>
    <row r="73" spans="1:18" s="362" customFormat="1" ht="34.5" customHeight="1">
      <c r="A73" s="359"/>
      <c r="B73" s="331" t="str">
        <f>IF(B9=B60,"","Иргэнд олгосон зээлийн тоо зөрүүтэй")</f>
        <v/>
      </c>
      <c r="C73" s="932" t="str">
        <f>IF(C9=C60,"","Иргэнд олгосон зээлийн тоо зөрүүтэй")</f>
        <v/>
      </c>
      <c r="D73" s="331" t="str">
        <f>IF(D9=D60,"","Иргэнд олгосон зээлийн дүн зөрүүтэй")</f>
        <v/>
      </c>
      <c r="E73" s="932" t="str">
        <f>IF(E9=E60,"","Иргэнд олгосон зээлийн тоо зөрүүтэй")</f>
        <v/>
      </c>
      <c r="F73" s="368"/>
      <c r="G73" s="331" t="str">
        <f>IF(G9=G60,"","Иргэнд олгосон зээлийн дүн зөрүүтэй")</f>
        <v/>
      </c>
      <c r="H73" s="932" t="str">
        <f>IF(H9=H60,"","Иргэнд олгосон зээлийн тоо зөрүүтэй")</f>
        <v/>
      </c>
      <c r="I73" s="331" t="str">
        <f>IF(I9=I60,"","Иргэнд олгосон зээлийн дүн зөрүүтэй")</f>
        <v/>
      </c>
      <c r="J73" s="331" t="str">
        <f>IF(J9=J60,"","Иргэнд олгосон зээлийн дүн зөрүүтэй")</f>
        <v/>
      </c>
      <c r="K73" s="932" t="str">
        <f>IF(K9=K60,"","Иргэнд олгосон зээлийн тоо зөрүүтэй")</f>
        <v/>
      </c>
      <c r="L73" s="331" t="str">
        <f>IF(L9=L60,"","Иргэнд олгосон зээлийн дүн зөрүүтэй")</f>
        <v/>
      </c>
      <c r="M73" s="331" t="str">
        <f>IF(M9=M60,"","Иргэнд олгосон зээлийн дүн зөрүүтэй")</f>
        <v/>
      </c>
      <c r="N73" s="331" t="str">
        <f>IF(N9=N60,"","Иргэнд олгосон зээлийн дүн зөрүүтэй")</f>
        <v/>
      </c>
      <c r="O73" s="360"/>
      <c r="P73" s="360"/>
      <c r="Q73" s="361"/>
      <c r="R73" s="361"/>
    </row>
    <row r="74" spans="1:18" s="362" customFormat="1" ht="34.5" customHeight="1">
      <c r="A74" s="359"/>
      <c r="B74" s="331" t="str">
        <f>IF(B30=B66,"","Хуулийн этгээдэд олгосон зээлийн тоо зөрүүтэй")</f>
        <v/>
      </c>
      <c r="C74" s="932" t="str">
        <f>IF(C30=C66,"","Хуулийн этгээдэд олгосон зээлийн тоо зөрүүтэй")</f>
        <v/>
      </c>
      <c r="D74" s="331" t="str">
        <f>IF(D30=D66,"","Хуулийн этгээдэд олгосон зээлийн дүн зөрүүтэй")</f>
        <v/>
      </c>
      <c r="E74" s="932" t="str">
        <f>IF(E30=E66,"","Хуулийн этгээдэд олгосон зээлийн тоо зөрүүтэй")</f>
        <v/>
      </c>
      <c r="F74" s="368"/>
      <c r="G74" s="331" t="str">
        <f>IF(G30=G66,"","Хуулийн этгээдэд олгосон зээлийн дүн зөрүүтэй")</f>
        <v/>
      </c>
      <c r="H74" s="932" t="str">
        <f>IF(H30=H66,"","Хуулийн этгээдэд олгосон зээлийн тоо зөрүүтэй")</f>
        <v/>
      </c>
      <c r="I74" s="331" t="str">
        <f>IF(I30=I66,"","Хуулийн этгээдэд олгосон зээлийн дүн зөрүүтэй")</f>
        <v/>
      </c>
      <c r="J74" s="331" t="str">
        <f>IF(J30=J66,"","Хуулийн этгээдэд олгосон зээлийн дүн зөрүүтэй")</f>
        <v/>
      </c>
      <c r="K74" s="932" t="str">
        <f>IF(K30=K66,"","Хуулийн этгээдэд олгосон зээлийн тоо зөрүүтэй")</f>
        <v/>
      </c>
      <c r="L74" s="331" t="str">
        <f>IF(L30=L66,"","Хуулийн этгээдэд олгосон зээлийн дүн зөрүүтэй")</f>
        <v/>
      </c>
      <c r="M74" s="331" t="str">
        <f>IF(M30=M66,"","Хуулийн этгээдэд олгосон зээлийн дүн зөрүүтэй")</f>
        <v/>
      </c>
      <c r="N74" s="331" t="str">
        <f>IF(N30=N66,"","Хуулийн этгээдэд олгосон зээлийн дүн зөрүүтэй")</f>
        <v/>
      </c>
      <c r="O74" s="360"/>
      <c r="P74" s="360"/>
      <c r="Q74" s="361"/>
      <c r="R74" s="361"/>
    </row>
    <row r="75" spans="1:18" s="362" customFormat="1" ht="34.5" customHeight="1">
      <c r="A75" s="363"/>
      <c r="B75" s="364"/>
      <c r="C75" s="933"/>
      <c r="D75" s="364"/>
      <c r="E75" s="933"/>
      <c r="F75" s="364"/>
      <c r="G75" s="364"/>
      <c r="H75" s="933"/>
      <c r="I75" s="364"/>
      <c r="J75" s="364"/>
      <c r="K75" s="933"/>
      <c r="L75" s="364"/>
      <c r="M75" s="364"/>
      <c r="N75" s="364"/>
      <c r="O75" s="364"/>
      <c r="P75" s="364"/>
      <c r="Q75" s="361"/>
      <c r="R75" s="361"/>
    </row>
    <row r="76" spans="1:18" ht="39" customHeight="1">
      <c r="A76" s="1170" t="s">
        <v>590</v>
      </c>
      <c r="B76" s="1170"/>
      <c r="C76" s="1170"/>
      <c r="D76" s="1170"/>
      <c r="E76" s="1170"/>
      <c r="F76" s="1170"/>
      <c r="G76" s="1170"/>
      <c r="H76" s="1170"/>
      <c r="I76" s="1170"/>
      <c r="J76" s="1170"/>
      <c r="K76" s="1170"/>
      <c r="L76" s="1170"/>
      <c r="M76" s="1170"/>
      <c r="N76" s="1170"/>
      <c r="O76" s="1170"/>
      <c r="P76" s="1170"/>
    </row>
    <row r="77" spans="1:18">
      <c r="A77" s="1170" t="s">
        <v>591</v>
      </c>
      <c r="B77" s="1170"/>
      <c r="C77" s="1170"/>
      <c r="D77" s="1170"/>
      <c r="E77" s="1170"/>
      <c r="F77" s="1170"/>
      <c r="G77" s="1170"/>
      <c r="H77" s="1170"/>
      <c r="I77" s="1170"/>
      <c r="J77" s="1170"/>
      <c r="K77" s="1170"/>
      <c r="L77" s="1170"/>
      <c r="M77" s="1170"/>
      <c r="N77" s="1170"/>
      <c r="O77" s="1170"/>
      <c r="P77" s="1170"/>
    </row>
    <row r="78" spans="1:18">
      <c r="A78" s="1235" t="s">
        <v>402</v>
      </c>
      <c r="B78" s="1235"/>
      <c r="C78" s="1235"/>
      <c r="D78" s="351"/>
      <c r="E78" s="934"/>
      <c r="F78" s="367"/>
      <c r="G78" s="351"/>
      <c r="H78" s="934"/>
      <c r="I78" s="351"/>
      <c r="J78" s="351"/>
      <c r="K78" s="934"/>
      <c r="L78" s="351"/>
      <c r="M78" s="351"/>
      <c r="N78" s="351"/>
      <c r="O78" s="351"/>
      <c r="P78" s="351"/>
    </row>
    <row r="79" spans="1:18">
      <c r="A79" s="333" t="s">
        <v>569</v>
      </c>
    </row>
    <row r="80" spans="1:18">
      <c r="B80" s="1232" t="s">
        <v>33</v>
      </c>
      <c r="C80" s="1232"/>
      <c r="D80" s="354"/>
      <c r="E80" s="355"/>
      <c r="F80" s="356"/>
      <c r="H80" s="284"/>
      <c r="I80" s="284"/>
    </row>
    <row r="81" spans="2:13">
      <c r="B81" s="357"/>
      <c r="C81" s="938"/>
      <c r="D81" s="354"/>
      <c r="E81" s="355"/>
      <c r="F81" s="356"/>
    </row>
    <row r="82" spans="2:13">
      <c r="B82" s="1215" t="s">
        <v>122</v>
      </c>
      <c r="C82" s="1215"/>
      <c r="D82" s="1215"/>
      <c r="E82" s="355"/>
      <c r="F82" s="356"/>
    </row>
    <row r="83" spans="2:13">
      <c r="B83" s="357"/>
      <c r="C83" s="938"/>
      <c r="D83" s="354"/>
      <c r="E83" s="355"/>
      <c r="F83" s="356"/>
    </row>
    <row r="84" spans="2:13">
      <c r="B84" s="357"/>
      <c r="C84" s="938"/>
      <c r="D84" s="354" t="str">
        <f>+Statistic!B60</f>
        <v>ГҮЙЦЭТГЭХ ЗАХИРАЛ.......................//</v>
      </c>
      <c r="E84" s="355"/>
      <c r="F84" s="354"/>
      <c r="G84" s="354"/>
      <c r="H84" s="355"/>
      <c r="I84" s="354"/>
      <c r="J84" s="354"/>
      <c r="K84" s="940"/>
      <c r="L84" s="358"/>
      <c r="M84" s="358"/>
    </row>
    <row r="85" spans="2:13">
      <c r="B85" s="357"/>
      <c r="C85" s="938"/>
      <c r="D85" s="354"/>
      <c r="E85" s="355"/>
      <c r="F85" s="356"/>
    </row>
    <row r="86" spans="2:13">
      <c r="B86" s="357"/>
      <c r="C86" s="938"/>
      <c r="D86" s="354" t="str">
        <f>+Statistic!B62</f>
        <v>ЕРӨНХИЙ НЯГТЛАН БОДОГЧ...................................................//</v>
      </c>
      <c r="E86" s="355"/>
      <c r="F86" s="354"/>
      <c r="G86" s="354"/>
      <c r="H86" s="355"/>
      <c r="I86" s="354"/>
      <c r="J86" s="354"/>
      <c r="K86" s="940"/>
      <c r="L86" s="358"/>
      <c r="M86" s="358"/>
    </row>
    <row r="87" spans="2:13">
      <c r="B87" s="357"/>
      <c r="C87" s="938"/>
      <c r="D87" s="354"/>
      <c r="E87" s="355"/>
      <c r="F87" s="356"/>
    </row>
    <row r="88" spans="2:13">
      <c r="B88" s="357"/>
      <c r="C88" s="938"/>
      <c r="D88" s="354"/>
      <c r="E88" s="355"/>
      <c r="F88" s="354"/>
      <c r="G88" s="354"/>
      <c r="H88" s="355"/>
      <c r="I88" s="354"/>
      <c r="J88" s="354"/>
      <c r="K88" s="940"/>
      <c r="L88" s="358"/>
      <c r="M88" s="358"/>
    </row>
  </sheetData>
  <sheetProtection algorithmName="SHA-512" hashValue="x39zO8V4mFmbC+3KYTL9Q7Sp8NIwaR0jDosPnEY63gPCL+EefgMxdev11T1mQ3kiVKQFkExBbfJgog5fLOQWCQ==" saltValue="jBzM7Xh+w79lfk063JlZzA==" spinCount="100000" sheet="1" objects="1" scenarios="1"/>
  <mergeCells count="21">
    <mergeCell ref="B82:D82"/>
    <mergeCell ref="B51:C58"/>
    <mergeCell ref="B7:C7"/>
    <mergeCell ref="D7:E7"/>
    <mergeCell ref="A59:P59"/>
    <mergeCell ref="I51:P58"/>
    <mergeCell ref="J7:N7"/>
    <mergeCell ref="I7:I8"/>
    <mergeCell ref="O7:P7"/>
    <mergeCell ref="B80:C80"/>
    <mergeCell ref="A7:A8"/>
    <mergeCell ref="F7:F8"/>
    <mergeCell ref="G7:H7"/>
    <mergeCell ref="A76:P76"/>
    <mergeCell ref="A77:P77"/>
    <mergeCell ref="A78:C78"/>
    <mergeCell ref="A2:P2"/>
    <mergeCell ref="A3:P3"/>
    <mergeCell ref="A4:P4"/>
    <mergeCell ref="H6:J6"/>
    <mergeCell ref="O6:P6"/>
  </mergeCells>
  <dataValidations count="2">
    <dataValidation allowBlank="1" sqref="O67:P70 B51 B31:C50 E31:I51 D31:D58 E52:H58 D61:H65 O61:P65 J67:K70 B10:P29 J31:P50 J61:K65 D67:H70" xr:uid="{00000000-0002-0000-1300-000000000000}"/>
    <dataValidation type="decimal" operator="lessThanOrEqual" allowBlank="1" showInputMessage="1" showErrorMessage="1" sqref="L72:N72" xr:uid="{00000000-0002-0000-1300-000001000000}">
      <formula1>L71</formula1>
    </dataValidation>
  </dataValidations>
  <pageMargins left="0.7" right="0.7" top="0.75" bottom="0.75" header="0.3" footer="0.3"/>
  <pageSetup paperSize="9" scale="49"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90" customWidth="1"/>
    <col min="5" max="6" width="9.140625" style="3"/>
    <col min="7" max="7" width="12.5703125" style="3" bestFit="1" customWidth="1"/>
    <col min="8" max="8" width="13.5703125" style="3" bestFit="1" customWidth="1"/>
    <col min="9" max="9" width="13.7109375" style="3" customWidth="1"/>
    <col min="10" max="10" width="17.85546875" style="90" customWidth="1"/>
    <col min="11" max="11" width="9.140625" style="91"/>
    <col min="12" max="16384" width="9.140625" style="3"/>
  </cols>
  <sheetData>
    <row r="2" spans="1:12">
      <c r="A2" s="982" t="s">
        <v>463</v>
      </c>
      <c r="B2" s="982"/>
      <c r="C2" s="982"/>
      <c r="D2" s="982"/>
      <c r="E2" s="982"/>
      <c r="F2" s="982"/>
      <c r="G2" s="982"/>
      <c r="H2" s="982"/>
      <c r="I2" s="982"/>
      <c r="J2" s="982"/>
      <c r="K2" s="982"/>
      <c r="L2" s="2"/>
    </row>
    <row r="3" spans="1:12">
      <c r="A3" s="990" t="str">
        <f>+GB!A3</f>
        <v xml:space="preserve">БАНК БУС САНХҮҮГИЙН БАЙГУУЛЛАГЫН НЭР </v>
      </c>
      <c r="B3" s="990"/>
      <c r="C3" s="990"/>
      <c r="D3" s="990"/>
      <c r="E3" s="990"/>
      <c r="F3" s="990"/>
      <c r="G3" s="990"/>
      <c r="H3" s="990"/>
      <c r="I3" s="990"/>
      <c r="J3" s="990"/>
      <c r="K3" s="990"/>
      <c r="L3" s="9"/>
    </row>
    <row r="4" spans="1:12">
      <c r="A4" s="982" t="str">
        <f>+GB!A4</f>
        <v>БАНК БУС САНХҮҮГИЙН БАЙГУУЛЛАГА</v>
      </c>
      <c r="B4" s="982"/>
      <c r="C4" s="982"/>
      <c r="D4" s="982"/>
      <c r="E4" s="982"/>
      <c r="F4" s="982"/>
      <c r="G4" s="982"/>
      <c r="H4" s="982"/>
      <c r="I4" s="982"/>
      <c r="J4" s="982"/>
      <c r="K4" s="982"/>
      <c r="L4" s="2"/>
    </row>
    <row r="5" spans="1:12" ht="15" customHeight="1">
      <c r="A5" s="1128">
        <f>+GB!A6</f>
        <v>45716</v>
      </c>
      <c r="B5" s="1128"/>
      <c r="C5" s="244"/>
      <c r="J5" s="1182" t="s">
        <v>41</v>
      </c>
      <c r="K5" s="1182"/>
      <c r="L5" s="2"/>
    </row>
    <row r="6" spans="1:12" ht="38.25" customHeight="1">
      <c r="A6" s="1163" t="s">
        <v>2</v>
      </c>
      <c r="B6" s="1191" t="s">
        <v>538</v>
      </c>
      <c r="C6" s="1192"/>
      <c r="D6" s="1157" t="s">
        <v>464</v>
      </c>
      <c r="E6" s="1163" t="s">
        <v>465</v>
      </c>
      <c r="F6" s="1163" t="s">
        <v>539</v>
      </c>
      <c r="G6" s="1163" t="s">
        <v>466</v>
      </c>
      <c r="H6" s="1163" t="s">
        <v>290</v>
      </c>
      <c r="I6" s="1163" t="s">
        <v>343</v>
      </c>
      <c r="J6" s="1157" t="s">
        <v>570</v>
      </c>
      <c r="K6" s="1175" t="s">
        <v>297</v>
      </c>
      <c r="L6" s="27"/>
    </row>
    <row r="7" spans="1:12">
      <c r="A7" s="1164"/>
      <c r="B7" s="247" t="s">
        <v>530</v>
      </c>
      <c r="C7" s="247" t="s">
        <v>531</v>
      </c>
      <c r="D7" s="1158"/>
      <c r="E7" s="1164"/>
      <c r="F7" s="1164"/>
      <c r="G7" s="1164"/>
      <c r="H7" s="1164"/>
      <c r="I7" s="1164"/>
      <c r="J7" s="1158"/>
      <c r="K7" s="1176"/>
      <c r="L7" s="27"/>
    </row>
    <row r="8" spans="1:12">
      <c r="A8" s="212">
        <v>1</v>
      </c>
      <c r="B8" s="76"/>
      <c r="C8" s="76"/>
      <c r="D8" s="148"/>
      <c r="E8" s="76"/>
      <c r="F8" s="299"/>
      <c r="G8" s="77"/>
      <c r="H8" s="77"/>
      <c r="I8" s="77"/>
      <c r="J8" s="148"/>
      <c r="K8" s="920" t="e">
        <f>+J8/BS!I$96</f>
        <v>#DIV/0!</v>
      </c>
    </row>
    <row r="9" spans="1:12">
      <c r="A9" s="212">
        <v>2</v>
      </c>
      <c r="B9" s="76"/>
      <c r="C9" s="76"/>
      <c r="D9" s="148"/>
      <c r="E9" s="76"/>
      <c r="F9" s="299"/>
      <c r="G9" s="77"/>
      <c r="H9" s="77"/>
      <c r="I9" s="77"/>
      <c r="J9" s="148"/>
      <c r="K9" s="920" t="e">
        <f>+J9/BS!I$96</f>
        <v>#DIV/0!</v>
      </c>
    </row>
    <row r="10" spans="1:12">
      <c r="A10" s="212">
        <v>3</v>
      </c>
      <c r="B10" s="76"/>
      <c r="C10" s="76"/>
      <c r="D10" s="148"/>
      <c r="E10" s="76"/>
      <c r="F10" s="299"/>
      <c r="G10" s="77"/>
      <c r="H10" s="77"/>
      <c r="I10" s="77"/>
      <c r="J10" s="148"/>
      <c r="K10" s="920" t="e">
        <f>+J10/BS!I$96</f>
        <v>#DIV/0!</v>
      </c>
    </row>
    <row r="11" spans="1:12">
      <c r="A11" s="212">
        <v>4</v>
      </c>
      <c r="B11" s="76"/>
      <c r="C11" s="76"/>
      <c r="D11" s="148"/>
      <c r="E11" s="76"/>
      <c r="F11" s="299"/>
      <c r="G11" s="77"/>
      <c r="H11" s="77"/>
      <c r="I11" s="77"/>
      <c r="J11" s="148"/>
      <c r="K11" s="920" t="e">
        <f>+J11/BS!I$96</f>
        <v>#DIV/0!</v>
      </c>
    </row>
    <row r="12" spans="1:12">
      <c r="A12" s="212">
        <v>5</v>
      </c>
      <c r="B12" s="76"/>
      <c r="C12" s="76"/>
      <c r="D12" s="148"/>
      <c r="E12" s="76"/>
      <c r="F12" s="299"/>
      <c r="G12" s="77"/>
      <c r="H12" s="77"/>
      <c r="I12" s="77"/>
      <c r="J12" s="148"/>
      <c r="K12" s="920" t="e">
        <f>+J12/BS!I$96</f>
        <v>#DIV/0!</v>
      </c>
    </row>
    <row r="13" spans="1:12">
      <c r="A13" s="212">
        <v>6</v>
      </c>
      <c r="B13" s="76"/>
      <c r="C13" s="76"/>
      <c r="D13" s="148"/>
      <c r="E13" s="76"/>
      <c r="F13" s="299"/>
      <c r="G13" s="77"/>
      <c r="H13" s="77"/>
      <c r="I13" s="77"/>
      <c r="J13" s="148"/>
      <c r="K13" s="920" t="e">
        <f>+J13/BS!I$96</f>
        <v>#DIV/0!</v>
      </c>
    </row>
    <row r="14" spans="1:12">
      <c r="A14" s="212">
        <v>7</v>
      </c>
      <c r="B14" s="76"/>
      <c r="C14" s="76"/>
      <c r="D14" s="148"/>
      <c r="E14" s="76"/>
      <c r="F14" s="299"/>
      <c r="G14" s="77"/>
      <c r="H14" s="77"/>
      <c r="I14" s="77"/>
      <c r="J14" s="148"/>
      <c r="K14" s="920" t="e">
        <f>+J14/BS!I$96</f>
        <v>#DIV/0!</v>
      </c>
    </row>
    <row r="15" spans="1:12">
      <c r="A15" s="212">
        <v>8</v>
      </c>
      <c r="B15" s="76"/>
      <c r="C15" s="76"/>
      <c r="D15" s="148"/>
      <c r="E15" s="76"/>
      <c r="F15" s="299"/>
      <c r="G15" s="77"/>
      <c r="H15" s="77"/>
      <c r="I15" s="77"/>
      <c r="J15" s="148"/>
      <c r="K15" s="920" t="e">
        <f>+J15/BS!I$96</f>
        <v>#DIV/0!</v>
      </c>
    </row>
    <row r="16" spans="1:12">
      <c r="A16" s="212">
        <v>9</v>
      </c>
      <c r="B16" s="76"/>
      <c r="C16" s="76"/>
      <c r="D16" s="148"/>
      <c r="E16" s="76"/>
      <c r="F16" s="299"/>
      <c r="G16" s="77"/>
      <c r="H16" s="77"/>
      <c r="I16" s="77"/>
      <c r="J16" s="148"/>
      <c r="K16" s="920" t="e">
        <f>+J16/BS!I$96</f>
        <v>#DIV/0!</v>
      </c>
    </row>
    <row r="17" spans="1:12">
      <c r="A17" s="212">
        <v>10</v>
      </c>
      <c r="B17" s="76"/>
      <c r="C17" s="76"/>
      <c r="D17" s="148"/>
      <c r="E17" s="76"/>
      <c r="F17" s="299"/>
      <c r="G17" s="77"/>
      <c r="H17" s="77"/>
      <c r="I17" s="77"/>
      <c r="J17" s="148"/>
      <c r="K17" s="920" t="e">
        <f>+J17/BS!I$96</f>
        <v>#DIV/0!</v>
      </c>
    </row>
    <row r="18" spans="1:12">
      <c r="A18" s="212">
        <v>11</v>
      </c>
      <c r="B18" s="76"/>
      <c r="C18" s="76"/>
      <c r="D18" s="148"/>
      <c r="E18" s="76"/>
      <c r="F18" s="299"/>
      <c r="G18" s="77"/>
      <c r="H18" s="77"/>
      <c r="I18" s="77"/>
      <c r="J18" s="148"/>
      <c r="K18" s="920" t="e">
        <f>+J18/BS!I$96</f>
        <v>#DIV/0!</v>
      </c>
    </row>
    <row r="19" spans="1:12">
      <c r="A19" s="212">
        <v>12</v>
      </c>
      <c r="B19" s="76"/>
      <c r="C19" s="76"/>
      <c r="D19" s="148"/>
      <c r="E19" s="76"/>
      <c r="F19" s="299"/>
      <c r="G19" s="77"/>
      <c r="H19" s="77"/>
      <c r="I19" s="77"/>
      <c r="J19" s="148"/>
      <c r="K19" s="920" t="e">
        <f>+J19/BS!I$96</f>
        <v>#DIV/0!</v>
      </c>
    </row>
    <row r="20" spans="1:12">
      <c r="A20" s="212">
        <v>13</v>
      </c>
      <c r="B20" s="76"/>
      <c r="C20" s="76"/>
      <c r="D20" s="148"/>
      <c r="E20" s="76"/>
      <c r="F20" s="299"/>
      <c r="G20" s="77"/>
      <c r="H20" s="77"/>
      <c r="I20" s="77"/>
      <c r="J20" s="148"/>
      <c r="K20" s="920" t="e">
        <f>+J20/BS!I$96</f>
        <v>#DIV/0!</v>
      </c>
    </row>
    <row r="21" spans="1:12">
      <c r="A21" s="212">
        <v>14</v>
      </c>
      <c r="B21" s="76"/>
      <c r="C21" s="76"/>
      <c r="D21" s="148"/>
      <c r="E21" s="76"/>
      <c r="F21" s="299"/>
      <c r="G21" s="77"/>
      <c r="H21" s="77"/>
      <c r="I21" s="77"/>
      <c r="J21" s="148"/>
      <c r="K21" s="920" t="e">
        <f>+J21/BS!I$96</f>
        <v>#DIV/0!</v>
      </c>
    </row>
    <row r="22" spans="1:12">
      <c r="A22" s="212">
        <v>15</v>
      </c>
      <c r="B22" s="76"/>
      <c r="C22" s="76"/>
      <c r="D22" s="148"/>
      <c r="E22" s="76"/>
      <c r="F22" s="299"/>
      <c r="G22" s="77"/>
      <c r="H22" s="77"/>
      <c r="I22" s="77"/>
      <c r="J22" s="148"/>
      <c r="K22" s="920" t="e">
        <f>+J22/BS!I$96</f>
        <v>#DIV/0!</v>
      </c>
    </row>
    <row r="23" spans="1:12">
      <c r="A23" s="212">
        <v>16</v>
      </c>
      <c r="B23" s="76"/>
      <c r="C23" s="76"/>
      <c r="D23" s="148"/>
      <c r="E23" s="76"/>
      <c r="F23" s="299"/>
      <c r="G23" s="77"/>
      <c r="H23" s="77"/>
      <c r="I23" s="77"/>
      <c r="J23" s="148"/>
      <c r="K23" s="920" t="e">
        <f>+J23/BS!I$96</f>
        <v>#DIV/0!</v>
      </c>
    </row>
    <row r="24" spans="1:12">
      <c r="A24" s="212">
        <v>17</v>
      </c>
      <c r="B24" s="76"/>
      <c r="C24" s="76"/>
      <c r="D24" s="148"/>
      <c r="E24" s="76"/>
      <c r="F24" s="299"/>
      <c r="G24" s="77"/>
      <c r="H24" s="77"/>
      <c r="I24" s="77"/>
      <c r="J24" s="148"/>
      <c r="K24" s="920" t="e">
        <f>+J24/BS!I$96</f>
        <v>#DIV/0!</v>
      </c>
    </row>
    <row r="25" spans="1:12">
      <c r="A25" s="212">
        <v>18</v>
      </c>
      <c r="B25" s="76"/>
      <c r="C25" s="76"/>
      <c r="D25" s="148"/>
      <c r="E25" s="76"/>
      <c r="F25" s="299"/>
      <c r="G25" s="77"/>
      <c r="H25" s="77"/>
      <c r="I25" s="77"/>
      <c r="J25" s="148"/>
      <c r="K25" s="920" t="e">
        <f>+J25/BS!I$96</f>
        <v>#DIV/0!</v>
      </c>
    </row>
    <row r="26" spans="1:12">
      <c r="A26" s="212">
        <v>19</v>
      </c>
      <c r="B26" s="76"/>
      <c r="C26" s="76"/>
      <c r="D26" s="148"/>
      <c r="E26" s="76"/>
      <c r="F26" s="76"/>
      <c r="G26" s="77"/>
      <c r="H26" s="77"/>
      <c r="I26" s="77"/>
      <c r="J26" s="148"/>
      <c r="K26" s="920" t="e">
        <f>+J26/BS!I$96</f>
        <v>#DIV/0!</v>
      </c>
    </row>
    <row r="27" spans="1:12">
      <c r="A27" s="212">
        <v>20</v>
      </c>
      <c r="B27" s="76"/>
      <c r="C27" s="76"/>
      <c r="D27" s="148"/>
      <c r="E27" s="76"/>
      <c r="F27" s="76"/>
      <c r="G27" s="77"/>
      <c r="H27" s="77"/>
      <c r="I27" s="77"/>
      <c r="J27" s="148"/>
      <c r="K27" s="920" t="e">
        <f>+J27/BS!I$96</f>
        <v>#DIV/0!</v>
      </c>
      <c r="L27" s="381" t="str">
        <f>IF(SUM(J8:J27)=J28,"","Балансын дүн зөрүүтэй, Комментоор бичсэн зааврын дагуу шивнэ үү.")</f>
        <v/>
      </c>
    </row>
    <row r="28" spans="1:12">
      <c r="A28" s="1129" t="s">
        <v>298</v>
      </c>
      <c r="B28" s="1129"/>
      <c r="C28" s="245"/>
      <c r="D28" s="149">
        <f>+SUM(D8:D27)</f>
        <v>0</v>
      </c>
      <c r="E28" s="85"/>
      <c r="F28" s="85"/>
      <c r="G28" s="85"/>
      <c r="H28" s="85"/>
      <c r="I28" s="85"/>
      <c r="J28" s="149">
        <f>SUM(J8:J27)</f>
        <v>0</v>
      </c>
      <c r="K28" s="224"/>
    </row>
    <row r="29" spans="1:12">
      <c r="I29" s="1189" t="s">
        <v>462</v>
      </c>
      <c r="J29" s="1189"/>
      <c r="K29" s="223" t="e">
        <f>+MAX(K8:K27)</f>
        <v>#DIV/0!</v>
      </c>
    </row>
    <row r="30" spans="1:12">
      <c r="J30" s="369"/>
    </row>
    <row r="32" spans="1:12">
      <c r="A32" s="1147" t="s">
        <v>33</v>
      </c>
      <c r="B32" s="1147"/>
      <c r="C32" s="246"/>
      <c r="D32" s="93"/>
      <c r="E32" s="92"/>
      <c r="F32" s="92"/>
      <c r="G32" s="13"/>
      <c r="H32" s="14"/>
    </row>
    <row r="33" spans="2:10">
      <c r="B33" s="34"/>
      <c r="C33" s="34"/>
      <c r="D33" s="93"/>
      <c r="E33" s="92"/>
      <c r="F33" s="92"/>
      <c r="G33" s="13"/>
      <c r="H33" s="14"/>
    </row>
    <row r="34" spans="2:10">
      <c r="B34" s="90"/>
      <c r="C34" s="90"/>
      <c r="D34" s="17" t="s">
        <v>122</v>
      </c>
      <c r="E34" s="94"/>
      <c r="F34" s="94"/>
      <c r="G34" s="17"/>
    </row>
    <row r="35" spans="2:10">
      <c r="B35" s="16"/>
      <c r="C35" s="16"/>
      <c r="D35" s="93"/>
      <c r="E35" s="92"/>
      <c r="F35" s="92"/>
      <c r="G35" s="13"/>
      <c r="H35" s="14"/>
    </row>
    <row r="36" spans="2:10">
      <c r="B36" s="126"/>
      <c r="C36" s="126"/>
      <c r="D36" s="126"/>
      <c r="E36" s="126" t="str">
        <f>+Statistic!B60</f>
        <v>ГҮЙЦЭТГЭХ ЗАХИРАЛ.......................//</v>
      </c>
      <c r="F36" s="126"/>
      <c r="G36" s="126"/>
      <c r="H36" s="126"/>
      <c r="I36" s="126"/>
      <c r="J36" s="126"/>
    </row>
    <row r="37" spans="2:10">
      <c r="B37" s="95"/>
      <c r="C37" s="95"/>
      <c r="D37" s="95"/>
      <c r="E37" s="95"/>
      <c r="F37" s="95"/>
      <c r="G37" s="95"/>
      <c r="H37" s="95"/>
    </row>
    <row r="38" spans="2:10">
      <c r="B38" s="126"/>
      <c r="C38" s="126"/>
      <c r="D38" s="126"/>
      <c r="E38" s="126" t="str">
        <f>+Statistic!B62</f>
        <v>ЕРӨНХИЙ НЯГТЛАН БОДОГЧ...................................................//</v>
      </c>
      <c r="F38" s="126"/>
      <c r="G38" s="126"/>
      <c r="H38" s="126"/>
      <c r="I38" s="126"/>
      <c r="J38" s="126"/>
    </row>
    <row r="39" spans="2:10">
      <c r="B39" s="95"/>
      <c r="C39" s="95"/>
      <c r="D39" s="95"/>
      <c r="E39" s="95"/>
      <c r="F39" s="95"/>
      <c r="G39" s="95"/>
      <c r="H39" s="95"/>
    </row>
    <row r="40" spans="2:10">
      <c r="B40" s="126"/>
      <c r="C40" s="126"/>
      <c r="D40" s="126"/>
      <c r="E40" s="126"/>
      <c r="F40" s="126"/>
      <c r="G40" s="126"/>
      <c r="H40" s="126"/>
      <c r="I40" s="126"/>
      <c r="J40" s="126"/>
    </row>
  </sheetData>
  <sheetProtection algorithmName="SHA-512" hashValue="/Ph3FlURCdmvuxMyo/krTrs9pgXizlUfNIhuI3+I4aD7AsL9wFZRXqHcx2BUSmzM5AstgANq+ACoGaRJa3ucGQ==" saltValue="2tgJXgjnTgSrsx3vlW0YTQ==" spinCount="100000" sheet="1" objects="1" scenarios="1"/>
  <mergeCells count="18">
    <mergeCell ref="A2:K2"/>
    <mergeCell ref="A3:K3"/>
    <mergeCell ref="A4:K4"/>
    <mergeCell ref="A5:B5"/>
    <mergeCell ref="J5:K5"/>
    <mergeCell ref="A32:B32"/>
    <mergeCell ref="A28:B28"/>
    <mergeCell ref="D6:D7"/>
    <mergeCell ref="J6:J7"/>
    <mergeCell ref="K6:K7"/>
    <mergeCell ref="I29:J29"/>
    <mergeCell ref="F6:F7"/>
    <mergeCell ref="A6:A7"/>
    <mergeCell ref="E6:E7"/>
    <mergeCell ref="B6:C6"/>
    <mergeCell ref="I6:I7"/>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I27" xr:uid="{23B5F553-85A3-49EB-AC66-DE53BC595A82}">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90" customWidth="1"/>
    <col min="4" max="4" width="18.28515625" style="90" customWidth="1"/>
    <col min="5" max="5" width="19.5703125" style="90" customWidth="1"/>
    <col min="6" max="6" width="19.7109375" style="90" customWidth="1"/>
    <col min="7" max="7" width="18.28515625" style="90" customWidth="1"/>
    <col min="8" max="8" width="19.5703125" style="90" customWidth="1"/>
    <col min="9" max="9" width="9.140625" style="232"/>
    <col min="10" max="16384" width="9.140625" style="3"/>
  </cols>
  <sheetData>
    <row r="2" spans="1:26">
      <c r="A2" s="982" t="s">
        <v>479</v>
      </c>
      <c r="B2" s="982"/>
      <c r="C2" s="982"/>
      <c r="D2" s="982"/>
      <c r="E2" s="982"/>
      <c r="F2" s="982"/>
      <c r="G2" s="982"/>
      <c r="H2" s="982"/>
      <c r="I2" s="228"/>
      <c r="J2" s="2"/>
      <c r="K2" s="2"/>
      <c r="L2" s="2"/>
      <c r="M2" s="2"/>
      <c r="N2" s="2"/>
      <c r="O2" s="2"/>
      <c r="P2" s="2"/>
      <c r="Q2" s="2"/>
      <c r="R2" s="2"/>
      <c r="S2" s="2"/>
      <c r="T2" s="2"/>
      <c r="U2" s="2"/>
      <c r="V2" s="2"/>
      <c r="W2" s="2"/>
      <c r="X2" s="2"/>
      <c r="Y2" s="2"/>
      <c r="Z2" s="2"/>
    </row>
    <row r="3" spans="1:26">
      <c r="A3" s="990" t="str">
        <f>+GB!A3</f>
        <v xml:space="preserve">БАНК БУС САНХҮҮГИЙН БАЙГУУЛЛАГЫН НЭР </v>
      </c>
      <c r="B3" s="990"/>
      <c r="C3" s="990"/>
      <c r="D3" s="990"/>
      <c r="E3" s="990"/>
      <c r="F3" s="990"/>
      <c r="G3" s="990"/>
      <c r="H3" s="990"/>
      <c r="I3" s="229"/>
      <c r="J3" s="9"/>
      <c r="K3" s="9"/>
      <c r="L3" s="9"/>
      <c r="M3" s="9"/>
      <c r="N3" s="9"/>
      <c r="O3" s="9"/>
      <c r="P3" s="9"/>
      <c r="Q3" s="9"/>
      <c r="R3" s="9"/>
      <c r="S3" s="9"/>
      <c r="T3" s="9"/>
      <c r="U3" s="9"/>
      <c r="V3" s="9"/>
      <c r="W3" s="9"/>
      <c r="X3" s="9"/>
      <c r="Y3" s="9"/>
      <c r="Z3" s="9"/>
    </row>
    <row r="4" spans="1:26">
      <c r="A4" s="982" t="str">
        <f>+GB!A4</f>
        <v>БАНК БУС САНХҮҮГИЙН БАЙГУУЛЛАГА</v>
      </c>
      <c r="B4" s="982"/>
      <c r="C4" s="982"/>
      <c r="D4" s="982"/>
      <c r="E4" s="982"/>
      <c r="F4" s="982"/>
      <c r="G4" s="982"/>
      <c r="H4" s="982"/>
      <c r="I4" s="228"/>
      <c r="J4" s="2"/>
      <c r="K4" s="2"/>
      <c r="L4" s="2"/>
      <c r="M4" s="2"/>
      <c r="N4" s="2"/>
      <c r="O4" s="2"/>
      <c r="P4" s="2"/>
      <c r="Q4" s="2"/>
      <c r="R4" s="2"/>
      <c r="S4" s="2"/>
      <c r="T4" s="2"/>
      <c r="U4" s="2"/>
      <c r="V4" s="2"/>
      <c r="W4" s="2"/>
      <c r="X4" s="2"/>
      <c r="Y4" s="2"/>
      <c r="Z4" s="2"/>
    </row>
    <row r="5" spans="1:26">
      <c r="A5" s="1"/>
      <c r="B5" s="1"/>
      <c r="C5" s="1"/>
      <c r="D5" s="1"/>
      <c r="E5" s="1"/>
      <c r="F5" s="1"/>
      <c r="G5" s="1"/>
      <c r="H5" s="1"/>
      <c r="I5" s="228"/>
      <c r="J5" s="2"/>
      <c r="K5" s="2"/>
      <c r="L5" s="2"/>
      <c r="M5" s="2"/>
      <c r="N5" s="2"/>
      <c r="O5" s="2"/>
      <c r="P5" s="2"/>
      <c r="Q5" s="2"/>
      <c r="R5" s="2"/>
      <c r="S5" s="2"/>
      <c r="T5" s="2"/>
      <c r="U5" s="2"/>
      <c r="V5" s="2"/>
      <c r="W5" s="2"/>
      <c r="X5" s="2"/>
      <c r="Y5" s="2"/>
      <c r="Z5" s="2"/>
    </row>
    <row r="6" spans="1:26">
      <c r="A6" s="1128">
        <f>+GB!A6</f>
        <v>45716</v>
      </c>
      <c r="B6" s="1128"/>
      <c r="H6" s="1132" t="s">
        <v>41</v>
      </c>
      <c r="I6" s="1132"/>
    </row>
    <row r="7" spans="1:26" ht="14.25" customHeight="1">
      <c r="A7" s="1202" t="s">
        <v>2</v>
      </c>
      <c r="B7" s="1202" t="s">
        <v>480</v>
      </c>
      <c r="C7" s="1237" t="s">
        <v>481</v>
      </c>
      <c r="D7" s="1237"/>
      <c r="E7" s="1237"/>
      <c r="F7" s="1237"/>
      <c r="G7" s="1237"/>
      <c r="H7" s="1237"/>
      <c r="I7" s="1237"/>
    </row>
    <row r="8" spans="1:26">
      <c r="A8" s="1202"/>
      <c r="B8" s="1202"/>
      <c r="C8" s="1239" t="s">
        <v>482</v>
      </c>
      <c r="D8" s="1239"/>
      <c r="E8" s="1239"/>
      <c r="F8" s="1237" t="s">
        <v>483</v>
      </c>
      <c r="G8" s="1237"/>
      <c r="H8" s="1237"/>
      <c r="I8" s="1238" t="s">
        <v>138</v>
      </c>
    </row>
    <row r="9" spans="1:26" s="16" customFormat="1">
      <c r="A9" s="1202"/>
      <c r="B9" s="1202"/>
      <c r="C9" s="1240" t="s">
        <v>484</v>
      </c>
      <c r="D9" s="1173" t="s">
        <v>485</v>
      </c>
      <c r="E9" s="1173" t="s">
        <v>486</v>
      </c>
      <c r="F9" s="1240" t="s">
        <v>484</v>
      </c>
      <c r="G9" s="1173" t="s">
        <v>485</v>
      </c>
      <c r="H9" s="1173" t="s">
        <v>486</v>
      </c>
      <c r="I9" s="1238"/>
    </row>
    <row r="10" spans="1:26" s="16" customFormat="1" ht="15.75" customHeight="1">
      <c r="A10" s="1202"/>
      <c r="B10" s="1202"/>
      <c r="C10" s="1240"/>
      <c r="D10" s="1173"/>
      <c r="E10" s="1173"/>
      <c r="F10" s="1240"/>
      <c r="G10" s="1173"/>
      <c r="H10" s="1173"/>
      <c r="I10" s="1238"/>
    </row>
    <row r="11" spans="1:26">
      <c r="A11" s="227">
        <v>1</v>
      </c>
      <c r="B11" s="89" t="s">
        <v>111</v>
      </c>
      <c r="C11" s="230"/>
      <c r="D11" s="230"/>
      <c r="E11" s="231"/>
      <c r="F11" s="231"/>
      <c r="G11" s="231"/>
      <c r="H11" s="231"/>
      <c r="I11" s="213" t="e">
        <f>+H11/$H$20</f>
        <v>#DIV/0!</v>
      </c>
    </row>
    <row r="12" spans="1:26">
      <c r="A12" s="227">
        <v>2</v>
      </c>
      <c r="B12" s="89" t="s">
        <v>487</v>
      </c>
      <c r="C12" s="230"/>
      <c r="D12" s="230"/>
      <c r="E12" s="231"/>
      <c r="F12" s="231"/>
      <c r="G12" s="231"/>
      <c r="H12" s="231"/>
      <c r="I12" s="213" t="e">
        <f>+H12/$H$20</f>
        <v>#DIV/0!</v>
      </c>
    </row>
    <row r="13" spans="1:26">
      <c r="A13" s="227">
        <v>3</v>
      </c>
      <c r="B13" s="89" t="s">
        <v>488</v>
      </c>
      <c r="C13" s="230"/>
      <c r="D13" s="230"/>
      <c r="E13" s="231"/>
      <c r="F13" s="231"/>
      <c r="G13" s="231"/>
      <c r="H13" s="231"/>
      <c r="I13" s="213" t="e">
        <f t="shared" ref="I13:I19" si="0">+H13/$H$20</f>
        <v>#DIV/0!</v>
      </c>
    </row>
    <row r="14" spans="1:26">
      <c r="A14" s="227">
        <v>4</v>
      </c>
      <c r="B14" s="89" t="s">
        <v>116</v>
      </c>
      <c r="C14" s="230"/>
      <c r="D14" s="230"/>
      <c r="E14" s="231"/>
      <c r="F14" s="231"/>
      <c r="G14" s="231"/>
      <c r="H14" s="231"/>
      <c r="I14" s="213" t="e">
        <f t="shared" si="0"/>
        <v>#DIV/0!</v>
      </c>
    </row>
    <row r="15" spans="1:26">
      <c r="A15" s="227">
        <v>5</v>
      </c>
      <c r="B15" s="89" t="s">
        <v>117</v>
      </c>
      <c r="C15" s="230"/>
      <c r="D15" s="230"/>
      <c r="E15" s="231"/>
      <c r="F15" s="231"/>
      <c r="G15" s="231"/>
      <c r="H15" s="231"/>
      <c r="I15" s="213" t="e">
        <f t="shared" si="0"/>
        <v>#DIV/0!</v>
      </c>
    </row>
    <row r="16" spans="1:26">
      <c r="A16" s="227">
        <v>6</v>
      </c>
      <c r="B16" s="89" t="s">
        <v>119</v>
      </c>
      <c r="C16" s="230"/>
      <c r="D16" s="230"/>
      <c r="E16" s="231"/>
      <c r="F16" s="231"/>
      <c r="G16" s="231"/>
      <c r="H16" s="231"/>
      <c r="I16" s="213" t="e">
        <f t="shared" si="0"/>
        <v>#DIV/0!</v>
      </c>
    </row>
    <row r="17" spans="1:9">
      <c r="A17" s="227">
        <v>7</v>
      </c>
      <c r="B17" s="89" t="s">
        <v>489</v>
      </c>
      <c r="C17" s="230"/>
      <c r="D17" s="230"/>
      <c r="E17" s="231"/>
      <c r="F17" s="231"/>
      <c r="G17" s="231"/>
      <c r="H17" s="231"/>
      <c r="I17" s="213" t="e">
        <f t="shared" si="0"/>
        <v>#DIV/0!</v>
      </c>
    </row>
    <row r="18" spans="1:9">
      <c r="A18" s="227">
        <v>8</v>
      </c>
      <c r="B18" s="89" t="s">
        <v>121</v>
      </c>
      <c r="C18" s="230"/>
      <c r="D18" s="230"/>
      <c r="E18" s="231"/>
      <c r="F18" s="231"/>
      <c r="G18" s="231"/>
      <c r="H18" s="231"/>
      <c r="I18" s="213" t="e">
        <f t="shared" si="0"/>
        <v>#DIV/0!</v>
      </c>
    </row>
    <row r="19" spans="1:9">
      <c r="A19" s="227">
        <v>9</v>
      </c>
      <c r="B19" s="89" t="s">
        <v>490</v>
      </c>
      <c r="C19" s="230"/>
      <c r="D19" s="230"/>
      <c r="E19" s="231"/>
      <c r="F19" s="231"/>
      <c r="G19" s="231"/>
      <c r="H19" s="231"/>
      <c r="I19" s="213" t="e">
        <f t="shared" si="0"/>
        <v>#DIV/0!</v>
      </c>
    </row>
    <row r="20" spans="1:9" ht="14.25" customHeight="1">
      <c r="A20" s="1236" t="s">
        <v>298</v>
      </c>
      <c r="B20" s="1236"/>
      <c r="C20" s="289">
        <f t="shared" ref="C20:H20" si="1">+SUM(C11:C19)</f>
        <v>0</v>
      </c>
      <c r="D20" s="289">
        <f t="shared" si="1"/>
        <v>0</v>
      </c>
      <c r="E20" s="290">
        <f>+SUM(E11:E19)</f>
        <v>0</v>
      </c>
      <c r="F20" s="290">
        <f t="shared" si="1"/>
        <v>0</v>
      </c>
      <c r="G20" s="290">
        <f t="shared" si="1"/>
        <v>0</v>
      </c>
      <c r="H20" s="290">
        <f t="shared" si="1"/>
        <v>0</v>
      </c>
      <c r="I20" s="291"/>
    </row>
    <row r="21" spans="1:9">
      <c r="G21" s="1201" t="s">
        <v>462</v>
      </c>
      <c r="H21" s="1201"/>
      <c r="I21" s="210" t="e">
        <f>+MAX(I11:I19)</f>
        <v>#DIV/0!</v>
      </c>
    </row>
    <row r="24" spans="1:9">
      <c r="B24" s="34" t="s">
        <v>33</v>
      </c>
      <c r="C24" s="93"/>
      <c r="D24" s="92"/>
      <c r="E24" s="13"/>
      <c r="F24" s="14"/>
    </row>
    <row r="25" spans="1:9">
      <c r="B25" s="34"/>
      <c r="C25" s="93"/>
      <c r="D25" s="92"/>
      <c r="E25" s="13"/>
      <c r="F25" s="14"/>
    </row>
    <row r="26" spans="1:9">
      <c r="B26" s="90"/>
      <c r="C26" s="17" t="s">
        <v>122</v>
      </c>
      <c r="D26" s="94"/>
      <c r="E26" s="17"/>
      <c r="F26" s="3"/>
    </row>
    <row r="27" spans="1:9">
      <c r="B27" s="16"/>
      <c r="C27" s="93"/>
      <c r="D27" s="92"/>
      <c r="E27" s="13"/>
      <c r="F27" s="14"/>
    </row>
    <row r="28" spans="1:9">
      <c r="B28" s="126"/>
      <c r="C28" s="126"/>
      <c r="D28" s="126" t="str">
        <f>+Statistic!B60</f>
        <v>ГҮЙЦЭТГЭХ ЗАХИРАЛ.......................//</v>
      </c>
      <c r="E28" s="126"/>
      <c r="F28" s="126"/>
      <c r="G28" s="126"/>
    </row>
    <row r="29" spans="1:9">
      <c r="B29" s="95"/>
      <c r="C29" s="95"/>
      <c r="D29" s="95"/>
      <c r="E29" s="95"/>
      <c r="F29" s="95"/>
    </row>
    <row r="30" spans="1:9">
      <c r="B30" s="126"/>
      <c r="C30" s="126"/>
      <c r="D30" s="126" t="str">
        <f>+Statistic!B62</f>
        <v>ЕРӨНХИЙ НЯГТЛАН БОДОГЧ...................................................//</v>
      </c>
      <c r="E30" s="126"/>
      <c r="F30" s="126"/>
      <c r="G30" s="126"/>
    </row>
    <row r="31" spans="1:9">
      <c r="B31" s="95"/>
      <c r="C31" s="95"/>
      <c r="D31" s="95"/>
      <c r="E31" s="95"/>
      <c r="F31" s="95"/>
    </row>
    <row r="32" spans="1:9">
      <c r="B32" s="126"/>
      <c r="C32" s="126"/>
      <c r="D32" s="126"/>
      <c r="E32" s="126"/>
      <c r="F32" s="126"/>
      <c r="G32" s="126"/>
    </row>
  </sheetData>
  <sheetProtection algorithmName="SHA-512" hashValue="koZxd4JruHccao2TrQJbV2KJfUu46bG7cV4TTUGgyOhqqXvMrKYBjd0NQ6fXpoH7w9ReN0DeVCGt+LepQDbeRA==" saltValue="w537YUT8rG6OV3A0jlP37g==" spinCount="100000" sheet="1" objects="1" scenarios="1"/>
  <mergeCells count="19">
    <mergeCell ref="G21:H21"/>
    <mergeCell ref="C8:E8"/>
    <mergeCell ref="F8:H8"/>
    <mergeCell ref="G9:G10"/>
    <mergeCell ref="H9:H10"/>
    <mergeCell ref="C9:C10"/>
    <mergeCell ref="D9:D10"/>
    <mergeCell ref="E9:E10"/>
    <mergeCell ref="F9:F10"/>
    <mergeCell ref="A20:B20"/>
    <mergeCell ref="A7:A10"/>
    <mergeCell ref="B7:B10"/>
    <mergeCell ref="C7:I7"/>
    <mergeCell ref="A2:H2"/>
    <mergeCell ref="A3:H3"/>
    <mergeCell ref="A4:H4"/>
    <mergeCell ref="A6:B6"/>
    <mergeCell ref="H6:I6"/>
    <mergeCell ref="I8:I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25"/>
  <sheetViews>
    <sheetView workbookViewId="0"/>
  </sheetViews>
  <sheetFormatPr defaultRowHeight="12.75"/>
  <cols>
    <col min="1" max="1" width="3.85546875" style="13" bestFit="1" customWidth="1"/>
    <col min="2" max="2" width="28.140625" style="3" customWidth="1"/>
    <col min="3" max="3" width="41.5703125" style="3" customWidth="1"/>
    <col min="4" max="16384" width="9.140625" style="3"/>
  </cols>
  <sheetData>
    <row r="1" spans="1:3" ht="15" customHeight="1">
      <c r="C1" s="420"/>
    </row>
    <row r="2" spans="1:3">
      <c r="A2" s="982" t="s">
        <v>621</v>
      </c>
      <c r="B2" s="982"/>
      <c r="C2" s="982"/>
    </row>
    <row r="3" spans="1:3">
      <c r="A3" s="990" t="str">
        <f>+Statistic!A3</f>
        <v xml:space="preserve">БАНК БУС САНХҮҮГИЙН БАЙГУУЛЛАГЫН НЭР </v>
      </c>
      <c r="B3" s="990"/>
      <c r="C3" s="990"/>
    </row>
    <row r="4" spans="1:3">
      <c r="A4" s="984" t="str">
        <f>+Statistic!A4</f>
        <v>БАНК БУС САНХҮҮГИЙН БАЙГУУЛЛАГА</v>
      </c>
      <c r="B4" s="984"/>
      <c r="C4" s="984"/>
    </row>
    <row r="5" spans="1:3">
      <c r="A5" s="447"/>
      <c r="B5" s="5"/>
      <c r="C5" s="5"/>
    </row>
    <row r="6" spans="1:3">
      <c r="A6" s="447"/>
      <c r="B6" s="5"/>
      <c r="C6" s="5"/>
    </row>
    <row r="7" spans="1:3">
      <c r="A7" s="988">
        <f>+Statistic!A7</f>
        <v>45716</v>
      </c>
      <c r="B7" s="988"/>
      <c r="C7" s="421"/>
    </row>
    <row r="8" spans="1:3">
      <c r="A8" s="448" t="s">
        <v>2</v>
      </c>
      <c r="B8" s="989" t="s">
        <v>691</v>
      </c>
      <c r="C8" s="989"/>
    </row>
    <row r="9" spans="1:3">
      <c r="A9" s="154">
        <v>1</v>
      </c>
      <c r="B9" s="238" t="s">
        <v>692</v>
      </c>
      <c r="C9" s="885"/>
    </row>
    <row r="10" spans="1:3">
      <c r="A10" s="154">
        <v>2</v>
      </c>
      <c r="B10" s="238" t="s">
        <v>694</v>
      </c>
      <c r="C10" s="885"/>
    </row>
    <row r="11" spans="1:3" ht="25.5">
      <c r="A11" s="154">
        <v>3</v>
      </c>
      <c r="B11" s="238" t="s">
        <v>693</v>
      </c>
      <c r="C11" s="885"/>
    </row>
    <row r="12" spans="1:3">
      <c r="A12" s="154">
        <v>4</v>
      </c>
      <c r="B12" s="238" t="s">
        <v>690</v>
      </c>
      <c r="C12" s="885"/>
    </row>
    <row r="13" spans="1:3">
      <c r="A13" s="154">
        <v>5</v>
      </c>
      <c r="B13" s="238" t="s">
        <v>617</v>
      </c>
      <c r="C13" s="885"/>
    </row>
    <row r="14" spans="1:3" ht="171.75" customHeight="1">
      <c r="A14" s="154">
        <v>6</v>
      </c>
      <c r="B14" s="303" t="s">
        <v>618</v>
      </c>
      <c r="C14" s="884"/>
    </row>
    <row r="15" spans="1:3" ht="81" customHeight="1">
      <c r="A15" s="154">
        <v>7</v>
      </c>
      <c r="B15" s="303" t="s">
        <v>619</v>
      </c>
      <c r="C15" s="885"/>
    </row>
    <row r="16" spans="1:3">
      <c r="A16" s="154">
        <v>8</v>
      </c>
      <c r="B16" s="238" t="s">
        <v>620</v>
      </c>
      <c r="C16" s="885"/>
    </row>
    <row r="17" spans="1:3">
      <c r="A17" s="3"/>
    </row>
    <row r="18" spans="1:3">
      <c r="A18" s="3"/>
    </row>
    <row r="19" spans="1:3">
      <c r="A19" s="976" t="s">
        <v>33</v>
      </c>
      <c r="B19" s="976"/>
      <c r="C19" s="304"/>
    </row>
    <row r="20" spans="1:3">
      <c r="A20" s="15"/>
      <c r="B20" s="30"/>
      <c r="C20" s="304"/>
    </row>
    <row r="21" spans="1:3">
      <c r="A21" s="17" t="str">
        <f>+Statistic!A58</f>
        <v xml:space="preserve">             ТАЙЛАНГ ҮНЭН ЗӨВ ГАРГАСАН:</v>
      </c>
      <c r="B21" s="17" t="str">
        <f>+Statistic!A58</f>
        <v xml:space="preserve">             ТАЙЛАНГ ҮНЭН ЗӨВ ГАРГАСАН:</v>
      </c>
      <c r="C21" s="18"/>
    </row>
    <row r="22" spans="1:3">
      <c r="A22" s="27"/>
      <c r="B22" s="16"/>
      <c r="C22" s="304"/>
    </row>
    <row r="23" spans="1:3">
      <c r="A23" s="27"/>
      <c r="B23" s="987" t="str">
        <f>+Statistic!B60</f>
        <v>ГҮЙЦЭТГЭХ ЗАХИРАЛ.......................//</v>
      </c>
      <c r="C23" s="987"/>
    </row>
    <row r="24" spans="1:3">
      <c r="A24" s="27"/>
      <c r="B24" s="305"/>
      <c r="C24" s="305"/>
    </row>
    <row r="25" spans="1:3">
      <c r="A25" s="27"/>
      <c r="B25" s="987" t="str">
        <f>+Statistic!B62</f>
        <v>ЕРӨНХИЙ НЯГТЛАН БОДОГЧ...................................................//</v>
      </c>
      <c r="C25" s="987"/>
    </row>
  </sheetData>
  <sheetProtection algorithmName="SHA-512" hashValue="cpl8UR/ZJ4pvCBqJpT4gXEjkP3/2trUCrU+9ccy1bSkvLwwI7NvylCB6GgG55ZoaJ2zs6rv3RpQZhpmikPRoTg==" saltValue="AGBThKRdt2MbcNCXz6AnYA==" spinCount="100000" sheet="1" objects="1" scenarios="1"/>
  <mergeCells count="8">
    <mergeCell ref="B25:C25"/>
    <mergeCell ref="A7:B7"/>
    <mergeCell ref="B8:C8"/>
    <mergeCell ref="A3:C3"/>
    <mergeCell ref="A2:C2"/>
    <mergeCell ref="A4:C4"/>
    <mergeCell ref="A19:B19"/>
    <mergeCell ref="B23:C23"/>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prompt="Утгыг шивж оруулахгүй. Заавал сонгоно уу." xr:uid="{49771677-1754-4014-9BFD-712F76CAEACA}">
          <x14:formula1>
            <xm:f>Statistic!$H$11:$H$12</xm:f>
          </x14:formula1>
          <xm:sqref>C9 C11:C12 C15:C16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5" width="18.42578125" customWidth="1"/>
    <col min="6" max="6" width="13" customWidth="1"/>
    <col min="7" max="7" width="18.42578125" customWidth="1"/>
    <col min="8" max="8" width="13" customWidth="1"/>
    <col min="9" max="9" width="18.42578125" customWidth="1"/>
    <col min="11" max="11" width="18.42578125" customWidth="1"/>
    <col min="13" max="13" width="18.42578125" customWidth="1"/>
    <col min="14" max="14" width="10.85546875" bestFit="1" customWidth="1"/>
  </cols>
  <sheetData>
    <row r="1" spans="2:19">
      <c r="D1" s="26"/>
      <c r="E1" s="3"/>
      <c r="F1" s="420"/>
    </row>
    <row r="2" spans="2:19">
      <c r="B2" s="982" t="s">
        <v>688</v>
      </c>
      <c r="C2" s="982"/>
      <c r="D2" s="982"/>
      <c r="E2" s="982"/>
      <c r="F2" s="982"/>
      <c r="G2" s="982"/>
      <c r="H2" s="982"/>
      <c r="I2" s="982"/>
      <c r="J2" s="982"/>
      <c r="K2" s="2"/>
      <c r="L2" s="2"/>
      <c r="M2" s="2"/>
      <c r="N2" s="2"/>
    </row>
    <row r="3" spans="2:19">
      <c r="B3" s="990" t="str">
        <f>+Statistic!A3</f>
        <v xml:space="preserve">БАНК БУС САНХҮҮГИЙН БАЙГУУЛЛАГЫН НЭР </v>
      </c>
      <c r="C3" s="990"/>
      <c r="D3" s="990"/>
      <c r="E3" s="990"/>
      <c r="F3" s="990"/>
      <c r="G3" s="990"/>
      <c r="H3" s="990"/>
      <c r="I3" s="990"/>
      <c r="J3" s="990"/>
      <c r="K3" s="9"/>
      <c r="L3" s="9"/>
      <c r="M3" s="9"/>
      <c r="N3" s="9"/>
    </row>
    <row r="4" spans="2:19">
      <c r="B4" s="984" t="str">
        <f>+Statistic!A4</f>
        <v>БАНК БУС САНХҮҮГИЙН БАЙГУУЛЛАГА</v>
      </c>
      <c r="C4" s="984"/>
      <c r="D4" s="984"/>
      <c r="E4" s="984"/>
      <c r="F4" s="984"/>
      <c r="G4" s="984"/>
      <c r="H4" s="984"/>
      <c r="I4" s="984"/>
      <c r="J4" s="984"/>
      <c r="K4" s="6"/>
      <c r="L4" s="6"/>
      <c r="M4" s="6"/>
      <c r="N4" s="6"/>
    </row>
    <row r="5" spans="2:19">
      <c r="D5" s="5"/>
      <c r="E5" s="5"/>
      <c r="F5" s="5"/>
    </row>
    <row r="6" spans="2:19">
      <c r="D6" s="5"/>
      <c r="E6" s="5"/>
      <c r="F6" s="5"/>
    </row>
    <row r="7" spans="2:19">
      <c r="B7" s="991">
        <f>+Statistic!A7</f>
        <v>45716</v>
      </c>
      <c r="C7" s="991"/>
      <c r="D7" s="991"/>
      <c r="E7" s="422"/>
      <c r="F7" s="421"/>
      <c r="J7" s="449" t="s">
        <v>704</v>
      </c>
    </row>
    <row r="8" spans="2:19">
      <c r="B8" s="993" t="s">
        <v>703</v>
      </c>
      <c r="C8" s="993"/>
      <c r="D8" s="993"/>
      <c r="E8" s="992" t="s">
        <v>29</v>
      </c>
      <c r="F8" s="992"/>
      <c r="G8" s="992"/>
      <c r="H8" s="992"/>
      <c r="I8" s="993" t="s">
        <v>675</v>
      </c>
      <c r="J8" s="993"/>
      <c r="K8" s="2"/>
      <c r="L8" s="2"/>
      <c r="M8" s="2"/>
      <c r="N8" s="2"/>
    </row>
    <row r="9" spans="2:19">
      <c r="B9" s="993"/>
      <c r="C9" s="993"/>
      <c r="D9" s="993"/>
      <c r="E9" s="992" t="s">
        <v>674</v>
      </c>
      <c r="F9" s="992"/>
      <c r="G9" s="992" t="s">
        <v>673</v>
      </c>
      <c r="H9" s="992"/>
      <c r="I9" s="993" t="s">
        <v>676</v>
      </c>
      <c r="J9" s="993" t="s">
        <v>677</v>
      </c>
      <c r="K9" s="2"/>
      <c r="L9" s="2"/>
      <c r="M9" s="2"/>
      <c r="N9" s="2"/>
    </row>
    <row r="10" spans="2:19">
      <c r="B10" s="993"/>
      <c r="C10" s="993"/>
      <c r="D10" s="993"/>
      <c r="E10" s="423" t="s">
        <v>676</v>
      </c>
      <c r="F10" s="423" t="s">
        <v>677</v>
      </c>
      <c r="G10" s="423" t="s">
        <v>676</v>
      </c>
      <c r="H10" s="423" t="s">
        <v>677</v>
      </c>
      <c r="I10" s="993"/>
      <c r="J10" s="993"/>
      <c r="K10" s="1"/>
      <c r="L10" s="1"/>
      <c r="M10" s="1"/>
      <c r="N10" s="1"/>
    </row>
    <row r="11" spans="2:19">
      <c r="B11" s="154">
        <v>1</v>
      </c>
      <c r="C11" s="994" t="s">
        <v>699</v>
      </c>
      <c r="D11" s="23" t="s">
        <v>696</v>
      </c>
      <c r="E11" s="258"/>
      <c r="F11" s="258"/>
      <c r="G11" s="258"/>
      <c r="H11" s="258"/>
      <c r="I11" s="258"/>
      <c r="J11" s="258"/>
      <c r="K11" s="668"/>
      <c r="L11" s="668"/>
      <c r="M11" s="668"/>
      <c r="N11" s="668"/>
      <c r="O11" s="668"/>
      <c r="P11" s="668"/>
      <c r="Q11" s="668"/>
      <c r="R11" s="668"/>
      <c r="S11" s="668"/>
    </row>
    <row r="12" spans="2:19">
      <c r="B12" s="154">
        <v>2</v>
      </c>
      <c r="C12" s="994"/>
      <c r="D12" s="424" t="s">
        <v>697</v>
      </c>
      <c r="E12" s="258"/>
      <c r="F12" s="258"/>
      <c r="G12" s="258"/>
      <c r="H12" s="258"/>
      <c r="I12" s="258"/>
      <c r="J12" s="258"/>
      <c r="K12" s="668"/>
      <c r="L12" s="668"/>
      <c r="M12" s="668"/>
      <c r="N12" s="668"/>
      <c r="O12" s="668"/>
      <c r="P12" s="668"/>
      <c r="Q12" s="668"/>
      <c r="R12" s="668"/>
      <c r="S12" s="668"/>
    </row>
    <row r="13" spans="2:19">
      <c r="B13" s="154">
        <v>3</v>
      </c>
      <c r="C13" s="994" t="s">
        <v>700</v>
      </c>
      <c r="D13" s="23" t="s">
        <v>695</v>
      </c>
      <c r="E13" s="398"/>
      <c r="F13" s="398"/>
      <c r="G13" s="398"/>
      <c r="H13" s="398"/>
      <c r="I13" s="398"/>
      <c r="J13" s="398"/>
      <c r="K13" s="668"/>
      <c r="L13" s="668"/>
      <c r="M13" s="668"/>
      <c r="N13" s="668"/>
      <c r="O13" s="668"/>
      <c r="P13" s="668"/>
      <c r="Q13" s="668"/>
      <c r="R13" s="668"/>
      <c r="S13" s="668"/>
    </row>
    <row r="14" spans="2:19">
      <c r="B14" s="154">
        <v>4</v>
      </c>
      <c r="C14" s="994"/>
      <c r="D14" s="424" t="s">
        <v>698</v>
      </c>
      <c r="E14" s="398"/>
      <c r="F14" s="398"/>
      <c r="G14" s="398"/>
      <c r="H14" s="398"/>
      <c r="I14" s="398"/>
      <c r="J14" s="398"/>
      <c r="K14" s="668"/>
      <c r="L14" s="668"/>
      <c r="M14" s="668"/>
      <c r="N14" s="668"/>
      <c r="O14" s="668"/>
      <c r="P14" s="668"/>
      <c r="Q14" s="668"/>
      <c r="R14" s="668"/>
      <c r="S14" s="668"/>
    </row>
    <row r="15" spans="2:19">
      <c r="B15" s="154">
        <v>5</v>
      </c>
      <c r="C15" s="994" t="s">
        <v>701</v>
      </c>
      <c r="D15" s="23" t="s">
        <v>696</v>
      </c>
      <c r="E15" s="258"/>
      <c r="F15" s="258"/>
      <c r="G15" s="258"/>
      <c r="H15" s="258"/>
      <c r="I15" s="258"/>
      <c r="J15" s="258"/>
      <c r="K15" s="668"/>
      <c r="L15" s="668"/>
      <c r="M15" s="668"/>
      <c r="N15" s="668"/>
      <c r="O15" s="668"/>
      <c r="P15" s="668"/>
      <c r="Q15" s="668"/>
      <c r="R15" s="668"/>
      <c r="S15" s="668"/>
    </row>
    <row r="16" spans="2:19">
      <c r="B16" s="154">
        <v>6</v>
      </c>
      <c r="C16" s="994"/>
      <c r="D16" s="424" t="s">
        <v>697</v>
      </c>
      <c r="E16" s="258"/>
      <c r="F16" s="258"/>
      <c r="G16" s="258"/>
      <c r="H16" s="258"/>
      <c r="I16" s="258"/>
      <c r="J16" s="258"/>
      <c r="K16" s="668"/>
      <c r="L16" s="668"/>
      <c r="M16" s="668"/>
      <c r="N16" s="668"/>
      <c r="O16" s="668"/>
      <c r="P16" s="668"/>
      <c r="Q16" s="668"/>
      <c r="R16" s="668"/>
      <c r="S16" s="668"/>
    </row>
    <row r="17" spans="2:19">
      <c r="B17" s="154">
        <v>7</v>
      </c>
      <c r="C17" s="994" t="s">
        <v>702</v>
      </c>
      <c r="D17" s="23" t="s">
        <v>696</v>
      </c>
      <c r="E17" s="258"/>
      <c r="F17" s="258"/>
      <c r="G17" s="258"/>
      <c r="H17" s="258"/>
      <c r="I17" s="258"/>
      <c r="J17" s="258"/>
      <c r="K17" s="668"/>
      <c r="L17" s="668"/>
      <c r="M17" s="668"/>
      <c r="N17" s="668"/>
      <c r="O17" s="668"/>
      <c r="P17" s="668"/>
      <c r="Q17" s="668"/>
      <c r="R17" s="668"/>
      <c r="S17" s="668"/>
    </row>
    <row r="18" spans="2:19">
      <c r="B18" s="154">
        <v>8</v>
      </c>
      <c r="C18" s="994"/>
      <c r="D18" s="424" t="s">
        <v>697</v>
      </c>
      <c r="E18" s="258"/>
      <c r="F18" s="258"/>
      <c r="G18" s="258"/>
      <c r="H18" s="258"/>
      <c r="I18" s="258"/>
      <c r="J18" s="258"/>
      <c r="K18" s="668"/>
      <c r="L18" s="668"/>
      <c r="M18" s="668"/>
      <c r="N18" s="668"/>
      <c r="O18" s="668"/>
      <c r="P18" s="668"/>
      <c r="Q18" s="668"/>
      <c r="R18" s="668"/>
      <c r="S18" s="668"/>
    </row>
    <row r="22" spans="2:19">
      <c r="D22" s="976" t="s">
        <v>33</v>
      </c>
      <c r="E22" s="976"/>
      <c r="F22" s="304"/>
    </row>
    <row r="23" spans="2:19">
      <c r="D23" s="15"/>
      <c r="E23" s="30"/>
      <c r="F23" s="304"/>
    </row>
    <row r="24" spans="2:19">
      <c r="D24" s="17" t="str">
        <f>+Statistic!A58</f>
        <v xml:space="preserve">             ТАЙЛАНГ ҮНЭН ЗӨВ ГАРГАСАН:</v>
      </c>
      <c r="E24" s="17"/>
      <c r="F24" s="18"/>
    </row>
    <row r="25" spans="2:19">
      <c r="D25" s="17"/>
      <c r="E25" s="16"/>
      <c r="F25" s="304"/>
    </row>
    <row r="26" spans="2:19">
      <c r="D26" s="17"/>
      <c r="E26" s="304" t="str">
        <f>+Statistic!B60</f>
        <v>ГҮЙЦЭТГЭХ ЗАХИРАЛ.......................//</v>
      </c>
      <c r="F26" s="304"/>
    </row>
    <row r="27" spans="2:19">
      <c r="D27" s="17"/>
      <c r="E27" s="425"/>
      <c r="F27" s="425"/>
    </row>
    <row r="28" spans="2:19">
      <c r="D28" s="17"/>
      <c r="E28" s="304" t="str">
        <f>+Statistic!B62</f>
        <v>ЕРӨНХИЙ НЯГТЛАН БОДОГЧ...................................................//</v>
      </c>
      <c r="F28" s="304"/>
    </row>
  </sheetData>
  <sheetProtection algorithmName="SHA-512" hashValue="QedCocgTGLNZ2H4s1GHxh53svNouvMumOTTSOtdnJxBQUAvacQL08xgaDZxaZ0KV0gJ/XR5N4RRWR+EKAxkuJw==" saltValue="NIRnaTwxKHSN3bXAAaXK3Q=="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44"/>
  <sheetViews>
    <sheetView workbookViewId="0"/>
  </sheetViews>
  <sheetFormatPr defaultRowHeight="12.75"/>
  <cols>
    <col min="1" max="1" width="55" style="3" customWidth="1"/>
    <col min="2" max="2" width="27.140625" style="3" bestFit="1" customWidth="1"/>
    <col min="3" max="3" width="21.28515625" style="3" customWidth="1"/>
    <col min="4" max="4" width="27.85546875" style="3" bestFit="1" customWidth="1"/>
    <col min="5" max="5" width="15.85546875" style="3" customWidth="1"/>
    <col min="6" max="7" width="9.140625" style="3"/>
    <col min="8" max="8" width="15" style="3" bestFit="1" customWidth="1"/>
    <col min="9" max="16384" width="9.140625" style="3"/>
  </cols>
  <sheetData>
    <row r="1" spans="1:3">
      <c r="A1" s="26"/>
      <c r="C1" s="420"/>
    </row>
    <row r="2" spans="1:3">
      <c r="A2" s="982" t="s">
        <v>669</v>
      </c>
      <c r="B2" s="982"/>
      <c r="C2" s="982"/>
    </row>
    <row r="3" spans="1:3">
      <c r="A3" s="990" t="str">
        <f>+Statistic!A3</f>
        <v xml:space="preserve">БАНК БУС САНХҮҮГИЙН БАЙГУУЛЛАГЫН НЭР </v>
      </c>
      <c r="B3" s="990"/>
      <c r="C3" s="990"/>
    </row>
    <row r="4" spans="1:3">
      <c r="A4" s="984" t="str">
        <f>+GB!A4</f>
        <v>БАНК БУС САНХҮҮГИЙН БАЙГУУЛЛАГА</v>
      </c>
      <c r="B4" s="984"/>
      <c r="C4" s="984"/>
    </row>
    <row r="5" spans="1:3">
      <c r="A5" s="5"/>
      <c r="B5" s="5"/>
      <c r="C5" s="5"/>
    </row>
    <row r="6" spans="1:3">
      <c r="A6" s="5"/>
      <c r="B6" s="5"/>
      <c r="C6" s="5"/>
    </row>
    <row r="7" spans="1:3">
      <c r="A7" s="988">
        <f>+Statistic!A7</f>
        <v>45716</v>
      </c>
      <c r="B7" s="988"/>
      <c r="C7" s="446" t="s">
        <v>704</v>
      </c>
    </row>
    <row r="8" spans="1:3">
      <c r="A8" s="301" t="s">
        <v>622</v>
      </c>
      <c r="B8" s="301" t="s">
        <v>485</v>
      </c>
      <c r="C8" s="301" t="s">
        <v>631</v>
      </c>
    </row>
    <row r="9" spans="1:3">
      <c r="A9" s="996" t="s">
        <v>632</v>
      </c>
      <c r="B9" s="997"/>
      <c r="C9" s="998"/>
    </row>
    <row r="10" spans="1:3">
      <c r="A10" s="302" t="s">
        <v>633</v>
      </c>
      <c r="B10" s="928"/>
      <c r="C10" s="431"/>
    </row>
    <row r="11" spans="1:3">
      <c r="A11" s="996" t="s">
        <v>629</v>
      </c>
      <c r="B11" s="997"/>
      <c r="C11" s="998"/>
    </row>
    <row r="12" spans="1:3">
      <c r="A12" s="302" t="s">
        <v>634</v>
      </c>
      <c r="B12" s="928"/>
      <c r="C12" s="431"/>
    </row>
    <row r="13" spans="1:3">
      <c r="A13" s="302" t="s">
        <v>635</v>
      </c>
      <c r="B13" s="928"/>
      <c r="C13" s="431"/>
    </row>
    <row r="14" spans="1:3">
      <c r="A14" s="302" t="s">
        <v>636</v>
      </c>
      <c r="B14" s="928"/>
      <c r="C14" s="431"/>
    </row>
    <row r="15" spans="1:3">
      <c r="A15" s="996" t="s">
        <v>637</v>
      </c>
      <c r="B15" s="997"/>
      <c r="C15" s="998"/>
    </row>
    <row r="16" spans="1:3">
      <c r="A16" s="302" t="s">
        <v>634</v>
      </c>
      <c r="B16" s="928"/>
      <c r="C16" s="431"/>
    </row>
    <row r="17" spans="1:3">
      <c r="A17" s="302" t="s">
        <v>638</v>
      </c>
      <c r="B17" s="928"/>
      <c r="C17" s="431"/>
    </row>
    <row r="18" spans="1:3">
      <c r="A18" s="302" t="s">
        <v>639</v>
      </c>
      <c r="B18" s="928"/>
      <c r="C18" s="431"/>
    </row>
    <row r="19" spans="1:3">
      <c r="A19" s="302" t="s">
        <v>640</v>
      </c>
      <c r="B19" s="928"/>
      <c r="C19" s="431"/>
    </row>
    <row r="20" spans="1:3">
      <c r="A20" s="302" t="s">
        <v>641</v>
      </c>
      <c r="B20" s="928"/>
      <c r="C20" s="431"/>
    </row>
    <row r="22" spans="1:3" ht="25.5">
      <c r="A22" s="24"/>
      <c r="B22" s="426" t="s">
        <v>642</v>
      </c>
      <c r="C22" s="426" t="s">
        <v>643</v>
      </c>
    </row>
    <row r="23" spans="1:3">
      <c r="A23" s="427" t="s">
        <v>689</v>
      </c>
      <c r="B23" s="428">
        <f>SUM(B24:B26)</f>
        <v>0</v>
      </c>
      <c r="C23" s="428">
        <f>SUM(C24:C26)</f>
        <v>0</v>
      </c>
    </row>
    <row r="24" spans="1:3">
      <c r="A24" s="429" t="s">
        <v>644</v>
      </c>
      <c r="B24" s="255"/>
      <c r="C24" s="255"/>
    </row>
    <row r="25" spans="1:3">
      <c r="A25" s="429" t="s">
        <v>644</v>
      </c>
      <c r="B25" s="255"/>
      <c r="C25" s="255"/>
    </row>
    <row r="26" spans="1:3">
      <c r="A26" s="429" t="s">
        <v>644</v>
      </c>
      <c r="B26" s="255"/>
      <c r="C26" s="255"/>
    </row>
    <row r="28" spans="1:3">
      <c r="A28" s="423" t="s">
        <v>622</v>
      </c>
      <c r="B28" s="423" t="s">
        <v>623</v>
      </c>
    </row>
    <row r="29" spans="1:3">
      <c r="A29" s="429" t="s">
        <v>624</v>
      </c>
      <c r="B29" s="432"/>
    </row>
    <row r="30" spans="1:3">
      <c r="A30" s="429" t="s">
        <v>625</v>
      </c>
      <c r="B30" s="883"/>
    </row>
    <row r="31" spans="1:3">
      <c r="A31" s="429" t="s">
        <v>626</v>
      </c>
      <c r="B31" s="883"/>
    </row>
    <row r="32" spans="1:3">
      <c r="A32" s="429" t="s">
        <v>627</v>
      </c>
      <c r="B32" s="883"/>
    </row>
    <row r="33" spans="1:3">
      <c r="A33" s="430" t="s">
        <v>628</v>
      </c>
      <c r="B33" s="883"/>
    </row>
    <row r="34" spans="1:3">
      <c r="A34" s="429" t="s">
        <v>629</v>
      </c>
      <c r="B34" s="432"/>
    </row>
    <row r="35" spans="1:3">
      <c r="A35" s="429" t="s">
        <v>630</v>
      </c>
      <c r="B35" s="432"/>
    </row>
    <row r="38" spans="1:3">
      <c r="A38" s="976" t="s">
        <v>33</v>
      </c>
      <c r="B38" s="976"/>
      <c r="C38" s="304"/>
    </row>
    <row r="39" spans="1:3">
      <c r="A39" s="15"/>
      <c r="B39" s="30"/>
      <c r="C39" s="304"/>
    </row>
    <row r="40" spans="1:3">
      <c r="A40" s="17" t="str">
        <f>+Statistic!A58</f>
        <v xml:space="preserve">             ТАЙЛАНГ ҮНЭН ЗӨВ ГАРГАСАН:</v>
      </c>
      <c r="B40" s="17"/>
      <c r="C40" s="18"/>
    </row>
    <row r="41" spans="1:3">
      <c r="A41" s="27"/>
      <c r="B41" s="16"/>
      <c r="C41" s="304"/>
    </row>
    <row r="42" spans="1:3">
      <c r="A42" s="27"/>
      <c r="B42" s="995" t="str">
        <f>+Statistic!B60</f>
        <v>ГҮЙЦЭТГЭХ ЗАХИРАЛ.......................//</v>
      </c>
      <c r="C42" s="995"/>
    </row>
    <row r="43" spans="1:3">
      <c r="A43" s="27"/>
      <c r="B43" s="425"/>
      <c r="C43" s="425"/>
    </row>
    <row r="44" spans="1:3">
      <c r="A44" s="27"/>
      <c r="B44" s="995" t="str">
        <f>+Statistic!B62</f>
        <v>ЕРӨНХИЙ НЯГТЛАН БОДОГЧ...................................................//</v>
      </c>
      <c r="C44" s="995"/>
    </row>
  </sheetData>
  <sheetProtection algorithmName="SHA-512" hashValue="pvl9sJiOLbFlIdsL7aRVUP6RuC4VigxnDvq9HTG3LBw5e6pkbS70S7fprNEObSuJ20oFhvuP+SX6OzCsZZ4gqg==" saltValue="+5go3WeXcxx3JQsym4JlWQ==" spinCount="100000" sheet="1" objects="1" scenarios="1"/>
  <mergeCells count="10">
    <mergeCell ref="B44:C44"/>
    <mergeCell ref="A2:C2"/>
    <mergeCell ref="A3:C3"/>
    <mergeCell ref="A4:C4"/>
    <mergeCell ref="A7:B7"/>
    <mergeCell ref="A9:C9"/>
    <mergeCell ref="A11:C11"/>
    <mergeCell ref="A15:C15"/>
    <mergeCell ref="A38:B38"/>
    <mergeCell ref="B42:C42"/>
  </mergeCells>
  <pageMargins left="0.25" right="0.25"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6"/>
  <sheetViews>
    <sheetView workbookViewId="0"/>
  </sheetViews>
  <sheetFormatPr defaultRowHeight="12.75"/>
  <cols>
    <col min="1" max="1" width="41.85546875" style="3" bestFit="1" customWidth="1"/>
    <col min="2" max="2" width="19.5703125" style="453" customWidth="1"/>
    <col min="3" max="3" width="19.5703125" style="20" customWidth="1"/>
    <col min="4" max="4" width="19.5703125" style="453" customWidth="1"/>
    <col min="5" max="5" width="19.5703125" style="20" customWidth="1"/>
    <col min="6" max="6" width="19.5703125" style="453" customWidth="1"/>
    <col min="7" max="7" width="19.5703125" style="20" customWidth="1"/>
    <col min="8" max="8" width="19.42578125" style="453" customWidth="1"/>
    <col min="9" max="9" width="19.42578125" style="20" customWidth="1"/>
    <col min="10" max="10" width="19.42578125" style="453" customWidth="1"/>
    <col min="11" max="11" width="19.42578125" style="20" customWidth="1"/>
    <col min="12" max="16384" width="9.140625" style="3"/>
  </cols>
  <sheetData>
    <row r="1" spans="1:12">
      <c r="A1" s="26"/>
      <c r="C1" s="420"/>
    </row>
    <row r="2" spans="1:12">
      <c r="A2" s="982" t="s">
        <v>666</v>
      </c>
      <c r="B2" s="982"/>
      <c r="C2" s="982"/>
      <c r="D2" s="982"/>
      <c r="E2" s="982"/>
      <c r="F2" s="982"/>
      <c r="G2" s="982"/>
      <c r="H2" s="982"/>
      <c r="I2" s="982"/>
      <c r="J2" s="982"/>
    </row>
    <row r="3" spans="1:12">
      <c r="A3" s="990" t="str">
        <f>+Statistic!A3</f>
        <v xml:space="preserve">БАНК БУС САНХҮҮГИЙН БАЙГУУЛЛАГЫН НЭР </v>
      </c>
      <c r="B3" s="990"/>
      <c r="C3" s="990"/>
      <c r="D3" s="990"/>
      <c r="E3" s="990"/>
      <c r="F3" s="990"/>
      <c r="G3" s="990"/>
      <c r="H3" s="990"/>
      <c r="I3" s="990"/>
      <c r="J3" s="990"/>
    </row>
    <row r="4" spans="1:12">
      <c r="A4" s="984" t="str">
        <f>+Statistic!A4</f>
        <v>БАНК БУС САНХҮҮГИЙН БАЙГУУЛЛАГА</v>
      </c>
      <c r="B4" s="984"/>
      <c r="C4" s="984"/>
      <c r="D4" s="984"/>
      <c r="E4" s="984"/>
      <c r="F4" s="984"/>
      <c r="G4" s="984"/>
      <c r="H4" s="984"/>
      <c r="I4" s="984"/>
      <c r="J4" s="984"/>
    </row>
    <row r="5" spans="1:12">
      <c r="A5" s="5"/>
      <c r="B5" s="886"/>
      <c r="C5" s="892"/>
    </row>
    <row r="6" spans="1:12">
      <c r="A6" s="5"/>
      <c r="B6" s="886"/>
      <c r="C6" s="892"/>
    </row>
    <row r="7" spans="1:12">
      <c r="A7" s="433">
        <f>+Statistic!A7</f>
        <v>45716</v>
      </c>
      <c r="B7" s="899"/>
      <c r="C7" s="421"/>
      <c r="K7" s="897" t="s">
        <v>704</v>
      </c>
    </row>
    <row r="8" spans="1:12">
      <c r="A8" s="1001" t="s">
        <v>645</v>
      </c>
      <c r="B8" s="1004" t="s">
        <v>646</v>
      </c>
      <c r="C8" s="1005"/>
      <c r="D8" s="1004" t="s">
        <v>647</v>
      </c>
      <c r="E8" s="1005"/>
      <c r="F8" s="1004" t="s">
        <v>648</v>
      </c>
      <c r="G8" s="1005"/>
      <c r="H8" s="993" t="s">
        <v>566</v>
      </c>
      <c r="I8" s="993"/>
      <c r="J8" s="993"/>
      <c r="K8" s="993"/>
    </row>
    <row r="9" spans="1:12" ht="29.25" customHeight="1">
      <c r="A9" s="1002"/>
      <c r="B9" s="1006" t="s">
        <v>475</v>
      </c>
      <c r="C9" s="1007" t="s">
        <v>623</v>
      </c>
      <c r="D9" s="1006" t="s">
        <v>475</v>
      </c>
      <c r="E9" s="1007" t="s">
        <v>623</v>
      </c>
      <c r="F9" s="1006" t="s">
        <v>475</v>
      </c>
      <c r="G9" s="1007" t="s">
        <v>623</v>
      </c>
      <c r="H9" s="1006" t="s">
        <v>475</v>
      </c>
      <c r="I9" s="1007" t="s">
        <v>623</v>
      </c>
      <c r="J9" s="1022" t="s">
        <v>671</v>
      </c>
      <c r="K9" s="1023"/>
    </row>
    <row r="10" spans="1:12">
      <c r="A10" s="1003"/>
      <c r="B10" s="1006"/>
      <c r="C10" s="1007"/>
      <c r="D10" s="1006"/>
      <c r="E10" s="1007"/>
      <c r="F10" s="1006"/>
      <c r="G10" s="1007"/>
      <c r="H10" s="1006"/>
      <c r="I10" s="1007"/>
      <c r="J10" s="888" t="s">
        <v>475</v>
      </c>
      <c r="K10" s="898" t="s">
        <v>623</v>
      </c>
    </row>
    <row r="11" spans="1:12" s="2" customFormat="1">
      <c r="A11" s="441" t="s">
        <v>649</v>
      </c>
      <c r="B11" s="442">
        <f>SUM(B12:B14)</f>
        <v>0</v>
      </c>
      <c r="C11" s="443">
        <f>+Statistic!C16</f>
        <v>0</v>
      </c>
      <c r="D11" s="442">
        <f>SUM(D12:D14)</f>
        <v>0</v>
      </c>
      <c r="E11" s="443">
        <f t="shared" ref="E11:K11" si="0">SUM(E12:E14)</f>
        <v>0</v>
      </c>
      <c r="F11" s="442">
        <f t="shared" si="0"/>
        <v>0</v>
      </c>
      <c r="G11" s="443">
        <f t="shared" si="0"/>
        <v>0</v>
      </c>
      <c r="H11" s="442">
        <f t="shared" si="0"/>
        <v>0</v>
      </c>
      <c r="I11" s="443">
        <f t="shared" si="0"/>
        <v>0</v>
      </c>
      <c r="J11" s="442">
        <f t="shared" si="0"/>
        <v>0</v>
      </c>
      <c r="K11" s="443">
        <f t="shared" si="0"/>
        <v>0</v>
      </c>
      <c r="L11" s="2" t="str">
        <f>IF(C11=E11+G11+I11,"","Ангилсан дүн Нийт дүнгээс зөрүүтэй")</f>
        <v/>
      </c>
    </row>
    <row r="12" spans="1:12">
      <c r="A12" s="434" t="s">
        <v>12</v>
      </c>
      <c r="B12" s="488">
        <f>+BS!D26</f>
        <v>0</v>
      </c>
      <c r="C12" s="435">
        <f>+Statistic!C17</f>
        <v>0</v>
      </c>
      <c r="D12" s="255"/>
      <c r="E12" s="889"/>
      <c r="F12" s="255"/>
      <c r="G12" s="889"/>
      <c r="H12" s="255"/>
      <c r="I12" s="889"/>
      <c r="J12" s="255"/>
      <c r="K12" s="889"/>
      <c r="L12" s="3" t="str">
        <f>IF(C12=E12+G12+I12,"","Ангилсан дүн Нийт дүнгээс зөрүүтэй")</f>
        <v/>
      </c>
    </row>
    <row r="13" spans="1:12">
      <c r="A13" s="434" t="s">
        <v>608</v>
      </c>
      <c r="B13" s="488">
        <f>+BS!D27</f>
        <v>0</v>
      </c>
      <c r="C13" s="435">
        <f>+Statistic!C18</f>
        <v>0</v>
      </c>
      <c r="D13" s="255"/>
      <c r="E13" s="889"/>
      <c r="F13" s="255"/>
      <c r="G13" s="889"/>
      <c r="H13" s="255"/>
      <c r="I13" s="889"/>
      <c r="J13" s="255"/>
      <c r="K13" s="889"/>
      <c r="L13" s="3" t="str">
        <f>IF(C13=E13+G13+I13,"","Ангилсан дүн Нийт дүнгээс зөрүүтэй")</f>
        <v/>
      </c>
    </row>
    <row r="14" spans="1:12">
      <c r="A14" s="434" t="s">
        <v>540</v>
      </c>
      <c r="B14" s="488">
        <f>+BS!D28</f>
        <v>0</v>
      </c>
      <c r="C14" s="435">
        <f>+Statistic!C19</f>
        <v>0</v>
      </c>
      <c r="D14" s="255"/>
      <c r="E14" s="889"/>
      <c r="F14" s="255"/>
      <c r="G14" s="889"/>
      <c r="H14" s="255"/>
      <c r="I14" s="889"/>
      <c r="J14" s="255"/>
      <c r="K14" s="889"/>
      <c r="L14" s="3" t="str">
        <f>IF(C14=E14+G14+I14,"","Ангилсан дүн Нийт дүнгээс зөрүүтэй")</f>
        <v/>
      </c>
    </row>
    <row r="15" spans="1:12" s="2" customFormat="1">
      <c r="A15" s="441" t="s">
        <v>686</v>
      </c>
      <c r="B15" s="442">
        <f>SUM(B16:B19)</f>
        <v>0</v>
      </c>
      <c r="C15" s="443">
        <f>+Statistic!C23</f>
        <v>0</v>
      </c>
      <c r="D15" s="442">
        <f>SUM(D16:D19)</f>
        <v>0</v>
      </c>
      <c r="E15" s="443">
        <f>SUM(E16:E19)</f>
        <v>0</v>
      </c>
      <c r="F15" s="442">
        <f>SUM(F16:F19)</f>
        <v>0</v>
      </c>
      <c r="G15" s="443">
        <f>SUM(G16:G19)</f>
        <v>0</v>
      </c>
      <c r="H15" s="1008" t="s">
        <v>709</v>
      </c>
      <c r="I15" s="1009"/>
      <c r="J15" s="1009"/>
      <c r="K15" s="1010"/>
      <c r="L15" s="2" t="str">
        <f>IF(C15=E15+G15,"","Ангилалын дүн нийт дүнгээс зөрүүтэй")</f>
        <v/>
      </c>
    </row>
    <row r="16" spans="1:12">
      <c r="A16" s="434" t="s">
        <v>650</v>
      </c>
      <c r="B16" s="428">
        <f>SUM(D16+F16)</f>
        <v>0</v>
      </c>
      <c r="C16" s="435">
        <f>+Statistic!C24</f>
        <v>0</v>
      </c>
      <c r="D16" s="255"/>
      <c r="E16" s="889"/>
      <c r="F16" s="255"/>
      <c r="G16" s="889"/>
      <c r="H16" s="1011"/>
      <c r="I16" s="1012"/>
      <c r="J16" s="1012"/>
      <c r="K16" s="1013"/>
      <c r="L16" s="3" t="str">
        <f t="shared" ref="L16:L25" si="1">IF(C16=E16+G16,"","Ангилалын дүн нийт дүнгээс зөрүүтэй")</f>
        <v/>
      </c>
    </row>
    <row r="17" spans="1:12">
      <c r="A17" s="434" t="s">
        <v>651</v>
      </c>
      <c r="B17" s="428">
        <f>SUM(D17+F17)</f>
        <v>0</v>
      </c>
      <c r="C17" s="435">
        <f>+Statistic!C25</f>
        <v>0</v>
      </c>
      <c r="D17" s="255"/>
      <c r="E17" s="889"/>
      <c r="F17" s="255"/>
      <c r="G17" s="889"/>
      <c r="H17" s="1011"/>
      <c r="I17" s="1012"/>
      <c r="J17" s="1012"/>
      <c r="K17" s="1013"/>
      <c r="L17" s="3" t="str">
        <f t="shared" si="1"/>
        <v/>
      </c>
    </row>
    <row r="18" spans="1:12">
      <c r="A18" s="434" t="s">
        <v>652</v>
      </c>
      <c r="B18" s="428">
        <f>SUM(D18+F18)</f>
        <v>0</v>
      </c>
      <c r="C18" s="435">
        <f>+Statistic!C26</f>
        <v>0</v>
      </c>
      <c r="D18" s="255"/>
      <c r="E18" s="889"/>
      <c r="F18" s="255"/>
      <c r="G18" s="889"/>
      <c r="H18" s="1011"/>
      <c r="I18" s="1012"/>
      <c r="J18" s="1012"/>
      <c r="K18" s="1013"/>
      <c r="L18" s="3" t="str">
        <f t="shared" si="1"/>
        <v/>
      </c>
    </row>
    <row r="19" spans="1:12">
      <c r="A19" s="434" t="s">
        <v>653</v>
      </c>
      <c r="B19" s="428">
        <f>SUM(D19+F19)</f>
        <v>0</v>
      </c>
      <c r="C19" s="435">
        <f>+Statistic!C27</f>
        <v>0</v>
      </c>
      <c r="D19" s="255"/>
      <c r="E19" s="889"/>
      <c r="F19" s="255"/>
      <c r="G19" s="889"/>
      <c r="H19" s="1011"/>
      <c r="I19" s="1012"/>
      <c r="J19" s="1012"/>
      <c r="K19" s="1013"/>
      <c r="L19" s="3" t="str">
        <f t="shared" si="1"/>
        <v/>
      </c>
    </row>
    <row r="20" spans="1:12" s="2" customFormat="1">
      <c r="A20" s="441" t="s">
        <v>687</v>
      </c>
      <c r="B20" s="442">
        <f>SUM(B21:B25)</f>
        <v>0</v>
      </c>
      <c r="C20" s="443">
        <f>+Statistic!C28</f>
        <v>0</v>
      </c>
      <c r="D20" s="442">
        <f>SUM(D21:D25)</f>
        <v>0</v>
      </c>
      <c r="E20" s="443">
        <f>SUM(E21:E25)</f>
        <v>0</v>
      </c>
      <c r="F20" s="442">
        <f>SUM(F21:F25)</f>
        <v>0</v>
      </c>
      <c r="G20" s="443">
        <f>SUM(G21:G25)</f>
        <v>0</v>
      </c>
      <c r="H20" s="1014"/>
      <c r="I20" s="1015"/>
      <c r="J20" s="1015"/>
      <c r="K20" s="1016"/>
      <c r="L20" s="2" t="str">
        <f t="shared" si="1"/>
        <v/>
      </c>
    </row>
    <row r="21" spans="1:12">
      <c r="A21" s="436" t="s">
        <v>433</v>
      </c>
      <c r="B21" s="428">
        <f>SUM(D21+F21)</f>
        <v>0</v>
      </c>
      <c r="C21" s="435">
        <f>+Statistic!C29</f>
        <v>0</v>
      </c>
      <c r="D21" s="255"/>
      <c r="E21" s="889"/>
      <c r="F21" s="255"/>
      <c r="G21" s="889"/>
      <c r="H21" s="1011"/>
      <c r="I21" s="1012"/>
      <c r="J21" s="1012"/>
      <c r="K21" s="1013"/>
      <c r="L21" s="3" t="str">
        <f t="shared" si="1"/>
        <v/>
      </c>
    </row>
    <row r="22" spans="1:12">
      <c r="A22" s="436" t="s">
        <v>654</v>
      </c>
      <c r="B22" s="428">
        <f>SUM(D22+F22)</f>
        <v>0</v>
      </c>
      <c r="C22" s="435">
        <f>+Statistic!C30</f>
        <v>0</v>
      </c>
      <c r="D22" s="255"/>
      <c r="E22" s="889"/>
      <c r="F22" s="255"/>
      <c r="G22" s="889"/>
      <c r="H22" s="1011"/>
      <c r="I22" s="1012"/>
      <c r="J22" s="1012"/>
      <c r="K22" s="1013"/>
      <c r="L22" s="3" t="str">
        <f t="shared" si="1"/>
        <v/>
      </c>
    </row>
    <row r="23" spans="1:12">
      <c r="A23" s="436" t="s">
        <v>655</v>
      </c>
      <c r="B23" s="428">
        <f>SUM(D23+F23)</f>
        <v>0</v>
      </c>
      <c r="C23" s="435">
        <f>+Statistic!C31</f>
        <v>0</v>
      </c>
      <c r="D23" s="255"/>
      <c r="E23" s="889"/>
      <c r="F23" s="255"/>
      <c r="G23" s="889"/>
      <c r="H23" s="1011"/>
      <c r="I23" s="1012"/>
      <c r="J23" s="1012"/>
      <c r="K23" s="1013"/>
      <c r="L23" s="3" t="str">
        <f t="shared" si="1"/>
        <v/>
      </c>
    </row>
    <row r="24" spans="1:12">
      <c r="A24" s="436" t="s">
        <v>656</v>
      </c>
      <c r="B24" s="428">
        <f>SUM(D24+F24)</f>
        <v>0</v>
      </c>
      <c r="C24" s="435">
        <f>+Statistic!C32</f>
        <v>0</v>
      </c>
      <c r="D24" s="255"/>
      <c r="E24" s="889"/>
      <c r="F24" s="255"/>
      <c r="G24" s="889"/>
      <c r="H24" s="1011"/>
      <c r="I24" s="1012"/>
      <c r="J24" s="1012"/>
      <c r="K24" s="1013"/>
      <c r="L24" s="3" t="str">
        <f t="shared" si="1"/>
        <v/>
      </c>
    </row>
    <row r="25" spans="1:12">
      <c r="A25" s="436" t="s">
        <v>657</v>
      </c>
      <c r="B25" s="428">
        <f>SUM(D25+F25)</f>
        <v>0</v>
      </c>
      <c r="C25" s="435">
        <f>+Statistic!C33</f>
        <v>0</v>
      </c>
      <c r="D25" s="255"/>
      <c r="E25" s="889"/>
      <c r="F25" s="255"/>
      <c r="G25" s="889"/>
      <c r="H25" s="1017"/>
      <c r="I25" s="1018"/>
      <c r="J25" s="1018"/>
      <c r="K25" s="1019"/>
      <c r="L25" s="3" t="str">
        <f t="shared" si="1"/>
        <v/>
      </c>
    </row>
    <row r="26" spans="1:12" s="2" customFormat="1">
      <c r="A26" s="24" t="s">
        <v>678</v>
      </c>
      <c r="B26" s="999" t="s">
        <v>667</v>
      </c>
      <c r="C26" s="443">
        <f>+Statistic!C10</f>
        <v>0</v>
      </c>
      <c r="D26" s="1020" t="s">
        <v>667</v>
      </c>
      <c r="E26" s="443">
        <f>+Statistic!C12</f>
        <v>0</v>
      </c>
      <c r="F26" s="1020" t="s">
        <v>667</v>
      </c>
      <c r="G26" s="443">
        <f>+Statistic!C11</f>
        <v>0</v>
      </c>
      <c r="H26" s="1020" t="s">
        <v>667</v>
      </c>
      <c r="I26" s="443">
        <f>+Statistic!C13</f>
        <v>0</v>
      </c>
      <c r="J26" s="1020" t="s">
        <v>667</v>
      </c>
      <c r="K26" s="444"/>
      <c r="L26" s="2" t="str">
        <f t="shared" ref="L26:L35" si="2">IF(C26=E26+G26+I26,"","Ангилсан дүн Нийт дүнгээс зөрүүтэй")</f>
        <v/>
      </c>
    </row>
    <row r="27" spans="1:12">
      <c r="A27" s="424" t="s">
        <v>679</v>
      </c>
      <c r="B27" s="1000"/>
      <c r="C27" s="435">
        <f>SUM(E27+G27+I27)</f>
        <v>0</v>
      </c>
      <c r="D27" s="1021"/>
      <c r="E27" s="889"/>
      <c r="F27" s="1021"/>
      <c r="G27" s="889"/>
      <c r="H27" s="1021"/>
      <c r="I27" s="889"/>
      <c r="J27" s="1021"/>
      <c r="K27" s="889"/>
      <c r="L27" s="3" t="str">
        <f t="shared" si="2"/>
        <v/>
      </c>
    </row>
    <row r="28" spans="1:12">
      <c r="A28" s="437" t="s">
        <v>680</v>
      </c>
      <c r="B28" s="428">
        <f>SUM(BS!I9:I12)</f>
        <v>0</v>
      </c>
      <c r="C28" s="435">
        <f>+Statistic!C14</f>
        <v>0</v>
      </c>
      <c r="D28" s="255"/>
      <c r="E28" s="890"/>
      <c r="F28" s="255"/>
      <c r="G28" s="890"/>
      <c r="H28" s="255"/>
      <c r="I28" s="890"/>
      <c r="J28" s="255"/>
      <c r="K28" s="890"/>
      <c r="L28" s="3" t="str">
        <f t="shared" si="2"/>
        <v/>
      </c>
    </row>
    <row r="29" spans="1:12">
      <c r="A29" s="438" t="s">
        <v>681</v>
      </c>
      <c r="B29" s="439" t="s">
        <v>667</v>
      </c>
      <c r="C29" s="435">
        <f>SUM(E29+G29+I29)</f>
        <v>0</v>
      </c>
      <c r="D29" s="255"/>
      <c r="E29" s="890"/>
      <c r="F29" s="255"/>
      <c r="G29" s="890"/>
      <c r="H29" s="255"/>
      <c r="I29" s="890"/>
      <c r="J29" s="255"/>
      <c r="K29" s="890"/>
      <c r="L29" s="3" t="str">
        <f t="shared" si="2"/>
        <v/>
      </c>
    </row>
    <row r="30" spans="1:12">
      <c r="A30" s="437" t="s">
        <v>682</v>
      </c>
      <c r="B30" s="428">
        <f>+GB!H176</f>
        <v>0</v>
      </c>
      <c r="C30" s="435">
        <f>+Statistic!C15</f>
        <v>0</v>
      </c>
      <c r="D30" s="255"/>
      <c r="E30" s="890"/>
      <c r="F30" s="255"/>
      <c r="G30" s="890"/>
      <c r="H30" s="255"/>
      <c r="I30" s="890"/>
      <c r="J30" s="255"/>
      <c r="K30" s="890"/>
      <c r="L30" s="3" t="str">
        <f t="shared" si="2"/>
        <v/>
      </c>
    </row>
    <row r="31" spans="1:12">
      <c r="A31" s="437" t="s">
        <v>683</v>
      </c>
      <c r="B31" s="428">
        <f>+GB!D1091</f>
        <v>0</v>
      </c>
      <c r="C31" s="435">
        <f t="shared" ref="C31:C36" si="3">SUM(E31+G31+I31)</f>
        <v>0</v>
      </c>
      <c r="D31" s="255"/>
      <c r="E31" s="890"/>
      <c r="F31" s="255"/>
      <c r="G31" s="890"/>
      <c r="H31" s="255"/>
      <c r="I31" s="890"/>
      <c r="J31" s="255"/>
      <c r="K31" s="890"/>
      <c r="L31" s="3" t="str">
        <f>IF(C31=E31+G31+I31,"","Ангилсан дүн Нийт дүнгээс зөрүүтэй")</f>
        <v/>
      </c>
    </row>
    <row r="32" spans="1:12">
      <c r="A32" s="437" t="s">
        <v>684</v>
      </c>
      <c r="B32" s="439" t="s">
        <v>667</v>
      </c>
      <c r="C32" s="435">
        <f t="shared" si="3"/>
        <v>0</v>
      </c>
      <c r="D32" s="439" t="s">
        <v>667</v>
      </c>
      <c r="E32" s="889"/>
      <c r="F32" s="439" t="s">
        <v>667</v>
      </c>
      <c r="G32" s="889"/>
      <c r="H32" s="439" t="s">
        <v>667</v>
      </c>
      <c r="I32" s="889"/>
      <c r="J32" s="439" t="s">
        <v>667</v>
      </c>
      <c r="K32" s="889"/>
      <c r="L32" s="3" t="str">
        <f t="shared" si="2"/>
        <v/>
      </c>
    </row>
    <row r="33" spans="1:12">
      <c r="A33" s="438" t="s">
        <v>658</v>
      </c>
      <c r="B33" s="428">
        <f>SUM(D33+F33+H33)</f>
        <v>0</v>
      </c>
      <c r="C33" s="435">
        <f t="shared" si="3"/>
        <v>0</v>
      </c>
      <c r="D33" s="255"/>
      <c r="E33" s="890"/>
      <c r="F33" s="255"/>
      <c r="G33" s="890"/>
      <c r="H33" s="255"/>
      <c r="I33" s="890"/>
      <c r="J33" s="255"/>
      <c r="K33" s="890"/>
      <c r="L33" s="3" t="str">
        <f t="shared" si="2"/>
        <v/>
      </c>
    </row>
    <row r="34" spans="1:12">
      <c r="A34" s="438" t="s">
        <v>670</v>
      </c>
      <c r="B34" s="428">
        <f>SUM(D34+F34+H34)</f>
        <v>0</v>
      </c>
      <c r="C34" s="435">
        <f t="shared" si="3"/>
        <v>0</v>
      </c>
      <c r="D34" s="255"/>
      <c r="E34" s="890"/>
      <c r="F34" s="255"/>
      <c r="G34" s="890"/>
      <c r="H34" s="255"/>
      <c r="I34" s="890"/>
      <c r="J34" s="255"/>
      <c r="K34" s="890"/>
    </row>
    <row r="35" spans="1:12">
      <c r="A35" s="440" t="s">
        <v>685</v>
      </c>
      <c r="B35" s="428">
        <f>SUM(D35+F35+H35)</f>
        <v>0</v>
      </c>
      <c r="C35" s="435">
        <f t="shared" si="3"/>
        <v>0</v>
      </c>
      <c r="D35" s="255"/>
      <c r="E35" s="890"/>
      <c r="F35" s="255"/>
      <c r="G35" s="890"/>
      <c r="H35" s="255"/>
      <c r="I35" s="890"/>
      <c r="J35" s="255"/>
      <c r="K35" s="890"/>
      <c r="L35" s="3" t="str">
        <f t="shared" si="2"/>
        <v/>
      </c>
    </row>
    <row r="36" spans="1:12">
      <c r="A36" s="437" t="s">
        <v>672</v>
      </c>
      <c r="B36" s="439" t="s">
        <v>667</v>
      </c>
      <c r="C36" s="435">
        <f t="shared" si="3"/>
        <v>0</v>
      </c>
      <c r="D36" s="439" t="s">
        <v>667</v>
      </c>
      <c r="E36" s="889"/>
      <c r="F36" s="439" t="s">
        <v>667</v>
      </c>
      <c r="G36" s="889"/>
      <c r="H36" s="439" t="s">
        <v>667</v>
      </c>
      <c r="I36" s="889"/>
      <c r="J36" s="439" t="s">
        <v>667</v>
      </c>
      <c r="K36" s="889"/>
    </row>
    <row r="40" spans="1:12">
      <c r="B40" s="976" t="s">
        <v>33</v>
      </c>
      <c r="C40" s="976"/>
      <c r="D40" s="304"/>
    </row>
    <row r="41" spans="1:12">
      <c r="B41" s="900"/>
      <c r="C41" s="893"/>
      <c r="D41" s="304"/>
    </row>
    <row r="42" spans="1:12">
      <c r="B42" s="887" t="s">
        <v>34</v>
      </c>
      <c r="C42" s="894"/>
      <c r="D42" s="902"/>
    </row>
    <row r="43" spans="1:12">
      <c r="B43" s="901"/>
      <c r="C43" s="895"/>
      <c r="D43" s="304"/>
    </row>
    <row r="44" spans="1:12">
      <c r="B44" s="901"/>
      <c r="C44" s="891" t="str">
        <f>+Statistic!B60</f>
        <v>ГҮЙЦЭТГЭХ ЗАХИРАЛ.......................//</v>
      </c>
      <c r="D44" s="304"/>
      <c r="E44" s="891"/>
    </row>
    <row r="45" spans="1:12">
      <c r="B45" s="901"/>
      <c r="C45" s="896"/>
      <c r="D45" s="425"/>
    </row>
    <row r="46" spans="1:12">
      <c r="B46" s="901"/>
      <c r="C46" s="891" t="str">
        <f>+Statistic!B62</f>
        <v>ЕРӨНХИЙ НЯГТЛАН БОДОГЧ...................................................//</v>
      </c>
      <c r="D46" s="304"/>
      <c r="E46" s="891"/>
    </row>
  </sheetData>
  <sheetProtection algorithmName="SHA-512" hashValue="bkTF1ylFvhnzIyCoWdagRrM+d4ZisSGX8rV9ckHStIRJH9abBVKjM8cOfMr2r+FIcWHSVnTPXROsRlYMKby1bw==" saltValue="Sn5WSWXGlECyhp4/EVl/6w==" spinCount="100000" sheet="1" objects="1" scenarios="1"/>
  <mergeCells count="24">
    <mergeCell ref="H15:K25"/>
    <mergeCell ref="D26:D27"/>
    <mergeCell ref="F26:F27"/>
    <mergeCell ref="A2:J2"/>
    <mergeCell ref="A3:J3"/>
    <mergeCell ref="A4:J4"/>
    <mergeCell ref="B8:C8"/>
    <mergeCell ref="H8:K8"/>
    <mergeCell ref="H26:H27"/>
    <mergeCell ref="J26:J27"/>
    <mergeCell ref="J9:K9"/>
    <mergeCell ref="H9:H10"/>
    <mergeCell ref="I9:I10"/>
    <mergeCell ref="B40:C40"/>
    <mergeCell ref="B26:B27"/>
    <mergeCell ref="A8:A10"/>
    <mergeCell ref="D8:E8"/>
    <mergeCell ref="F8:G8"/>
    <mergeCell ref="B9:B10"/>
    <mergeCell ref="C9:C10"/>
    <mergeCell ref="D9:D10"/>
    <mergeCell ref="E9:E10"/>
    <mergeCell ref="F9:F10"/>
    <mergeCell ref="G9:G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7 G27 I27 K27" xr:uid="{60F898BF-B785-4580-A38D-EDAA9B3F464C}"/>
    <dataValidation allowBlank="1" showInputMessage="1" showErrorMessage="1" prompt="Итгэлцлийн үйлчилгээгээр татан төвлөрүүлсэн дүнгийн нийт итгэмжлэгчдийг оруулна уу." sqref="D28:K28" xr:uid="{7DEA56EF-4AF2-47E5-B3C5-35960A80611B}"/>
    <dataValidation allowBlank="1" showInputMessage="1" showErrorMessage="1" prompt="Итгэмжлэлийн гэрээний нийт дүнг ойлгоно." sqref="D29:K29" xr:uid="{5D442902-AD17-4171-A6F8-6EF3700A4579}"/>
    <dataValidation allowBlank="1" showInputMessage="1" showErrorMessage="1" prompt="Зөвхөн гэрээ байгуулсан аппликэйшний харилцагчдын тоог оруулна уу." sqref="D33:K33"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4:K34" xr:uid="{413B696A-349D-4C37-AFC6-7A0099DAF455}"/>
    <dataValidation allowBlank="1" showInputMessage="1" showErrorMessage="1" prompt="Цахим хэтэвчинд үлдэгдэлтэй нийт харилцагчдын тоог ойлгоно." sqref="D35:K35" xr:uid="{BF256659-8143-45BE-8070-7F51BAAA91D9}"/>
    <dataValidation allowBlank="1" showInputMessage="1" showErrorMessage="1" prompt="Бусад үйлчилгээний харилцагчдын тоог оруулна уу." sqref="E36 G36 I36 K36" xr:uid="{D8DD8813-4474-419B-9D84-60F5B90CC5FF}"/>
    <dataValidation allowBlank="1" showInputMessage="1" showErrorMessage="1" prompt="Өрийн бичиг авсан харилцагчдын тоог оруулна уу." sqref="D30:K30" xr:uid="{D4D60F78-5C79-4A0E-B425-EF123DDA2236}"/>
    <dataValidation allowBlank="1" showInputMessage="1" showErrorMessage="1" prompt="Факторингийн харилцагчдын тоог оруулна уу." sqref="D31:K31" xr:uid="{9A21E5E7-F697-4725-B368-F6C86098493D}"/>
  </dataValidations>
  <pageMargins left="0.7" right="0.7" top="0.75" bottom="0.75" header="0.3" footer="0.3"/>
  <pageSetup paperSize="9" scale="53"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6"/>
      <c r="C1" s="420"/>
    </row>
    <row r="2" spans="1:15">
      <c r="A2" s="982" t="s">
        <v>665</v>
      </c>
      <c r="B2" s="982"/>
      <c r="C2" s="982"/>
      <c r="D2" s="982"/>
      <c r="E2" s="982"/>
      <c r="F2" s="982"/>
      <c r="G2" s="982"/>
      <c r="H2" s="982"/>
      <c r="I2" s="982"/>
      <c r="J2" s="982"/>
      <c r="K2" s="982"/>
      <c r="L2" s="982"/>
      <c r="M2" s="982"/>
      <c r="N2" s="982"/>
    </row>
    <row r="3" spans="1:15">
      <c r="A3" s="990" t="str">
        <f>+Statistic!A3</f>
        <v xml:space="preserve">БАНК БУС САНХҮҮГИЙН БАЙГУУЛЛАГЫН НЭР </v>
      </c>
      <c r="B3" s="990"/>
      <c r="C3" s="990"/>
      <c r="D3" s="990"/>
      <c r="E3" s="990"/>
      <c r="F3" s="990"/>
      <c r="G3" s="990"/>
      <c r="H3" s="990"/>
      <c r="I3" s="990"/>
      <c r="J3" s="990"/>
      <c r="K3" s="990"/>
      <c r="L3" s="990"/>
      <c r="M3" s="990"/>
      <c r="N3" s="990"/>
    </row>
    <row r="4" spans="1:15">
      <c r="A4" s="984" t="str">
        <f>+Statistic!A4</f>
        <v>БАНК БУС САНХҮҮГИЙН БАЙГУУЛЛАГА</v>
      </c>
      <c r="B4" s="984"/>
      <c r="C4" s="984"/>
      <c r="D4" s="984"/>
      <c r="E4" s="984"/>
      <c r="F4" s="984"/>
      <c r="G4" s="984"/>
      <c r="H4" s="984"/>
      <c r="I4" s="984"/>
      <c r="J4" s="984"/>
      <c r="K4" s="984"/>
      <c r="L4" s="984"/>
      <c r="M4" s="984"/>
      <c r="N4" s="984"/>
    </row>
    <row r="5" spans="1:15">
      <c r="A5" s="5"/>
      <c r="B5" s="5"/>
      <c r="C5" s="5"/>
    </row>
    <row r="6" spans="1:15">
      <c r="A6" s="5"/>
      <c r="B6" s="5"/>
      <c r="C6" s="5"/>
    </row>
    <row r="7" spans="1:15">
      <c r="A7" s="988">
        <f>+Statistic!A7</f>
        <v>45716</v>
      </c>
      <c r="B7" s="988"/>
      <c r="C7" s="421"/>
      <c r="N7" s="445" t="s">
        <v>704</v>
      </c>
    </row>
    <row r="8" spans="1:15" ht="12.75" customHeight="1">
      <c r="A8" s="1025" t="s">
        <v>1481</v>
      </c>
      <c r="B8" s="1024" t="s">
        <v>660</v>
      </c>
      <c r="C8" s="1024"/>
      <c r="D8" s="1024" t="s">
        <v>662</v>
      </c>
      <c r="E8" s="1024"/>
      <c r="F8" s="1025" t="s">
        <v>541</v>
      </c>
      <c r="G8" s="1024" t="s">
        <v>663</v>
      </c>
      <c r="H8" s="1024"/>
      <c r="I8" s="1025" t="s">
        <v>568</v>
      </c>
      <c r="J8" s="1024" t="s">
        <v>664</v>
      </c>
      <c r="K8" s="1024"/>
      <c r="L8" s="1024"/>
      <c r="M8" s="1024"/>
      <c r="N8" s="1024"/>
    </row>
    <row r="9" spans="1:15" ht="12.75" customHeight="1">
      <c r="A9" s="1026"/>
      <c r="B9" s="1024" t="s">
        <v>649</v>
      </c>
      <c r="C9" s="1024" t="s">
        <v>661</v>
      </c>
      <c r="D9" s="1024" t="s">
        <v>649</v>
      </c>
      <c r="E9" s="1024" t="s">
        <v>661</v>
      </c>
      <c r="F9" s="1026"/>
      <c r="G9" s="1024" t="s">
        <v>649</v>
      </c>
      <c r="H9" s="1024" t="s">
        <v>661</v>
      </c>
      <c r="I9" s="1026"/>
      <c r="J9" s="1024" t="s">
        <v>649</v>
      </c>
      <c r="K9" s="1024" t="s">
        <v>661</v>
      </c>
      <c r="L9" s="1024"/>
      <c r="M9" s="1024"/>
      <c r="N9" s="1024"/>
    </row>
    <row r="10" spans="1:15" ht="15" customHeight="1">
      <c r="A10" s="1027"/>
      <c r="B10" s="1024"/>
      <c r="C10" s="1024"/>
      <c r="D10" s="1024"/>
      <c r="E10" s="1024"/>
      <c r="F10" s="1027"/>
      <c r="G10" s="1024"/>
      <c r="H10" s="1024"/>
      <c r="I10" s="1027"/>
      <c r="J10" s="1024"/>
      <c r="K10" s="871" t="s">
        <v>275</v>
      </c>
      <c r="L10" s="871" t="s">
        <v>126</v>
      </c>
      <c r="M10" s="871" t="s">
        <v>608</v>
      </c>
      <c r="N10" s="871" t="s">
        <v>540</v>
      </c>
    </row>
    <row r="11" spans="1:15">
      <c r="A11" s="154" t="s">
        <v>1454</v>
      </c>
      <c r="B11" s="889"/>
      <c r="C11" s="258"/>
      <c r="D11" s="889"/>
      <c r="E11" s="258"/>
      <c r="F11" s="398"/>
      <c r="G11" s="889"/>
      <c r="H11" s="258"/>
      <c r="I11" s="258"/>
      <c r="J11" s="889"/>
      <c r="K11" s="872">
        <f t="shared" ref="K11:K23" si="0">+C11+E11-H11+I11</f>
        <v>0</v>
      </c>
      <c r="L11" s="258"/>
      <c r="M11" s="258"/>
      <c r="N11" s="258"/>
      <c r="O11" s="873">
        <f>IF(K11-SUM(L11:N11)=0,,"Ангиллын дүн зөрүүтэй")</f>
        <v>0</v>
      </c>
    </row>
    <row r="12" spans="1:15">
      <c r="A12" s="874" t="s">
        <v>1455</v>
      </c>
      <c r="B12" s="889"/>
      <c r="C12" s="258"/>
      <c r="D12" s="889"/>
      <c r="E12" s="258"/>
      <c r="F12" s="398"/>
      <c r="G12" s="889"/>
      <c r="H12" s="258"/>
      <c r="I12" s="258"/>
      <c r="J12" s="889"/>
      <c r="K12" s="872">
        <f t="shared" si="0"/>
        <v>0</v>
      </c>
      <c r="L12" s="258"/>
      <c r="M12" s="258"/>
      <c r="N12" s="258"/>
      <c r="O12" s="873">
        <f t="shared" ref="O12:O28" si="1">IF(K12-SUM(L12:N12)=0,,"Ангиллын дүн зөрүүтэй")</f>
        <v>0</v>
      </c>
    </row>
    <row r="13" spans="1:15">
      <c r="A13" s="874" t="s">
        <v>1456</v>
      </c>
      <c r="B13" s="889"/>
      <c r="C13" s="258"/>
      <c r="D13" s="889"/>
      <c r="E13" s="258"/>
      <c r="F13" s="398"/>
      <c r="G13" s="889"/>
      <c r="H13" s="258"/>
      <c r="I13" s="258"/>
      <c r="J13" s="889"/>
      <c r="K13" s="872">
        <f t="shared" si="0"/>
        <v>0</v>
      </c>
      <c r="L13" s="258"/>
      <c r="M13" s="258"/>
      <c r="N13" s="258"/>
      <c r="O13" s="873">
        <f t="shared" si="1"/>
        <v>0</v>
      </c>
    </row>
    <row r="14" spans="1:15">
      <c r="A14" s="874" t="s">
        <v>1457</v>
      </c>
      <c r="B14" s="889"/>
      <c r="C14" s="258"/>
      <c r="D14" s="889"/>
      <c r="E14" s="258"/>
      <c r="F14" s="398"/>
      <c r="G14" s="889"/>
      <c r="H14" s="258"/>
      <c r="I14" s="258"/>
      <c r="J14" s="889"/>
      <c r="K14" s="872">
        <f t="shared" si="0"/>
        <v>0</v>
      </c>
      <c r="L14" s="258"/>
      <c r="M14" s="258"/>
      <c r="N14" s="258"/>
      <c r="O14" s="873">
        <f t="shared" si="1"/>
        <v>0</v>
      </c>
    </row>
    <row r="15" spans="1:15">
      <c r="A15" s="874" t="s">
        <v>1458</v>
      </c>
      <c r="B15" s="889"/>
      <c r="C15" s="258"/>
      <c r="D15" s="889"/>
      <c r="E15" s="258"/>
      <c r="F15" s="398"/>
      <c r="G15" s="889"/>
      <c r="H15" s="258"/>
      <c r="I15" s="258"/>
      <c r="J15" s="889"/>
      <c r="K15" s="872">
        <f t="shared" si="0"/>
        <v>0</v>
      </c>
      <c r="L15" s="258"/>
      <c r="M15" s="258"/>
      <c r="N15" s="258"/>
      <c r="O15" s="873">
        <f t="shared" si="1"/>
        <v>0</v>
      </c>
    </row>
    <row r="16" spans="1:15">
      <c r="A16" s="874" t="s">
        <v>1459</v>
      </c>
      <c r="B16" s="889"/>
      <c r="C16" s="258"/>
      <c r="D16" s="889"/>
      <c r="E16" s="258"/>
      <c r="F16" s="398"/>
      <c r="G16" s="889"/>
      <c r="H16" s="258"/>
      <c r="I16" s="258"/>
      <c r="J16" s="889"/>
      <c r="K16" s="872">
        <f t="shared" si="0"/>
        <v>0</v>
      </c>
      <c r="L16" s="258"/>
      <c r="M16" s="258"/>
      <c r="N16" s="258"/>
      <c r="O16" s="873">
        <f t="shared" si="1"/>
        <v>0</v>
      </c>
    </row>
    <row r="17" spans="1:15" ht="25.5">
      <c r="A17" s="875" t="s">
        <v>1460</v>
      </c>
      <c r="B17" s="889"/>
      <c r="C17" s="258"/>
      <c r="D17" s="889"/>
      <c r="E17" s="258"/>
      <c r="F17" s="398"/>
      <c r="G17" s="889"/>
      <c r="H17" s="258"/>
      <c r="I17" s="258"/>
      <c r="J17" s="889"/>
      <c r="K17" s="872">
        <f t="shared" si="0"/>
        <v>0</v>
      </c>
      <c r="L17" s="258"/>
      <c r="M17" s="258"/>
      <c r="N17" s="258"/>
      <c r="O17" s="873">
        <f t="shared" si="1"/>
        <v>0</v>
      </c>
    </row>
    <row r="18" spans="1:15">
      <c r="A18" s="874" t="s">
        <v>1461</v>
      </c>
      <c r="B18" s="925">
        <f t="shared" ref="B18:J18" si="2">SUM(B19:B23)</f>
        <v>0</v>
      </c>
      <c r="C18" s="872">
        <f t="shared" si="2"/>
        <v>0</v>
      </c>
      <c r="D18" s="925">
        <f t="shared" si="2"/>
        <v>0</v>
      </c>
      <c r="E18" s="872">
        <f t="shared" si="2"/>
        <v>0</v>
      </c>
      <c r="F18" s="922" t="e">
        <f>AVERAGE(F19:F23)</f>
        <v>#DIV/0!</v>
      </c>
      <c r="G18" s="925">
        <f t="shared" si="2"/>
        <v>0</v>
      </c>
      <c r="H18" s="872">
        <f t="shared" si="2"/>
        <v>0</v>
      </c>
      <c r="I18" s="872">
        <f t="shared" si="2"/>
        <v>0</v>
      </c>
      <c r="J18" s="925">
        <f t="shared" si="2"/>
        <v>0</v>
      </c>
      <c r="K18" s="872">
        <f t="shared" si="0"/>
        <v>0</v>
      </c>
      <c r="L18" s="872">
        <f>SUM(L19:L23)</f>
        <v>0</v>
      </c>
      <c r="M18" s="872">
        <f>SUM(M19:M23)</f>
        <v>0</v>
      </c>
      <c r="N18" s="872">
        <f>SUM(N19:N23)</f>
        <v>0</v>
      </c>
      <c r="O18" s="873">
        <f t="shared" si="1"/>
        <v>0</v>
      </c>
    </row>
    <row r="19" spans="1:15">
      <c r="A19" s="876" t="s">
        <v>1462</v>
      </c>
      <c r="B19" s="926"/>
      <c r="C19" s="870"/>
      <c r="D19" s="926"/>
      <c r="E19" s="870"/>
      <c r="F19" s="923"/>
      <c r="G19" s="926"/>
      <c r="H19" s="870"/>
      <c r="I19" s="870"/>
      <c r="J19" s="926"/>
      <c r="K19" s="877">
        <f t="shared" si="0"/>
        <v>0</v>
      </c>
      <c r="L19" s="870"/>
      <c r="M19" s="870"/>
      <c r="N19" s="870"/>
      <c r="O19" s="873">
        <f>IF(K19-SUM(L19:N19)=0,,"Ангиллын дүн зөрүүтэй")</f>
        <v>0</v>
      </c>
    </row>
    <row r="20" spans="1:15">
      <c r="A20" s="876" t="s">
        <v>1463</v>
      </c>
      <c r="B20" s="926"/>
      <c r="C20" s="870"/>
      <c r="D20" s="926"/>
      <c r="E20" s="870"/>
      <c r="F20" s="923"/>
      <c r="G20" s="926"/>
      <c r="H20" s="870"/>
      <c r="I20" s="870"/>
      <c r="J20" s="926"/>
      <c r="K20" s="877">
        <f t="shared" si="0"/>
        <v>0</v>
      </c>
      <c r="L20" s="870"/>
      <c r="M20" s="870"/>
      <c r="N20" s="870"/>
      <c r="O20" s="873">
        <f t="shared" si="1"/>
        <v>0</v>
      </c>
    </row>
    <row r="21" spans="1:15">
      <c r="A21" s="876" t="s">
        <v>1464</v>
      </c>
      <c r="B21" s="926"/>
      <c r="C21" s="870"/>
      <c r="D21" s="926"/>
      <c r="E21" s="870"/>
      <c r="F21" s="923"/>
      <c r="G21" s="926"/>
      <c r="H21" s="870"/>
      <c r="I21" s="870"/>
      <c r="J21" s="926"/>
      <c r="K21" s="877">
        <f t="shared" si="0"/>
        <v>0</v>
      </c>
      <c r="L21" s="870"/>
      <c r="M21" s="870"/>
      <c r="N21" s="870"/>
      <c r="O21" s="873">
        <f t="shared" si="1"/>
        <v>0</v>
      </c>
    </row>
    <row r="22" spans="1:15">
      <c r="A22" s="876" t="s">
        <v>1465</v>
      </c>
      <c r="B22" s="926"/>
      <c r="C22" s="870"/>
      <c r="D22" s="926"/>
      <c r="E22" s="870"/>
      <c r="F22" s="923"/>
      <c r="G22" s="926"/>
      <c r="H22" s="870"/>
      <c r="I22" s="870"/>
      <c r="J22" s="926"/>
      <c r="K22" s="877">
        <f t="shared" si="0"/>
        <v>0</v>
      </c>
      <c r="L22" s="870"/>
      <c r="M22" s="870"/>
      <c r="N22" s="870"/>
      <c r="O22" s="873">
        <f t="shared" si="1"/>
        <v>0</v>
      </c>
    </row>
    <row r="23" spans="1:15">
      <c r="A23" s="876" t="s">
        <v>1466</v>
      </c>
      <c r="B23" s="926"/>
      <c r="C23" s="870"/>
      <c r="D23" s="926"/>
      <c r="E23" s="870"/>
      <c r="F23" s="923"/>
      <c r="G23" s="926"/>
      <c r="H23" s="870"/>
      <c r="I23" s="870"/>
      <c r="J23" s="926"/>
      <c r="K23" s="877">
        <f t="shared" si="0"/>
        <v>0</v>
      </c>
      <c r="L23" s="870"/>
      <c r="M23" s="870"/>
      <c r="N23" s="870"/>
      <c r="O23" s="873">
        <f t="shared" si="1"/>
        <v>0</v>
      </c>
    </row>
    <row r="24" spans="1:15">
      <c r="A24" s="874" t="s">
        <v>1467</v>
      </c>
      <c r="B24" s="889"/>
      <c r="C24" s="258"/>
      <c r="D24" s="889"/>
      <c r="E24" s="258"/>
      <c r="F24" s="398"/>
      <c r="G24" s="889"/>
      <c r="H24" s="258"/>
      <c r="I24" s="258"/>
      <c r="J24" s="889"/>
      <c r="K24" s="872">
        <f t="shared" ref="K24:K27" si="3">+C24+E24-H24+I24</f>
        <v>0</v>
      </c>
      <c r="L24" s="258"/>
      <c r="M24" s="258"/>
      <c r="N24" s="258"/>
      <c r="O24" s="873">
        <f t="shared" si="1"/>
        <v>0</v>
      </c>
    </row>
    <row r="25" spans="1:15">
      <c r="A25" s="874" t="s">
        <v>1468</v>
      </c>
      <c r="B25" s="889"/>
      <c r="C25" s="258"/>
      <c r="D25" s="889"/>
      <c r="E25" s="258"/>
      <c r="F25" s="398"/>
      <c r="G25" s="889"/>
      <c r="H25" s="258"/>
      <c r="I25" s="258"/>
      <c r="J25" s="889"/>
      <c r="K25" s="872">
        <f t="shared" si="3"/>
        <v>0</v>
      </c>
      <c r="L25" s="258"/>
      <c r="M25" s="258"/>
      <c r="N25" s="258"/>
      <c r="O25" s="873">
        <f t="shared" si="1"/>
        <v>0</v>
      </c>
    </row>
    <row r="26" spans="1:15">
      <c r="A26" s="874" t="s">
        <v>1469</v>
      </c>
      <c r="B26" s="889"/>
      <c r="C26" s="258"/>
      <c r="D26" s="889"/>
      <c r="E26" s="258"/>
      <c r="F26" s="398"/>
      <c r="G26" s="889"/>
      <c r="H26" s="258"/>
      <c r="I26" s="258"/>
      <c r="J26" s="889"/>
      <c r="K26" s="872">
        <f t="shared" si="3"/>
        <v>0</v>
      </c>
      <c r="L26" s="258"/>
      <c r="M26" s="258"/>
      <c r="N26" s="258"/>
      <c r="O26" s="873">
        <f t="shared" si="1"/>
        <v>0</v>
      </c>
    </row>
    <row r="27" spans="1:15">
      <c r="A27" s="154" t="s">
        <v>1470</v>
      </c>
      <c r="B27" s="889"/>
      <c r="C27" s="258"/>
      <c r="D27" s="889"/>
      <c r="E27" s="258"/>
      <c r="F27" s="398"/>
      <c r="G27" s="889"/>
      <c r="H27" s="258"/>
      <c r="I27" s="258"/>
      <c r="J27" s="889"/>
      <c r="K27" s="872">
        <f t="shared" si="3"/>
        <v>0</v>
      </c>
      <c r="L27" s="258"/>
      <c r="M27" s="258"/>
      <c r="N27" s="258"/>
      <c r="O27" s="873">
        <f t="shared" si="1"/>
        <v>0</v>
      </c>
    </row>
    <row r="28" spans="1:15" s="2" customFormat="1">
      <c r="A28" s="878" t="s">
        <v>659</v>
      </c>
      <c r="B28" s="927">
        <f t="shared" ref="B28:J28" si="4">SUM(B11:B18,B24:B27)</f>
        <v>0</v>
      </c>
      <c r="C28" s="879">
        <f t="shared" si="4"/>
        <v>0</v>
      </c>
      <c r="D28" s="927">
        <f t="shared" si="4"/>
        <v>0</v>
      </c>
      <c r="E28" s="879">
        <f t="shared" si="4"/>
        <v>0</v>
      </c>
      <c r="F28" s="924" t="e">
        <f>AVERAGE(F11:F18,F24:F27)</f>
        <v>#DIV/0!</v>
      </c>
      <c r="G28" s="927">
        <f t="shared" si="4"/>
        <v>0</v>
      </c>
      <c r="H28" s="879">
        <f t="shared" si="4"/>
        <v>0</v>
      </c>
      <c r="I28" s="879">
        <f t="shared" si="4"/>
        <v>0</v>
      </c>
      <c r="J28" s="927">
        <f t="shared" si="4"/>
        <v>0</v>
      </c>
      <c r="K28" s="879">
        <f>+C28+E28-H28+I28</f>
        <v>0</v>
      </c>
      <c r="L28" s="879">
        <f>SUM(L11:L18,L24:L27)</f>
        <v>0</v>
      </c>
      <c r="M28" s="879">
        <f>SUM(M11:M18,M24:M27)</f>
        <v>0</v>
      </c>
      <c r="N28" s="879">
        <f>SUM(N11:N18,N24:N27)</f>
        <v>0</v>
      </c>
      <c r="O28" s="873">
        <f t="shared" si="1"/>
        <v>0</v>
      </c>
    </row>
    <row r="30" spans="1:15" ht="15">
      <c r="A30" s="880"/>
      <c r="B30" s="880"/>
      <c r="C30" s="880"/>
      <c r="D30" s="880"/>
      <c r="E30" s="880"/>
      <c r="F30" s="880"/>
      <c r="G30" s="880"/>
      <c r="H30" s="880"/>
      <c r="I30" s="880"/>
      <c r="J30" s="880"/>
      <c r="K30" s="880"/>
      <c r="L30" s="880"/>
      <c r="M30" s="880"/>
      <c r="N30" s="880"/>
    </row>
    <row r="33" spans="2:4">
      <c r="B33" s="976" t="s">
        <v>33</v>
      </c>
      <c r="C33" s="976"/>
      <c r="D33" s="304"/>
    </row>
    <row r="34" spans="2:4">
      <c r="B34" s="15"/>
      <c r="C34" s="30"/>
      <c r="D34" s="304"/>
    </row>
    <row r="35" spans="2:4">
      <c r="B35" s="17" t="s">
        <v>34</v>
      </c>
      <c r="C35" s="17"/>
      <c r="D35" s="18"/>
    </row>
    <row r="36" spans="2:4">
      <c r="B36" s="27"/>
      <c r="C36" s="16"/>
      <c r="D36" s="304"/>
    </row>
    <row r="37" spans="2:4">
      <c r="B37" s="27"/>
      <c r="C37" s="304" t="str">
        <f>+Statistic!B60</f>
        <v>ГҮЙЦЭТГЭХ ЗАХИРАЛ.......................//</v>
      </c>
      <c r="D37" s="304"/>
    </row>
    <row r="38" spans="2:4">
      <c r="B38" s="27"/>
      <c r="C38" s="305"/>
      <c r="D38" s="305"/>
    </row>
    <row r="39" spans="2:4">
      <c r="B39" s="27"/>
      <c r="C39" s="304" t="str">
        <f>+Statistic!B62</f>
        <v>ЕРӨНХИЙ НЯГТЛАН БОДОГЧ...................................................//</v>
      </c>
      <c r="D39" s="304"/>
    </row>
  </sheetData>
  <sheetProtection algorithmName="SHA-512" hashValue="1n4u84MDy2F4nIAjCeIxKur8WAQlLMdrdOFXsfXpHRNmdlBUGb8RzOY13RQjrdOpdOl2r70prgBTyUbbmHtxRA==" saltValue="qj6J9wVD3uJjFSu08sBUew==" spinCount="100000" sheet="1" objects="1" scenarios="1"/>
  <mergeCells count="2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 ref="B33:C33"/>
    <mergeCell ref="B9:B10"/>
    <mergeCell ref="C9:C10"/>
    <mergeCell ref="D9:D10"/>
    <mergeCell ref="E9:E10"/>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pageMargins left="0.7" right="0.7" top="0.75" bottom="0.75" header="0.3" footer="0.3"/>
  <pageSetup paperSize="9" scale="4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777"/>
  <sheetViews>
    <sheetView zoomScaleNormal="100" workbookViewId="0">
      <pane xSplit="4" ySplit="13" topLeftCell="E1669" activePane="bottomRight" state="frozen"/>
      <selection pane="topRight" activeCell="E1" sqref="E1"/>
      <selection pane="bottomLeft" activeCell="A14" sqref="A14"/>
      <selection pane="bottomRight"/>
    </sheetView>
  </sheetViews>
  <sheetFormatPr defaultRowHeight="12.75"/>
  <cols>
    <col min="1" max="1" width="3.42578125" style="13" customWidth="1"/>
    <col min="2" max="2" width="59.140625" style="15" customWidth="1"/>
    <col min="3" max="3" width="15.140625" style="16" customWidth="1"/>
    <col min="4" max="4" width="26.140625" style="304" customWidth="1"/>
    <col min="5" max="5" width="4.5703125" style="13" customWidth="1"/>
    <col min="6" max="6" width="55.7109375" style="14" customWidth="1"/>
    <col min="7" max="7" width="13.85546875" style="16" customWidth="1"/>
    <col min="8" max="8" width="26.140625" style="252" customWidth="1"/>
    <col min="9" max="9" width="15.140625" style="673" bestFit="1" customWidth="1"/>
    <col min="10" max="16384" width="9.140625" style="13"/>
  </cols>
  <sheetData>
    <row r="2" spans="1:9" s="36" customFormat="1">
      <c r="A2" s="1028" t="s">
        <v>40</v>
      </c>
      <c r="B2" s="1028"/>
      <c r="C2" s="1028"/>
      <c r="D2" s="1028"/>
      <c r="E2" s="1028"/>
      <c r="F2" s="1028"/>
      <c r="G2" s="1028"/>
      <c r="H2" s="1028"/>
      <c r="I2" s="127"/>
    </row>
    <row r="3" spans="1:9" s="36" customFormat="1">
      <c r="A3" s="1029" t="str">
        <f>+Statistic!A3</f>
        <v xml:space="preserve">БАНК БУС САНХҮҮГИЙН БАЙГУУЛЛАГЫН НЭР </v>
      </c>
      <c r="B3" s="1029"/>
      <c r="C3" s="1029"/>
      <c r="D3" s="1029"/>
      <c r="E3" s="1029"/>
      <c r="F3" s="1029"/>
      <c r="G3" s="1029"/>
      <c r="H3" s="1029"/>
      <c r="I3" s="127"/>
    </row>
    <row r="4" spans="1:9" s="36" customFormat="1">
      <c r="A4" s="1030" t="s">
        <v>1</v>
      </c>
      <c r="B4" s="1030"/>
      <c r="C4" s="1030"/>
      <c r="D4" s="1030"/>
      <c r="E4" s="1030"/>
      <c r="F4" s="1030"/>
      <c r="G4" s="1030"/>
      <c r="H4" s="1030"/>
      <c r="I4" s="127"/>
    </row>
    <row r="5" spans="1:9">
      <c r="A5" s="674"/>
      <c r="B5" s="674"/>
      <c r="C5" s="674"/>
      <c r="D5" s="675"/>
      <c r="E5" s="674"/>
      <c r="F5" s="674"/>
      <c r="G5" s="674"/>
      <c r="H5" s="674"/>
    </row>
    <row r="6" spans="1:9">
      <c r="A6" s="1031">
        <f>+Statistic!A7</f>
        <v>45716</v>
      </c>
      <c r="B6" s="1031"/>
      <c r="H6" s="676" t="s">
        <v>41</v>
      </c>
    </row>
    <row r="7" spans="1:9">
      <c r="A7" s="677"/>
      <c r="B7" s="677" t="s">
        <v>42</v>
      </c>
      <c r="C7" s="678" t="s">
        <v>43</v>
      </c>
      <c r="D7" s="679" t="s">
        <v>475</v>
      </c>
      <c r="E7" s="680"/>
      <c r="F7" s="677" t="s">
        <v>44</v>
      </c>
      <c r="G7" s="678" t="s">
        <v>43</v>
      </c>
      <c r="H7" s="681" t="s">
        <v>475</v>
      </c>
    </row>
    <row r="8" spans="1:9">
      <c r="A8" s="682"/>
      <c r="B8" s="682" t="s">
        <v>1164</v>
      </c>
      <c r="C8" s="683">
        <v>10000000</v>
      </c>
      <c r="D8" s="684">
        <f>SUM(D9,D158,D694,D1091,D1235,D1297)</f>
        <v>0</v>
      </c>
      <c r="E8" s="685"/>
      <c r="F8" s="686" t="s">
        <v>1211</v>
      </c>
      <c r="G8" s="687">
        <v>20000000</v>
      </c>
      <c r="H8" s="688">
        <f>SUM(H9,H64,H175,H313,H374,H384,H401)</f>
        <v>0</v>
      </c>
    </row>
    <row r="9" spans="1:9">
      <c r="A9" s="689"/>
      <c r="B9" s="689" t="s">
        <v>1432</v>
      </c>
      <c r="C9" s="690">
        <v>11000000</v>
      </c>
      <c r="D9" s="691">
        <f>+SUM(D11,D27,D68,D81,D122,D126)</f>
        <v>0</v>
      </c>
      <c r="E9" s="692"/>
      <c r="F9" s="693" t="s">
        <v>1446</v>
      </c>
      <c r="G9" s="694">
        <v>20100000</v>
      </c>
      <c r="H9" s="695">
        <f>SUM(H10,H17,H24,H31,H38,-H51)</f>
        <v>0</v>
      </c>
      <c r="I9" s="673" t="str">
        <f>IF(H9&gt;0,IF(Trust!J28&gt;0,"","Trust тайланг нөхнө үү!"),"")</f>
        <v/>
      </c>
    </row>
    <row r="10" spans="1:9">
      <c r="A10" s="696"/>
      <c r="B10" s="696" t="s">
        <v>1156</v>
      </c>
      <c r="C10" s="697"/>
      <c r="D10" s="698"/>
      <c r="E10" s="14"/>
      <c r="F10" s="699" t="s">
        <v>712</v>
      </c>
      <c r="G10" s="700">
        <v>20110000</v>
      </c>
      <c r="H10" s="701">
        <f>SUM(H11,H14)</f>
        <v>0</v>
      </c>
    </row>
    <row r="11" spans="1:9">
      <c r="A11" s="699"/>
      <c r="B11" s="699" t="s">
        <v>711</v>
      </c>
      <c r="C11" s="702">
        <v>11100000</v>
      </c>
      <c r="D11" s="703">
        <f>SUM(D12,D15,D18,D21,D24)</f>
        <v>0</v>
      </c>
      <c r="E11" s="692"/>
      <c r="F11" s="704" t="s">
        <v>714</v>
      </c>
      <c r="G11" s="705">
        <v>20111000</v>
      </c>
      <c r="H11" s="706">
        <f>SUM(H12:H13)</f>
        <v>0</v>
      </c>
    </row>
    <row r="12" spans="1:9">
      <c r="A12" s="460"/>
      <c r="B12" s="541" t="s">
        <v>711</v>
      </c>
      <c r="C12" s="707">
        <v>11110000</v>
      </c>
      <c r="D12" s="708">
        <f>SUM(D13:D14)</f>
        <v>0</v>
      </c>
      <c r="E12" s="692"/>
      <c r="F12" s="709" t="s">
        <v>716</v>
      </c>
      <c r="G12" s="707">
        <v>20111100</v>
      </c>
      <c r="H12" s="831"/>
    </row>
    <row r="13" spans="1:9">
      <c r="A13" s="457"/>
      <c r="B13" s="709" t="s">
        <v>713</v>
      </c>
      <c r="C13" s="711">
        <v>11110000</v>
      </c>
      <c r="D13" s="826"/>
      <c r="E13" s="692"/>
      <c r="F13" s="709" t="s">
        <v>717</v>
      </c>
      <c r="G13" s="707">
        <v>20111200</v>
      </c>
      <c r="H13" s="831"/>
      <c r="I13" s="747"/>
    </row>
    <row r="14" spans="1:9">
      <c r="A14" s="457"/>
      <c r="B14" s="709" t="s">
        <v>715</v>
      </c>
      <c r="C14" s="711">
        <v>11120000</v>
      </c>
      <c r="D14" s="826"/>
      <c r="E14" s="692"/>
      <c r="F14" s="704" t="s">
        <v>83</v>
      </c>
      <c r="G14" s="705">
        <v>20112000</v>
      </c>
      <c r="H14" s="706">
        <f>SUM(H15:H16)</f>
        <v>0</v>
      </c>
    </row>
    <row r="15" spans="1:9">
      <c r="A15" s="457"/>
      <c r="B15" s="480" t="s">
        <v>170</v>
      </c>
      <c r="C15" s="711">
        <v>11130000</v>
      </c>
      <c r="D15" s="708">
        <f>SUM(D16:D17)</f>
        <v>0</v>
      </c>
      <c r="E15" s="692"/>
      <c r="F15" s="709" t="s">
        <v>716</v>
      </c>
      <c r="G15" s="707">
        <v>20112100</v>
      </c>
      <c r="H15" s="831"/>
    </row>
    <row r="16" spans="1:9">
      <c r="A16" s="457"/>
      <c r="B16" s="709" t="s">
        <v>714</v>
      </c>
      <c r="C16" s="711">
        <v>11131000</v>
      </c>
      <c r="D16" s="826"/>
      <c r="E16" s="692"/>
      <c r="F16" s="709" t="s">
        <v>717</v>
      </c>
      <c r="G16" s="707">
        <v>20112200</v>
      </c>
      <c r="H16" s="831"/>
    </row>
    <row r="17" spans="1:8">
      <c r="A17" s="457"/>
      <c r="B17" s="709" t="s">
        <v>83</v>
      </c>
      <c r="C17" s="711">
        <v>11132000</v>
      </c>
      <c r="D17" s="826"/>
      <c r="E17" s="692"/>
      <c r="F17" s="699" t="s">
        <v>719</v>
      </c>
      <c r="G17" s="700">
        <v>20120000</v>
      </c>
      <c r="H17" s="701">
        <f>SUM(H18,H21)</f>
        <v>0</v>
      </c>
    </row>
    <row r="18" spans="1:8">
      <c r="A18" s="457"/>
      <c r="B18" s="480" t="s">
        <v>718</v>
      </c>
      <c r="C18" s="711">
        <v>11140000</v>
      </c>
      <c r="D18" s="708">
        <f>SUM(D19:D20)</f>
        <v>0</v>
      </c>
      <c r="E18" s="692"/>
      <c r="F18" s="704" t="s">
        <v>714</v>
      </c>
      <c r="G18" s="705">
        <v>20121000</v>
      </c>
      <c r="H18" s="706">
        <f>SUM(H19:H20)</f>
        <v>0</v>
      </c>
    </row>
    <row r="19" spans="1:8">
      <c r="A19" s="457"/>
      <c r="B19" s="709" t="s">
        <v>714</v>
      </c>
      <c r="C19" s="711">
        <v>11141000</v>
      </c>
      <c r="D19" s="826"/>
      <c r="E19" s="692"/>
      <c r="F19" s="709" t="s">
        <v>716</v>
      </c>
      <c r="G19" s="707">
        <v>20121100</v>
      </c>
      <c r="H19" s="831"/>
    </row>
    <row r="20" spans="1:8">
      <c r="A20" s="457"/>
      <c r="B20" s="709" t="s">
        <v>83</v>
      </c>
      <c r="C20" s="711">
        <v>11142000</v>
      </c>
      <c r="D20" s="826"/>
      <c r="E20" s="692"/>
      <c r="F20" s="709" t="s">
        <v>717</v>
      </c>
      <c r="G20" s="707">
        <v>20121200</v>
      </c>
      <c r="H20" s="831"/>
    </row>
    <row r="21" spans="1:8">
      <c r="A21" s="457"/>
      <c r="B21" s="480" t="s">
        <v>720</v>
      </c>
      <c r="C21" s="711">
        <v>11150000</v>
      </c>
      <c r="D21" s="708">
        <f>SUM(D22:D23)</f>
        <v>0</v>
      </c>
      <c r="E21" s="692"/>
      <c r="F21" s="704" t="s">
        <v>83</v>
      </c>
      <c r="G21" s="705">
        <v>20122000</v>
      </c>
      <c r="H21" s="706">
        <f>SUM(H22:H23)</f>
        <v>0</v>
      </c>
    </row>
    <row r="22" spans="1:8">
      <c r="A22" s="457"/>
      <c r="B22" s="709" t="s">
        <v>714</v>
      </c>
      <c r="C22" s="711">
        <v>11151000</v>
      </c>
      <c r="D22" s="826"/>
      <c r="E22" s="692"/>
      <c r="F22" s="709" t="s">
        <v>716</v>
      </c>
      <c r="G22" s="707">
        <v>20122100</v>
      </c>
      <c r="H22" s="831"/>
    </row>
    <row r="23" spans="1:8">
      <c r="A23" s="457"/>
      <c r="B23" s="709" t="s">
        <v>83</v>
      </c>
      <c r="C23" s="711">
        <v>11152000</v>
      </c>
      <c r="D23" s="826"/>
      <c r="E23" s="692"/>
      <c r="F23" s="709" t="s">
        <v>717</v>
      </c>
      <c r="G23" s="707">
        <v>20122200</v>
      </c>
      <c r="H23" s="831"/>
    </row>
    <row r="24" spans="1:8" ht="25.5">
      <c r="A24" s="457"/>
      <c r="B24" s="480" t="s">
        <v>55</v>
      </c>
      <c r="C24" s="711">
        <v>11160000</v>
      </c>
      <c r="D24" s="708">
        <f>SUM(D25:D26)</f>
        <v>0</v>
      </c>
      <c r="E24" s="692"/>
      <c r="F24" s="713" t="s">
        <v>1444</v>
      </c>
      <c r="G24" s="700">
        <v>20130000</v>
      </c>
      <c r="H24" s="701">
        <f>SUM(H25,H28)</f>
        <v>0</v>
      </c>
    </row>
    <row r="25" spans="1:8">
      <c r="A25" s="457"/>
      <c r="B25" s="709" t="s">
        <v>714</v>
      </c>
      <c r="C25" s="711">
        <v>11161000</v>
      </c>
      <c r="D25" s="826"/>
      <c r="E25" s="14"/>
      <c r="F25" s="704" t="s">
        <v>714</v>
      </c>
      <c r="G25" s="705">
        <v>20131000</v>
      </c>
      <c r="H25" s="706">
        <f>SUM(H26:H27)</f>
        <v>0</v>
      </c>
    </row>
    <row r="26" spans="1:8">
      <c r="A26" s="457"/>
      <c r="B26" s="709" t="s">
        <v>83</v>
      </c>
      <c r="C26" s="711">
        <v>11162000</v>
      </c>
      <c r="D26" s="826"/>
      <c r="E26" s="692"/>
      <c r="F26" s="709" t="s">
        <v>716</v>
      </c>
      <c r="G26" s="707">
        <v>20131100</v>
      </c>
      <c r="H26" s="831"/>
    </row>
    <row r="27" spans="1:8" ht="25.5">
      <c r="A27" s="714"/>
      <c r="B27" s="714" t="s">
        <v>722</v>
      </c>
      <c r="C27" s="702">
        <v>11200000</v>
      </c>
      <c r="D27" s="715">
        <f>SUM(D28,D38,D48,D58)</f>
        <v>0</v>
      </c>
      <c r="E27" s="692"/>
      <c r="F27" s="709" t="s">
        <v>717</v>
      </c>
      <c r="G27" s="707">
        <v>20131200</v>
      </c>
      <c r="H27" s="831"/>
    </row>
    <row r="28" spans="1:8" ht="25.5">
      <c r="A28" s="455"/>
      <c r="B28" s="704" t="s">
        <v>723</v>
      </c>
      <c r="C28" s="716">
        <v>11210000</v>
      </c>
      <c r="D28" s="717">
        <f>SUM(D29,D32,D35)</f>
        <v>0</v>
      </c>
      <c r="E28" s="692"/>
      <c r="F28" s="704" t="s">
        <v>83</v>
      </c>
      <c r="G28" s="705">
        <v>20132000</v>
      </c>
      <c r="H28" s="706">
        <f>SUM(H29:H30)</f>
        <v>0</v>
      </c>
    </row>
    <row r="29" spans="1:8">
      <c r="A29" s="457"/>
      <c r="B29" s="709" t="s">
        <v>724</v>
      </c>
      <c r="C29" s="711">
        <v>11211000</v>
      </c>
      <c r="D29" s="712">
        <f>SUM(D30:D31)</f>
        <v>0</v>
      </c>
      <c r="E29" s="692"/>
      <c r="F29" s="709" t="s">
        <v>716</v>
      </c>
      <c r="G29" s="707">
        <v>20132100</v>
      </c>
      <c r="H29" s="831"/>
    </row>
    <row r="30" spans="1:8">
      <c r="A30" s="457"/>
      <c r="B30" s="718" t="s">
        <v>714</v>
      </c>
      <c r="C30" s="711">
        <v>11211100</v>
      </c>
      <c r="D30" s="826"/>
      <c r="E30" s="692"/>
      <c r="F30" s="709" t="s">
        <v>717</v>
      </c>
      <c r="G30" s="707">
        <v>20132200</v>
      </c>
      <c r="H30" s="831"/>
    </row>
    <row r="31" spans="1:8">
      <c r="A31" s="457"/>
      <c r="B31" s="718" t="s">
        <v>83</v>
      </c>
      <c r="C31" s="711">
        <v>11211200</v>
      </c>
      <c r="D31" s="826"/>
      <c r="E31" s="692"/>
      <c r="F31" s="699" t="s">
        <v>726</v>
      </c>
      <c r="G31" s="700">
        <v>20140000</v>
      </c>
      <c r="H31" s="701">
        <f>SUM(H32,H35)</f>
        <v>0</v>
      </c>
    </row>
    <row r="32" spans="1:8">
      <c r="A32" s="457"/>
      <c r="B32" s="709" t="s">
        <v>725</v>
      </c>
      <c r="C32" s="711">
        <v>11212000</v>
      </c>
      <c r="D32" s="712">
        <f>SUM(D33:D34)</f>
        <v>0</v>
      </c>
      <c r="E32" s="692"/>
      <c r="F32" s="704" t="s">
        <v>714</v>
      </c>
      <c r="G32" s="705">
        <v>20141000</v>
      </c>
      <c r="H32" s="706">
        <f>SUM(H33:H34)</f>
        <v>0</v>
      </c>
    </row>
    <row r="33" spans="1:9">
      <c r="A33" s="457"/>
      <c r="B33" s="718" t="s">
        <v>714</v>
      </c>
      <c r="C33" s="711">
        <v>11212100</v>
      </c>
      <c r="D33" s="826"/>
      <c r="E33" s="692"/>
      <c r="F33" s="709" t="s">
        <v>716</v>
      </c>
      <c r="G33" s="707">
        <v>20141100</v>
      </c>
      <c r="H33" s="831"/>
    </row>
    <row r="34" spans="1:9">
      <c r="A34" s="457"/>
      <c r="B34" s="718" t="s">
        <v>83</v>
      </c>
      <c r="C34" s="711">
        <v>11212200</v>
      </c>
      <c r="D34" s="826"/>
      <c r="E34" s="692"/>
      <c r="F34" s="709" t="s">
        <v>717</v>
      </c>
      <c r="G34" s="707">
        <v>20141200</v>
      </c>
      <c r="H34" s="831"/>
    </row>
    <row r="35" spans="1:9">
      <c r="A35" s="457"/>
      <c r="B35" s="709" t="s">
        <v>727</v>
      </c>
      <c r="C35" s="711">
        <v>11213000</v>
      </c>
      <c r="D35" s="712">
        <f>SUM(D36:D37)</f>
        <v>0</v>
      </c>
      <c r="E35" s="692"/>
      <c r="F35" s="704" t="s">
        <v>83</v>
      </c>
      <c r="G35" s="705">
        <v>20142000</v>
      </c>
      <c r="H35" s="706">
        <f>SUM(H36:H37)</f>
        <v>0</v>
      </c>
    </row>
    <row r="36" spans="1:9">
      <c r="A36" s="457"/>
      <c r="B36" s="718" t="s">
        <v>714</v>
      </c>
      <c r="C36" s="711">
        <v>11213100</v>
      </c>
      <c r="D36" s="826"/>
      <c r="E36" s="692"/>
      <c r="F36" s="709" t="s">
        <v>716</v>
      </c>
      <c r="G36" s="707">
        <v>20142100</v>
      </c>
      <c r="H36" s="831"/>
    </row>
    <row r="37" spans="1:9">
      <c r="A37" s="457"/>
      <c r="B37" s="718" t="s">
        <v>83</v>
      </c>
      <c r="C37" s="711">
        <v>11213200</v>
      </c>
      <c r="D37" s="826"/>
      <c r="E37" s="692"/>
      <c r="F37" s="709" t="s">
        <v>717</v>
      </c>
      <c r="G37" s="707">
        <v>20142200</v>
      </c>
      <c r="H37" s="831"/>
    </row>
    <row r="38" spans="1:9" ht="25.5">
      <c r="A38" s="455"/>
      <c r="B38" s="704" t="s">
        <v>728</v>
      </c>
      <c r="C38" s="719">
        <v>11220000</v>
      </c>
      <c r="D38" s="717">
        <f>SUM(D39,D42,D45)</f>
        <v>0</v>
      </c>
      <c r="E38" s="692"/>
      <c r="F38" s="714" t="s">
        <v>729</v>
      </c>
      <c r="G38" s="702">
        <v>20150000</v>
      </c>
      <c r="H38" s="720">
        <f>SUM(H39,H42,H45,H48)</f>
        <v>0</v>
      </c>
    </row>
    <row r="39" spans="1:9">
      <c r="A39" s="457"/>
      <c r="B39" s="709" t="s">
        <v>724</v>
      </c>
      <c r="C39" s="711">
        <v>11221000</v>
      </c>
      <c r="D39" s="712">
        <f>SUM(D40:D41)</f>
        <v>0</v>
      </c>
      <c r="E39" s="692"/>
      <c r="F39" s="704" t="s">
        <v>712</v>
      </c>
      <c r="G39" s="707">
        <v>20151000</v>
      </c>
      <c r="H39" s="706">
        <f>SUM(H40:H41)</f>
        <v>0</v>
      </c>
    </row>
    <row r="40" spans="1:9">
      <c r="A40" s="457"/>
      <c r="B40" s="718" t="s">
        <v>714</v>
      </c>
      <c r="C40" s="711">
        <v>11221100</v>
      </c>
      <c r="D40" s="826"/>
      <c r="E40" s="692"/>
      <c r="F40" s="709" t="s">
        <v>714</v>
      </c>
      <c r="G40" s="707">
        <v>20151100</v>
      </c>
      <c r="H40" s="831"/>
    </row>
    <row r="41" spans="1:9">
      <c r="A41" s="457"/>
      <c r="B41" s="718" t="s">
        <v>83</v>
      </c>
      <c r="C41" s="711">
        <v>11221200</v>
      </c>
      <c r="D41" s="826"/>
      <c r="E41" s="692"/>
      <c r="F41" s="709" t="s">
        <v>83</v>
      </c>
      <c r="G41" s="707">
        <v>20151200</v>
      </c>
      <c r="H41" s="831"/>
    </row>
    <row r="42" spans="1:9">
      <c r="A42" s="457"/>
      <c r="B42" s="709" t="s">
        <v>725</v>
      </c>
      <c r="C42" s="711">
        <v>11222000</v>
      </c>
      <c r="D42" s="712">
        <f>SUM(D43:D44)</f>
        <v>0</v>
      </c>
      <c r="E42" s="692"/>
      <c r="F42" s="704" t="s">
        <v>719</v>
      </c>
      <c r="G42" s="707">
        <v>20152000</v>
      </c>
      <c r="H42" s="706">
        <f>SUM(H43:H44)</f>
        <v>0</v>
      </c>
    </row>
    <row r="43" spans="1:9">
      <c r="A43" s="457"/>
      <c r="B43" s="718" t="s">
        <v>714</v>
      </c>
      <c r="C43" s="711">
        <v>11222100</v>
      </c>
      <c r="D43" s="826"/>
      <c r="E43" s="692"/>
      <c r="F43" s="709" t="s">
        <v>714</v>
      </c>
      <c r="G43" s="707">
        <v>20152100</v>
      </c>
      <c r="H43" s="831"/>
    </row>
    <row r="44" spans="1:9">
      <c r="A44" s="457"/>
      <c r="B44" s="718" t="s">
        <v>83</v>
      </c>
      <c r="C44" s="711">
        <v>11222200</v>
      </c>
      <c r="D44" s="826"/>
      <c r="E44" s="692"/>
      <c r="F44" s="709" t="s">
        <v>83</v>
      </c>
      <c r="G44" s="707">
        <v>20152200</v>
      </c>
      <c r="H44" s="831"/>
    </row>
    <row r="45" spans="1:9" ht="25.5">
      <c r="A45" s="457"/>
      <c r="B45" s="709" t="s">
        <v>727</v>
      </c>
      <c r="C45" s="711">
        <v>11223000</v>
      </c>
      <c r="D45" s="712">
        <f>SUM(D46:D47)</f>
        <v>0</v>
      </c>
      <c r="E45" s="692"/>
      <c r="F45" s="704" t="s">
        <v>1445</v>
      </c>
      <c r="G45" s="707">
        <v>20153000</v>
      </c>
      <c r="H45" s="706">
        <f>SUM(H46:H47)</f>
        <v>0</v>
      </c>
    </row>
    <row r="46" spans="1:9">
      <c r="A46" s="457"/>
      <c r="B46" s="718" t="s">
        <v>714</v>
      </c>
      <c r="C46" s="711">
        <v>11223100</v>
      </c>
      <c r="D46" s="826"/>
      <c r="E46" s="721"/>
      <c r="F46" s="709" t="s">
        <v>714</v>
      </c>
      <c r="G46" s="707">
        <v>20153100</v>
      </c>
      <c r="H46" s="831"/>
    </row>
    <row r="47" spans="1:9">
      <c r="A47" s="457"/>
      <c r="B47" s="718" t="s">
        <v>83</v>
      </c>
      <c r="C47" s="711">
        <v>11223200</v>
      </c>
      <c r="D47" s="826"/>
      <c r="E47" s="721"/>
      <c r="F47" s="709" t="s">
        <v>83</v>
      </c>
      <c r="G47" s="707">
        <v>20153200</v>
      </c>
      <c r="H47" s="831"/>
    </row>
    <row r="48" spans="1:9" ht="25.5">
      <c r="A48" s="722"/>
      <c r="B48" s="723" t="s">
        <v>730</v>
      </c>
      <c r="C48" s="724">
        <v>11230000</v>
      </c>
      <c r="D48" s="725">
        <f>SUM(D49,D52,D55)</f>
        <v>0</v>
      </c>
      <c r="E48" s="721"/>
      <c r="F48" s="704" t="s">
        <v>732</v>
      </c>
      <c r="G48" s="707">
        <v>20154000</v>
      </c>
      <c r="H48" s="706">
        <f>SUM(H49:H50)</f>
        <v>0</v>
      </c>
      <c r="I48" s="747"/>
    </row>
    <row r="49" spans="1:8">
      <c r="A49" s="465"/>
      <c r="B49" s="726" t="s">
        <v>731</v>
      </c>
      <c r="C49" s="727">
        <v>11231000</v>
      </c>
      <c r="D49" s="712">
        <f>SUM(D50:D51)</f>
        <v>0</v>
      </c>
      <c r="E49" s="721"/>
      <c r="F49" s="709" t="s">
        <v>714</v>
      </c>
      <c r="G49" s="707">
        <v>20154100</v>
      </c>
      <c r="H49" s="831"/>
    </row>
    <row r="50" spans="1:8">
      <c r="A50" s="465"/>
      <c r="B50" s="728" t="s">
        <v>714</v>
      </c>
      <c r="C50" s="729">
        <v>11231100</v>
      </c>
      <c r="D50" s="826"/>
      <c r="E50" s="721"/>
      <c r="F50" s="709" t="s">
        <v>83</v>
      </c>
      <c r="G50" s="707">
        <v>20154200</v>
      </c>
      <c r="H50" s="831"/>
    </row>
    <row r="51" spans="1:8">
      <c r="A51" s="465"/>
      <c r="B51" s="728" t="s">
        <v>83</v>
      </c>
      <c r="C51" s="729">
        <v>11231200</v>
      </c>
      <c r="D51" s="826"/>
      <c r="E51" s="721"/>
      <c r="F51" s="784" t="s">
        <v>733</v>
      </c>
      <c r="G51" s="785">
        <v>20160000</v>
      </c>
      <c r="H51" s="955">
        <f>SUM(H52,H55,H58,H61)</f>
        <v>0</v>
      </c>
    </row>
    <row r="52" spans="1:8">
      <c r="A52" s="465"/>
      <c r="B52" s="726" t="s">
        <v>725</v>
      </c>
      <c r="C52" s="729">
        <v>11232000</v>
      </c>
      <c r="D52" s="712">
        <f>SUM(D53:D54)</f>
        <v>0</v>
      </c>
      <c r="E52" s="721"/>
      <c r="F52" s="704" t="s">
        <v>712</v>
      </c>
      <c r="G52" s="707">
        <v>20161000</v>
      </c>
      <c r="H52" s="706">
        <f>SUM(H53:H54)</f>
        <v>0</v>
      </c>
    </row>
    <row r="53" spans="1:8">
      <c r="A53" s="465"/>
      <c r="B53" s="728" t="s">
        <v>714</v>
      </c>
      <c r="C53" s="729">
        <v>11232100</v>
      </c>
      <c r="D53" s="826"/>
      <c r="E53" s="721"/>
      <c r="F53" s="709" t="s">
        <v>714</v>
      </c>
      <c r="G53" s="707">
        <v>20161100</v>
      </c>
      <c r="H53" s="831"/>
    </row>
    <row r="54" spans="1:8">
      <c r="A54" s="465"/>
      <c r="B54" s="728" t="s">
        <v>83</v>
      </c>
      <c r="C54" s="729">
        <v>11232200</v>
      </c>
      <c r="D54" s="826"/>
      <c r="E54" s="721"/>
      <c r="F54" s="709" t="s">
        <v>83</v>
      </c>
      <c r="G54" s="707">
        <v>20161200</v>
      </c>
      <c r="H54" s="831"/>
    </row>
    <row r="55" spans="1:8">
      <c r="A55" s="465"/>
      <c r="B55" s="726" t="s">
        <v>727</v>
      </c>
      <c r="C55" s="729">
        <v>11233000</v>
      </c>
      <c r="D55" s="712">
        <f>SUM(D56:D57)</f>
        <v>0</v>
      </c>
      <c r="E55" s="721"/>
      <c r="F55" s="704" t="s">
        <v>719</v>
      </c>
      <c r="G55" s="707">
        <v>20162000</v>
      </c>
      <c r="H55" s="706">
        <f>SUM(H56:H57)</f>
        <v>0</v>
      </c>
    </row>
    <row r="56" spans="1:8">
      <c r="A56" s="465"/>
      <c r="B56" s="728" t="s">
        <v>714</v>
      </c>
      <c r="C56" s="729">
        <v>11233100</v>
      </c>
      <c r="D56" s="826"/>
      <c r="E56" s="721"/>
      <c r="F56" s="709" t="s">
        <v>714</v>
      </c>
      <c r="G56" s="707">
        <v>20162100</v>
      </c>
      <c r="H56" s="831"/>
    </row>
    <row r="57" spans="1:8">
      <c r="A57" s="465"/>
      <c r="B57" s="728" t="s">
        <v>83</v>
      </c>
      <c r="C57" s="729">
        <v>11233200</v>
      </c>
      <c r="D57" s="826"/>
      <c r="E57" s="721"/>
      <c r="F57" s="709" t="s">
        <v>83</v>
      </c>
      <c r="G57" s="707">
        <v>20162200</v>
      </c>
      <c r="H57" s="831"/>
    </row>
    <row r="58" spans="1:8" ht="25.5">
      <c r="A58" s="722"/>
      <c r="B58" s="723" t="s">
        <v>734</v>
      </c>
      <c r="C58" s="724">
        <v>11240000</v>
      </c>
      <c r="D58" s="725">
        <f>SUM(D59,D62,D65)</f>
        <v>0</v>
      </c>
      <c r="E58" s="721"/>
      <c r="F58" s="704" t="s">
        <v>1445</v>
      </c>
      <c r="G58" s="707">
        <v>20163000</v>
      </c>
      <c r="H58" s="706">
        <f>SUM(H59:H60)</f>
        <v>0</v>
      </c>
    </row>
    <row r="59" spans="1:8">
      <c r="A59" s="465"/>
      <c r="B59" s="726" t="s">
        <v>1155</v>
      </c>
      <c r="C59" s="729">
        <v>11241000</v>
      </c>
      <c r="D59" s="712">
        <f>SUM(D60:D61)</f>
        <v>0</v>
      </c>
      <c r="E59" s="721"/>
      <c r="F59" s="709" t="s">
        <v>714</v>
      </c>
      <c r="G59" s="707">
        <v>20163100</v>
      </c>
      <c r="H59" s="831"/>
    </row>
    <row r="60" spans="1:8">
      <c r="A60" s="465"/>
      <c r="B60" s="728" t="s">
        <v>714</v>
      </c>
      <c r="C60" s="729">
        <v>11241100</v>
      </c>
      <c r="D60" s="826"/>
      <c r="E60" s="721"/>
      <c r="F60" s="709" t="s">
        <v>83</v>
      </c>
      <c r="G60" s="707">
        <v>20163200</v>
      </c>
      <c r="H60" s="831"/>
    </row>
    <row r="61" spans="1:8">
      <c r="A61" s="465"/>
      <c r="B61" s="728" t="s">
        <v>83</v>
      </c>
      <c r="C61" s="729">
        <v>11241200</v>
      </c>
      <c r="D61" s="826"/>
      <c r="E61" s="721"/>
      <c r="F61" s="704" t="s">
        <v>732</v>
      </c>
      <c r="G61" s="707">
        <v>20164000</v>
      </c>
      <c r="H61" s="706">
        <f>SUM(H62:H63)</f>
        <v>0</v>
      </c>
    </row>
    <row r="62" spans="1:8">
      <c r="A62" s="465"/>
      <c r="B62" s="726" t="s">
        <v>725</v>
      </c>
      <c r="C62" s="729">
        <v>11242000</v>
      </c>
      <c r="D62" s="712">
        <f>SUM(D63:D64)</f>
        <v>0</v>
      </c>
      <c r="E62" s="721"/>
      <c r="F62" s="709" t="s">
        <v>714</v>
      </c>
      <c r="G62" s="707">
        <v>20164100</v>
      </c>
      <c r="H62" s="831"/>
    </row>
    <row r="63" spans="1:8">
      <c r="A63" s="465"/>
      <c r="B63" s="728" t="s">
        <v>714</v>
      </c>
      <c r="C63" s="729">
        <v>11242100</v>
      </c>
      <c r="D63" s="826"/>
      <c r="E63" s="721"/>
      <c r="F63" s="709" t="s">
        <v>83</v>
      </c>
      <c r="G63" s="707">
        <v>20164200</v>
      </c>
      <c r="H63" s="831"/>
    </row>
    <row r="64" spans="1:8" ht="25.5">
      <c r="A64" s="465"/>
      <c r="B64" s="728" t="s">
        <v>83</v>
      </c>
      <c r="C64" s="729">
        <v>11242200</v>
      </c>
      <c r="D64" s="826"/>
      <c r="E64" s="721"/>
      <c r="F64" s="693" t="s">
        <v>1447</v>
      </c>
      <c r="G64" s="694">
        <v>20200000</v>
      </c>
      <c r="H64" s="695">
        <f>SUM(H65,H94,-H123,H149)</f>
        <v>0</v>
      </c>
    </row>
    <row r="65" spans="1:8">
      <c r="A65" s="465"/>
      <c r="B65" s="726" t="s">
        <v>727</v>
      </c>
      <c r="C65" s="729">
        <v>11243000</v>
      </c>
      <c r="D65" s="712">
        <f>SUM(D66:D67)</f>
        <v>0</v>
      </c>
      <c r="E65" s="721"/>
      <c r="F65" s="699" t="s">
        <v>736</v>
      </c>
      <c r="G65" s="700">
        <v>20210000</v>
      </c>
      <c r="H65" s="701">
        <f>SUM(H66,H69,H72,-H91)</f>
        <v>0</v>
      </c>
    </row>
    <row r="66" spans="1:8">
      <c r="A66" s="465"/>
      <c r="B66" s="728" t="s">
        <v>714</v>
      </c>
      <c r="C66" s="729">
        <v>11243100</v>
      </c>
      <c r="D66" s="826"/>
      <c r="E66" s="14"/>
      <c r="F66" s="704" t="s">
        <v>125</v>
      </c>
      <c r="G66" s="705">
        <v>20211000</v>
      </c>
      <c r="H66" s="706">
        <f>SUM(H67:H68)</f>
        <v>0</v>
      </c>
    </row>
    <row r="67" spans="1:8">
      <c r="A67" s="465"/>
      <c r="B67" s="728" t="s">
        <v>83</v>
      </c>
      <c r="C67" s="729">
        <v>11243200</v>
      </c>
      <c r="D67" s="826"/>
      <c r="E67" s="721"/>
      <c r="F67" s="709" t="s">
        <v>714</v>
      </c>
      <c r="G67" s="707">
        <v>20211100</v>
      </c>
      <c r="H67" s="831"/>
    </row>
    <row r="68" spans="1:8">
      <c r="A68" s="731"/>
      <c r="B68" s="731" t="s">
        <v>737</v>
      </c>
      <c r="C68" s="732">
        <v>11300000</v>
      </c>
      <c r="D68" s="733">
        <f>SUM(D69:D72)</f>
        <v>0</v>
      </c>
      <c r="E68" s="721"/>
      <c r="F68" s="709" t="s">
        <v>83</v>
      </c>
      <c r="G68" s="707">
        <v>20211200</v>
      </c>
      <c r="H68" s="831"/>
    </row>
    <row r="69" spans="1:8">
      <c r="A69" s="465"/>
      <c r="B69" s="722" t="s">
        <v>738</v>
      </c>
      <c r="C69" s="729">
        <v>11310000</v>
      </c>
      <c r="D69" s="826"/>
      <c r="E69" s="721"/>
      <c r="F69" s="704" t="s">
        <v>741</v>
      </c>
      <c r="G69" s="705">
        <v>20212000</v>
      </c>
      <c r="H69" s="706">
        <f>SUM(H70:H71)</f>
        <v>0</v>
      </c>
    </row>
    <row r="70" spans="1:8">
      <c r="A70" s="465"/>
      <c r="B70" s="722" t="s">
        <v>739</v>
      </c>
      <c r="C70" s="729">
        <v>11320000</v>
      </c>
      <c r="D70" s="826"/>
      <c r="E70" s="734"/>
      <c r="F70" s="709" t="s">
        <v>714</v>
      </c>
      <c r="G70" s="707">
        <v>20212100</v>
      </c>
      <c r="H70" s="831"/>
    </row>
    <row r="71" spans="1:8">
      <c r="A71" s="465"/>
      <c r="B71" s="722" t="s">
        <v>740</v>
      </c>
      <c r="C71" s="729">
        <v>11330000</v>
      </c>
      <c r="D71" s="826"/>
      <c r="E71" s="734"/>
      <c r="F71" s="709" t="s">
        <v>83</v>
      </c>
      <c r="G71" s="707">
        <v>20212200</v>
      </c>
      <c r="H71" s="831"/>
    </row>
    <row r="72" spans="1:8">
      <c r="A72" s="468"/>
      <c r="B72" s="722" t="s">
        <v>742</v>
      </c>
      <c r="C72" s="729">
        <v>11340000</v>
      </c>
      <c r="D72" s="730">
        <f>+D73-D77</f>
        <v>0</v>
      </c>
      <c r="E72" s="721"/>
      <c r="F72" s="704" t="s">
        <v>744</v>
      </c>
      <c r="G72" s="705">
        <v>20213000</v>
      </c>
      <c r="H72" s="710">
        <f>SUM(H73,H76,H79,H82,H85,H88)</f>
        <v>0</v>
      </c>
    </row>
    <row r="73" spans="1:8">
      <c r="A73" s="468"/>
      <c r="B73" s="745" t="s">
        <v>743</v>
      </c>
      <c r="C73" s="729">
        <v>11341000</v>
      </c>
      <c r="D73" s="730">
        <f>SUM(D74:D76)</f>
        <v>0</v>
      </c>
      <c r="E73" s="721"/>
      <c r="F73" s="709" t="s">
        <v>746</v>
      </c>
      <c r="G73" s="707">
        <v>20213100</v>
      </c>
      <c r="H73" s="706">
        <f>SUM(H74:H75)</f>
        <v>0</v>
      </c>
    </row>
    <row r="74" spans="1:8">
      <c r="A74" s="465"/>
      <c r="B74" s="726" t="s">
        <v>47</v>
      </c>
      <c r="C74" s="729">
        <v>11341100</v>
      </c>
      <c r="D74" s="945"/>
      <c r="E74" s="721"/>
      <c r="F74" s="718" t="s">
        <v>714</v>
      </c>
      <c r="G74" s="707">
        <v>20213110</v>
      </c>
      <c r="H74" s="831"/>
    </row>
    <row r="75" spans="1:8">
      <c r="A75" s="465"/>
      <c r="B75" s="726" t="s">
        <v>745</v>
      </c>
      <c r="C75" s="729">
        <v>11341200</v>
      </c>
      <c r="D75" s="945"/>
      <c r="E75" s="734"/>
      <c r="F75" s="718" t="s">
        <v>83</v>
      </c>
      <c r="G75" s="707">
        <v>20213120</v>
      </c>
      <c r="H75" s="831"/>
    </row>
    <row r="76" spans="1:8">
      <c r="A76" s="465"/>
      <c r="B76" s="726" t="s">
        <v>747</v>
      </c>
      <c r="C76" s="729">
        <v>11341300</v>
      </c>
      <c r="D76" s="945"/>
      <c r="E76" s="721"/>
      <c r="F76" s="709" t="s">
        <v>748</v>
      </c>
      <c r="G76" s="707">
        <v>20213200</v>
      </c>
      <c r="H76" s="706">
        <f>SUM(H77:H78)</f>
        <v>0</v>
      </c>
    </row>
    <row r="77" spans="1:8">
      <c r="A77" s="468"/>
      <c r="B77" s="745" t="s">
        <v>51</v>
      </c>
      <c r="C77" s="729">
        <v>11342000</v>
      </c>
      <c r="D77" s="730">
        <f>SUM(D78:D80)</f>
        <v>0</v>
      </c>
      <c r="E77" s="721"/>
      <c r="F77" s="718" t="s">
        <v>714</v>
      </c>
      <c r="G77" s="707">
        <v>20213210</v>
      </c>
      <c r="H77" s="831"/>
    </row>
    <row r="78" spans="1:8">
      <c r="A78" s="465"/>
      <c r="B78" s="726" t="s">
        <v>47</v>
      </c>
      <c r="C78" s="729">
        <v>11342100</v>
      </c>
      <c r="D78" s="945"/>
      <c r="E78" s="721"/>
      <c r="F78" s="718" t="s">
        <v>83</v>
      </c>
      <c r="G78" s="707">
        <v>20213220</v>
      </c>
      <c r="H78" s="831"/>
    </row>
    <row r="79" spans="1:8">
      <c r="A79" s="465"/>
      <c r="B79" s="726" t="s">
        <v>745</v>
      </c>
      <c r="C79" s="729">
        <v>11342200</v>
      </c>
      <c r="D79" s="945"/>
      <c r="E79" s="14"/>
      <c r="F79" s="709" t="s">
        <v>750</v>
      </c>
      <c r="G79" s="707">
        <v>20213300</v>
      </c>
      <c r="H79" s="706">
        <f>SUM(H80:H81)</f>
        <v>0</v>
      </c>
    </row>
    <row r="80" spans="1:8">
      <c r="A80" s="465"/>
      <c r="B80" s="726" t="s">
        <v>747</v>
      </c>
      <c r="C80" s="729">
        <v>11342300</v>
      </c>
      <c r="D80" s="945"/>
      <c r="E80" s="692"/>
      <c r="F80" s="718" t="s">
        <v>714</v>
      </c>
      <c r="G80" s="707">
        <v>20213310</v>
      </c>
      <c r="H80" s="831"/>
    </row>
    <row r="81" spans="1:8">
      <c r="A81" s="737"/>
      <c r="B81" s="714" t="s">
        <v>749</v>
      </c>
      <c r="C81" s="702">
        <v>11400000</v>
      </c>
      <c r="D81" s="738">
        <f>SUM(D82,D92,D102,D112)</f>
        <v>0</v>
      </c>
      <c r="E81" s="692"/>
      <c r="F81" s="718" t="s">
        <v>83</v>
      </c>
      <c r="G81" s="707">
        <v>20213320</v>
      </c>
      <c r="H81" s="831"/>
    </row>
    <row r="82" spans="1:8" ht="25.5">
      <c r="A82" s="455"/>
      <c r="B82" s="704" t="s">
        <v>723</v>
      </c>
      <c r="C82" s="719">
        <v>11410000</v>
      </c>
      <c r="D82" s="717">
        <f>SUM(D83,D86,D89)</f>
        <v>0</v>
      </c>
      <c r="E82" s="692"/>
      <c r="F82" s="709" t="s">
        <v>751</v>
      </c>
      <c r="G82" s="707">
        <v>20213400</v>
      </c>
      <c r="H82" s="706">
        <f>SUM(H83:H84)</f>
        <v>0</v>
      </c>
    </row>
    <row r="83" spans="1:8">
      <c r="A83" s="457"/>
      <c r="B83" s="709" t="s">
        <v>724</v>
      </c>
      <c r="C83" s="711">
        <v>11411000</v>
      </c>
      <c r="D83" s="712">
        <f>SUM(D84:D85)</f>
        <v>0</v>
      </c>
      <c r="E83" s="692"/>
      <c r="F83" s="718" t="s">
        <v>714</v>
      </c>
      <c r="G83" s="707">
        <v>20213410</v>
      </c>
      <c r="H83" s="831"/>
    </row>
    <row r="84" spans="1:8">
      <c r="A84" s="457"/>
      <c r="B84" s="718" t="s">
        <v>714</v>
      </c>
      <c r="C84" s="711">
        <v>11411100</v>
      </c>
      <c r="D84" s="826"/>
      <c r="E84" s="692"/>
      <c r="F84" s="718" t="s">
        <v>83</v>
      </c>
      <c r="G84" s="707">
        <v>20213420</v>
      </c>
      <c r="H84" s="831"/>
    </row>
    <row r="85" spans="1:8">
      <c r="A85" s="457"/>
      <c r="B85" s="718" t="s">
        <v>83</v>
      </c>
      <c r="C85" s="711">
        <v>11411200</v>
      </c>
      <c r="D85" s="826"/>
      <c r="E85" s="692"/>
      <c r="F85" s="709" t="s">
        <v>752</v>
      </c>
      <c r="G85" s="707">
        <v>20213500</v>
      </c>
      <c r="H85" s="706">
        <f>SUM(H86:H87)</f>
        <v>0</v>
      </c>
    </row>
    <row r="86" spans="1:8">
      <c r="A86" s="457"/>
      <c r="B86" s="709" t="s">
        <v>725</v>
      </c>
      <c r="C86" s="711">
        <v>11412000</v>
      </c>
      <c r="D86" s="712">
        <f>SUM(D87:D88)</f>
        <v>0</v>
      </c>
      <c r="E86" s="692"/>
      <c r="F86" s="718" t="s">
        <v>714</v>
      </c>
      <c r="G86" s="707">
        <v>20213510</v>
      </c>
      <c r="H86" s="831"/>
    </row>
    <row r="87" spans="1:8">
      <c r="A87" s="457"/>
      <c r="B87" s="718" t="s">
        <v>714</v>
      </c>
      <c r="C87" s="711">
        <v>11412100</v>
      </c>
      <c r="D87" s="826"/>
      <c r="E87" s="692"/>
      <c r="F87" s="718" t="s">
        <v>83</v>
      </c>
      <c r="G87" s="707">
        <v>20213520</v>
      </c>
      <c r="H87" s="831"/>
    </row>
    <row r="88" spans="1:8">
      <c r="A88" s="457"/>
      <c r="B88" s="718" t="s">
        <v>83</v>
      </c>
      <c r="C88" s="711">
        <v>11412200</v>
      </c>
      <c r="D88" s="826"/>
      <c r="E88" s="692"/>
      <c r="F88" s="709" t="s">
        <v>53</v>
      </c>
      <c r="G88" s="707">
        <v>20213600</v>
      </c>
      <c r="H88" s="706">
        <f>SUM(H89:H90)</f>
        <v>0</v>
      </c>
    </row>
    <row r="89" spans="1:8">
      <c r="A89" s="457"/>
      <c r="B89" s="709" t="s">
        <v>727</v>
      </c>
      <c r="C89" s="711">
        <v>11413000</v>
      </c>
      <c r="D89" s="712">
        <f>SUM(D90:D91)</f>
        <v>0</v>
      </c>
      <c r="E89" s="692"/>
      <c r="F89" s="718" t="s">
        <v>714</v>
      </c>
      <c r="G89" s="707">
        <v>20213610</v>
      </c>
      <c r="H89" s="831"/>
    </row>
    <row r="90" spans="1:8">
      <c r="A90" s="457"/>
      <c r="B90" s="718" t="s">
        <v>714</v>
      </c>
      <c r="C90" s="711">
        <v>11413100</v>
      </c>
      <c r="D90" s="826"/>
      <c r="E90" s="692"/>
      <c r="F90" s="718" t="s">
        <v>83</v>
      </c>
      <c r="G90" s="707">
        <v>20213620</v>
      </c>
      <c r="H90" s="831"/>
    </row>
    <row r="91" spans="1:8" ht="25.5">
      <c r="A91" s="457"/>
      <c r="B91" s="718" t="s">
        <v>83</v>
      </c>
      <c r="C91" s="711">
        <v>11413200</v>
      </c>
      <c r="D91" s="826"/>
      <c r="E91" s="692"/>
      <c r="F91" s="739" t="s">
        <v>753</v>
      </c>
      <c r="G91" s="740">
        <v>20214000</v>
      </c>
      <c r="H91" s="741">
        <f>SUM(H92:H93)</f>
        <v>0</v>
      </c>
    </row>
    <row r="92" spans="1:8" ht="25.5">
      <c r="A92" s="455"/>
      <c r="B92" s="704" t="s">
        <v>728</v>
      </c>
      <c r="C92" s="719">
        <v>11420000</v>
      </c>
      <c r="D92" s="717">
        <f>+SUM(D93,D96,D99)</f>
        <v>0</v>
      </c>
      <c r="E92" s="692"/>
      <c r="F92" s="757" t="s">
        <v>754</v>
      </c>
      <c r="G92" s="740">
        <v>20214100</v>
      </c>
      <c r="H92" s="964"/>
    </row>
    <row r="93" spans="1:8">
      <c r="A93" s="457"/>
      <c r="B93" s="709" t="s">
        <v>724</v>
      </c>
      <c r="C93" s="711">
        <v>11421000</v>
      </c>
      <c r="D93" s="712">
        <f>SUM(D94:D95)</f>
        <v>0</v>
      </c>
      <c r="E93" s="692"/>
      <c r="F93" s="757" t="s">
        <v>755</v>
      </c>
      <c r="G93" s="740">
        <v>20214200</v>
      </c>
      <c r="H93" s="964"/>
    </row>
    <row r="94" spans="1:8">
      <c r="A94" s="457"/>
      <c r="B94" s="718" t="s">
        <v>714</v>
      </c>
      <c r="C94" s="711">
        <v>11421100</v>
      </c>
      <c r="D94" s="826"/>
      <c r="E94" s="692"/>
      <c r="F94" s="699" t="s">
        <v>756</v>
      </c>
      <c r="G94" s="700">
        <v>20220000</v>
      </c>
      <c r="H94" s="701">
        <f>SUM(H95,H98,H101,-H120)</f>
        <v>0</v>
      </c>
    </row>
    <row r="95" spans="1:8">
      <c r="A95" s="457"/>
      <c r="B95" s="718" t="s">
        <v>83</v>
      </c>
      <c r="C95" s="711">
        <v>11421200</v>
      </c>
      <c r="D95" s="826"/>
      <c r="E95" s="692"/>
      <c r="F95" s="704" t="s">
        <v>125</v>
      </c>
      <c r="G95" s="705">
        <v>20221000</v>
      </c>
      <c r="H95" s="706">
        <f>SUM(H96:H97)</f>
        <v>0</v>
      </c>
    </row>
    <row r="96" spans="1:8">
      <c r="A96" s="457"/>
      <c r="B96" s="709" t="s">
        <v>725</v>
      </c>
      <c r="C96" s="711">
        <v>11422000</v>
      </c>
      <c r="D96" s="712">
        <f>SUM(D97:D98)</f>
        <v>0</v>
      </c>
      <c r="E96" s="692"/>
      <c r="F96" s="709" t="s">
        <v>714</v>
      </c>
      <c r="G96" s="707">
        <v>20221100</v>
      </c>
      <c r="H96" s="831"/>
    </row>
    <row r="97" spans="1:8">
      <c r="A97" s="457"/>
      <c r="B97" s="718" t="s">
        <v>714</v>
      </c>
      <c r="C97" s="711">
        <v>11422100</v>
      </c>
      <c r="D97" s="826"/>
      <c r="E97" s="692"/>
      <c r="F97" s="709" t="s">
        <v>83</v>
      </c>
      <c r="G97" s="707">
        <v>20221200</v>
      </c>
      <c r="H97" s="831"/>
    </row>
    <row r="98" spans="1:8">
      <c r="A98" s="457"/>
      <c r="B98" s="718" t="s">
        <v>83</v>
      </c>
      <c r="C98" s="711">
        <v>11422200</v>
      </c>
      <c r="D98" s="826"/>
      <c r="E98" s="692"/>
      <c r="F98" s="704" t="s">
        <v>741</v>
      </c>
      <c r="G98" s="705">
        <v>20222000</v>
      </c>
      <c r="H98" s="706">
        <f>SUM(H99:H100)</f>
        <v>0</v>
      </c>
    </row>
    <row r="99" spans="1:8">
      <c r="A99" s="457"/>
      <c r="B99" s="709" t="s">
        <v>727</v>
      </c>
      <c r="C99" s="711">
        <v>11423000</v>
      </c>
      <c r="D99" s="712">
        <f>SUM(D100:D101)</f>
        <v>0</v>
      </c>
      <c r="E99" s="692"/>
      <c r="F99" s="709" t="s">
        <v>714</v>
      </c>
      <c r="G99" s="707">
        <v>20222100</v>
      </c>
      <c r="H99" s="831"/>
    </row>
    <row r="100" spans="1:8">
      <c r="A100" s="457"/>
      <c r="B100" s="718" t="s">
        <v>714</v>
      </c>
      <c r="C100" s="711">
        <v>11423100</v>
      </c>
      <c r="D100" s="826"/>
      <c r="E100" s="721"/>
      <c r="F100" s="709" t="s">
        <v>83</v>
      </c>
      <c r="G100" s="707">
        <v>20222200</v>
      </c>
      <c r="H100" s="831"/>
    </row>
    <row r="101" spans="1:8">
      <c r="A101" s="457"/>
      <c r="B101" s="718" t="s">
        <v>83</v>
      </c>
      <c r="C101" s="711">
        <v>11423200</v>
      </c>
      <c r="D101" s="826"/>
      <c r="E101" s="721"/>
      <c r="F101" s="704" t="s">
        <v>744</v>
      </c>
      <c r="G101" s="705">
        <v>20223000</v>
      </c>
      <c r="H101" s="710">
        <f>SUM(H102,H105,H108,H111,H114,H117)</f>
        <v>0</v>
      </c>
    </row>
    <row r="102" spans="1:8" ht="25.5">
      <c r="A102" s="722"/>
      <c r="B102" s="723" t="s">
        <v>730</v>
      </c>
      <c r="C102" s="716">
        <v>11430000</v>
      </c>
      <c r="D102" s="725">
        <f>SUM(D103,D106,D109)</f>
        <v>0</v>
      </c>
      <c r="E102" s="721"/>
      <c r="F102" s="709" t="s">
        <v>746</v>
      </c>
      <c r="G102" s="707">
        <v>20223100</v>
      </c>
      <c r="H102" s="706">
        <f>SUM(H103:H104)</f>
        <v>0</v>
      </c>
    </row>
    <row r="103" spans="1:8">
      <c r="A103" s="465"/>
      <c r="B103" s="726" t="s">
        <v>731</v>
      </c>
      <c r="C103" s="711">
        <v>11431000</v>
      </c>
      <c r="D103" s="712">
        <f>SUM(D104:D105)</f>
        <v>0</v>
      </c>
      <c r="E103" s="721"/>
      <c r="F103" s="718" t="s">
        <v>714</v>
      </c>
      <c r="G103" s="707">
        <v>20223110</v>
      </c>
      <c r="H103" s="831"/>
    </row>
    <row r="104" spans="1:8">
      <c r="A104" s="465"/>
      <c r="B104" s="728" t="s">
        <v>714</v>
      </c>
      <c r="C104" s="711">
        <v>11431100</v>
      </c>
      <c r="D104" s="826"/>
      <c r="E104" s="721"/>
      <c r="F104" s="718" t="s">
        <v>83</v>
      </c>
      <c r="G104" s="707">
        <v>20223120</v>
      </c>
      <c r="H104" s="831"/>
    </row>
    <row r="105" spans="1:8">
      <c r="A105" s="465"/>
      <c r="B105" s="728" t="s">
        <v>83</v>
      </c>
      <c r="C105" s="711">
        <v>11431200</v>
      </c>
      <c r="D105" s="826"/>
      <c r="E105" s="721"/>
      <c r="F105" s="709" t="s">
        <v>748</v>
      </c>
      <c r="G105" s="707">
        <v>20223200</v>
      </c>
      <c r="H105" s="706">
        <f>SUM(H106:H107)</f>
        <v>0</v>
      </c>
    </row>
    <row r="106" spans="1:8">
      <c r="A106" s="465"/>
      <c r="B106" s="726" t="s">
        <v>725</v>
      </c>
      <c r="C106" s="711">
        <v>11432000</v>
      </c>
      <c r="D106" s="712">
        <f>SUM(D107:D108)</f>
        <v>0</v>
      </c>
      <c r="E106" s="721"/>
      <c r="F106" s="718" t="s">
        <v>714</v>
      </c>
      <c r="G106" s="707">
        <v>20223210</v>
      </c>
      <c r="H106" s="831"/>
    </row>
    <row r="107" spans="1:8">
      <c r="A107" s="465"/>
      <c r="B107" s="728" t="s">
        <v>714</v>
      </c>
      <c r="C107" s="711">
        <v>11432100</v>
      </c>
      <c r="D107" s="826"/>
      <c r="E107" s="721"/>
      <c r="F107" s="718" t="s">
        <v>83</v>
      </c>
      <c r="G107" s="707">
        <v>20223220</v>
      </c>
      <c r="H107" s="831"/>
    </row>
    <row r="108" spans="1:8">
      <c r="A108" s="465"/>
      <c r="B108" s="728" t="s">
        <v>83</v>
      </c>
      <c r="C108" s="711">
        <v>11432200</v>
      </c>
      <c r="D108" s="826"/>
      <c r="E108" s="721"/>
      <c r="F108" s="709" t="s">
        <v>750</v>
      </c>
      <c r="G108" s="707">
        <v>20223300</v>
      </c>
      <c r="H108" s="706">
        <f>SUM(H109:H110)</f>
        <v>0</v>
      </c>
    </row>
    <row r="109" spans="1:8">
      <c r="A109" s="465"/>
      <c r="B109" s="726" t="s">
        <v>727</v>
      </c>
      <c r="C109" s="711">
        <v>11433000</v>
      </c>
      <c r="D109" s="712">
        <f>SUM(D110:D111)</f>
        <v>0</v>
      </c>
      <c r="E109" s="721"/>
      <c r="F109" s="718" t="s">
        <v>714</v>
      </c>
      <c r="G109" s="707">
        <v>20223310</v>
      </c>
      <c r="H109" s="831"/>
    </row>
    <row r="110" spans="1:8">
      <c r="A110" s="465"/>
      <c r="B110" s="728" t="s">
        <v>714</v>
      </c>
      <c r="C110" s="711">
        <v>11433100</v>
      </c>
      <c r="D110" s="826"/>
      <c r="E110" s="721"/>
      <c r="F110" s="718" t="s">
        <v>83</v>
      </c>
      <c r="G110" s="707">
        <v>20223320</v>
      </c>
      <c r="H110" s="831"/>
    </row>
    <row r="111" spans="1:8">
      <c r="A111" s="465"/>
      <c r="B111" s="728" t="s">
        <v>83</v>
      </c>
      <c r="C111" s="711">
        <v>11433200</v>
      </c>
      <c r="D111" s="826"/>
      <c r="E111" s="721"/>
      <c r="F111" s="709" t="s">
        <v>751</v>
      </c>
      <c r="G111" s="707">
        <v>20223400</v>
      </c>
      <c r="H111" s="706">
        <f>SUM(H112:H113)</f>
        <v>0</v>
      </c>
    </row>
    <row r="112" spans="1:8" ht="25.5">
      <c r="A112" s="722"/>
      <c r="B112" s="723" t="s">
        <v>734</v>
      </c>
      <c r="C112" s="716">
        <v>11440000</v>
      </c>
      <c r="D112" s="725">
        <f>SUM(D113,D116,D119)</f>
        <v>0</v>
      </c>
      <c r="E112" s="721"/>
      <c r="F112" s="718" t="s">
        <v>714</v>
      </c>
      <c r="G112" s="707">
        <v>20223410</v>
      </c>
      <c r="H112" s="831"/>
    </row>
    <row r="113" spans="1:8">
      <c r="A113" s="465"/>
      <c r="B113" s="726" t="s">
        <v>1155</v>
      </c>
      <c r="C113" s="711">
        <v>11441000</v>
      </c>
      <c r="D113" s="712">
        <f>SUM(D114:D115)</f>
        <v>0</v>
      </c>
      <c r="E113" s="721"/>
      <c r="F113" s="718" t="s">
        <v>83</v>
      </c>
      <c r="G113" s="707">
        <v>20223420</v>
      </c>
      <c r="H113" s="831"/>
    </row>
    <row r="114" spans="1:8">
      <c r="A114" s="465"/>
      <c r="B114" s="728" t="s">
        <v>714</v>
      </c>
      <c r="C114" s="711">
        <v>11441100</v>
      </c>
      <c r="D114" s="826"/>
      <c r="E114" s="721"/>
      <c r="F114" s="709" t="s">
        <v>752</v>
      </c>
      <c r="G114" s="707">
        <v>20223500</v>
      </c>
      <c r="H114" s="706">
        <f>SUM(H115:H116)</f>
        <v>0</v>
      </c>
    </row>
    <row r="115" spans="1:8">
      <c r="A115" s="465"/>
      <c r="B115" s="728" t="s">
        <v>83</v>
      </c>
      <c r="C115" s="711">
        <v>11441200</v>
      </c>
      <c r="D115" s="826"/>
      <c r="E115" s="721"/>
      <c r="F115" s="718" t="s">
        <v>714</v>
      </c>
      <c r="G115" s="707">
        <v>20223510</v>
      </c>
      <c r="H115" s="831"/>
    </row>
    <row r="116" spans="1:8">
      <c r="A116" s="465"/>
      <c r="B116" s="726" t="s">
        <v>725</v>
      </c>
      <c r="C116" s="711">
        <v>11442000</v>
      </c>
      <c r="D116" s="712">
        <f>SUM(D117:D118)</f>
        <v>0</v>
      </c>
      <c r="E116" s="721"/>
      <c r="F116" s="718" t="s">
        <v>83</v>
      </c>
      <c r="G116" s="707">
        <v>20223520</v>
      </c>
      <c r="H116" s="831"/>
    </row>
    <row r="117" spans="1:8">
      <c r="A117" s="465"/>
      <c r="B117" s="728" t="s">
        <v>714</v>
      </c>
      <c r="C117" s="711">
        <v>11442100</v>
      </c>
      <c r="D117" s="826"/>
      <c r="E117" s="721"/>
      <c r="F117" s="709" t="s">
        <v>53</v>
      </c>
      <c r="G117" s="707">
        <v>20223600</v>
      </c>
      <c r="H117" s="706">
        <f>SUM(H118:H119)</f>
        <v>0</v>
      </c>
    </row>
    <row r="118" spans="1:8">
      <c r="A118" s="465"/>
      <c r="B118" s="728" t="s">
        <v>83</v>
      </c>
      <c r="C118" s="711">
        <v>11442200</v>
      </c>
      <c r="D118" s="826"/>
      <c r="E118" s="721"/>
      <c r="F118" s="718" t="s">
        <v>714</v>
      </c>
      <c r="G118" s="707">
        <v>20223610</v>
      </c>
      <c r="H118" s="831"/>
    </row>
    <row r="119" spans="1:8">
      <c r="A119" s="465"/>
      <c r="B119" s="726" t="s">
        <v>727</v>
      </c>
      <c r="C119" s="711">
        <v>11443000</v>
      </c>
      <c r="D119" s="712">
        <f>SUM(D120:D121)</f>
        <v>0</v>
      </c>
      <c r="E119" s="721"/>
      <c r="F119" s="718" t="s">
        <v>83</v>
      </c>
      <c r="G119" s="707">
        <v>20223620</v>
      </c>
      <c r="H119" s="831"/>
    </row>
    <row r="120" spans="1:8" ht="25.5">
      <c r="A120" s="465"/>
      <c r="B120" s="728" t="s">
        <v>714</v>
      </c>
      <c r="C120" s="711">
        <v>11443100</v>
      </c>
      <c r="D120" s="826"/>
      <c r="E120" s="14"/>
      <c r="F120" s="739" t="s">
        <v>753</v>
      </c>
      <c r="G120" s="742">
        <v>20224000</v>
      </c>
      <c r="H120" s="743">
        <f>SUM(H121:H122)</f>
        <v>0</v>
      </c>
    </row>
    <row r="121" spans="1:8">
      <c r="A121" s="465"/>
      <c r="B121" s="728" t="s">
        <v>83</v>
      </c>
      <c r="C121" s="711">
        <v>11443200</v>
      </c>
      <c r="D121" s="826"/>
      <c r="E121" s="721"/>
      <c r="F121" s="757" t="s">
        <v>754</v>
      </c>
      <c r="G121" s="740">
        <v>20224100</v>
      </c>
      <c r="H121" s="964"/>
    </row>
    <row r="122" spans="1:8" ht="24" customHeight="1">
      <c r="A122" s="714"/>
      <c r="B122" s="714" t="s">
        <v>757</v>
      </c>
      <c r="C122" s="744">
        <v>11500000</v>
      </c>
      <c r="D122" s="715">
        <f>SUM(D123:D125)</f>
        <v>0</v>
      </c>
      <c r="E122" s="721"/>
      <c r="F122" s="757" t="s">
        <v>755</v>
      </c>
      <c r="G122" s="740">
        <v>20224200</v>
      </c>
      <c r="H122" s="964"/>
    </row>
    <row r="123" spans="1:8">
      <c r="A123" s="465"/>
      <c r="B123" s="745" t="s">
        <v>738</v>
      </c>
      <c r="C123" s="729">
        <v>11510000</v>
      </c>
      <c r="D123" s="826"/>
      <c r="E123" s="721"/>
      <c r="F123" s="784" t="s">
        <v>758</v>
      </c>
      <c r="G123" s="785">
        <v>20230000</v>
      </c>
      <c r="H123" s="955">
        <f>SUM(H124,H127,H130)</f>
        <v>0</v>
      </c>
    </row>
    <row r="124" spans="1:8">
      <c r="A124" s="465"/>
      <c r="B124" s="745" t="s">
        <v>739</v>
      </c>
      <c r="C124" s="729">
        <v>11520000</v>
      </c>
      <c r="D124" s="826"/>
      <c r="E124" s="14"/>
      <c r="F124" s="455" t="s">
        <v>125</v>
      </c>
      <c r="G124" s="707">
        <v>20231000</v>
      </c>
      <c r="H124" s="706">
        <f>SUM(H125:H126)</f>
        <v>0</v>
      </c>
    </row>
    <row r="125" spans="1:8">
      <c r="A125" s="465"/>
      <c r="B125" s="745" t="s">
        <v>740</v>
      </c>
      <c r="C125" s="729">
        <v>11530000</v>
      </c>
      <c r="D125" s="826"/>
      <c r="E125" s="692"/>
      <c r="F125" s="480" t="s">
        <v>714</v>
      </c>
      <c r="G125" s="707">
        <v>20231100</v>
      </c>
      <c r="H125" s="831"/>
    </row>
    <row r="126" spans="1:8" ht="25.5">
      <c r="A126" s="731"/>
      <c r="B126" s="731" t="s">
        <v>759</v>
      </c>
      <c r="C126" s="746">
        <v>11600000</v>
      </c>
      <c r="D126" s="733">
        <f>SUM(D127,D134,D141,D148,-D155)</f>
        <v>0</v>
      </c>
      <c r="E126" s="692"/>
      <c r="F126" s="480" t="s">
        <v>83</v>
      </c>
      <c r="G126" s="707">
        <v>20231200</v>
      </c>
      <c r="H126" s="831"/>
    </row>
    <row r="127" spans="1:8" ht="25.5">
      <c r="A127" s="457"/>
      <c r="B127" s="455" t="s">
        <v>760</v>
      </c>
      <c r="C127" s="719">
        <v>11610000</v>
      </c>
      <c r="D127" s="717">
        <f>SUM(D128,D131)</f>
        <v>0</v>
      </c>
      <c r="E127" s="692"/>
      <c r="F127" s="455" t="s">
        <v>741</v>
      </c>
      <c r="G127" s="707">
        <v>20232000</v>
      </c>
      <c r="H127" s="706">
        <f>SUM(H128:H129)</f>
        <v>0</v>
      </c>
    </row>
    <row r="128" spans="1:8">
      <c r="A128" s="457"/>
      <c r="B128" s="480" t="s">
        <v>714</v>
      </c>
      <c r="C128" s="711">
        <v>11611000</v>
      </c>
      <c r="D128" s="712">
        <f>SUM(D129:D130)</f>
        <v>0</v>
      </c>
      <c r="E128" s="692"/>
      <c r="F128" s="480" t="s">
        <v>714</v>
      </c>
      <c r="G128" s="707">
        <v>20232100</v>
      </c>
      <c r="H128" s="831"/>
    </row>
    <row r="129" spans="1:8">
      <c r="A129" s="457"/>
      <c r="B129" s="709" t="s">
        <v>761</v>
      </c>
      <c r="C129" s="711">
        <v>11611100</v>
      </c>
      <c r="D129" s="826"/>
      <c r="E129" s="692"/>
      <c r="F129" s="480" t="s">
        <v>83</v>
      </c>
      <c r="G129" s="707">
        <v>20232200</v>
      </c>
      <c r="H129" s="831"/>
    </row>
    <row r="130" spans="1:8">
      <c r="A130" s="457"/>
      <c r="B130" s="709" t="s">
        <v>717</v>
      </c>
      <c r="C130" s="711">
        <v>11611200</v>
      </c>
      <c r="D130" s="826"/>
      <c r="E130" s="692"/>
      <c r="F130" s="455" t="s">
        <v>744</v>
      </c>
      <c r="G130" s="707">
        <v>20233000</v>
      </c>
      <c r="H130" s="710">
        <f>SUM(H131,H134,H137,H140,H143,H146)</f>
        <v>0</v>
      </c>
    </row>
    <row r="131" spans="1:8">
      <c r="A131" s="457"/>
      <c r="B131" s="480" t="s">
        <v>83</v>
      </c>
      <c r="C131" s="711">
        <v>11612000</v>
      </c>
      <c r="D131" s="712">
        <f>SUM(D132:D133)</f>
        <v>0</v>
      </c>
      <c r="E131" s="692"/>
      <c r="F131" s="480" t="s">
        <v>746</v>
      </c>
      <c r="G131" s="707">
        <v>20233100</v>
      </c>
      <c r="H131" s="706">
        <f>SUM(H132:H133)</f>
        <v>0</v>
      </c>
    </row>
    <row r="132" spans="1:8">
      <c r="A132" s="457"/>
      <c r="B132" s="709" t="s">
        <v>761</v>
      </c>
      <c r="C132" s="711">
        <v>11612100</v>
      </c>
      <c r="D132" s="826"/>
      <c r="E132" s="692"/>
      <c r="F132" s="709" t="s">
        <v>714</v>
      </c>
      <c r="G132" s="707">
        <v>20233110</v>
      </c>
      <c r="H132" s="831"/>
    </row>
    <row r="133" spans="1:8">
      <c r="A133" s="457"/>
      <c r="B133" s="709" t="s">
        <v>717</v>
      </c>
      <c r="C133" s="711">
        <v>11612200</v>
      </c>
      <c r="D133" s="826"/>
      <c r="E133" s="692"/>
      <c r="F133" s="709" t="s">
        <v>83</v>
      </c>
      <c r="G133" s="707">
        <v>20233120</v>
      </c>
      <c r="H133" s="831"/>
    </row>
    <row r="134" spans="1:8" ht="25.5">
      <c r="A134" s="457"/>
      <c r="B134" s="455" t="s">
        <v>763</v>
      </c>
      <c r="C134" s="719">
        <v>11620000</v>
      </c>
      <c r="D134" s="717">
        <f>SUM(D135,D138)</f>
        <v>0</v>
      </c>
      <c r="E134" s="692"/>
      <c r="F134" s="480" t="s">
        <v>748</v>
      </c>
      <c r="G134" s="707">
        <v>20233200</v>
      </c>
      <c r="H134" s="706">
        <f>SUM(H135:H136)</f>
        <v>0</v>
      </c>
    </row>
    <row r="135" spans="1:8">
      <c r="A135" s="457"/>
      <c r="B135" s="480" t="s">
        <v>714</v>
      </c>
      <c r="C135" s="711">
        <v>11621000</v>
      </c>
      <c r="D135" s="712">
        <f>SUM(D136:D137)</f>
        <v>0</v>
      </c>
      <c r="E135" s="692"/>
      <c r="F135" s="709" t="s">
        <v>714</v>
      </c>
      <c r="G135" s="707">
        <v>20233210</v>
      </c>
      <c r="H135" s="831"/>
    </row>
    <row r="136" spans="1:8">
      <c r="A136" s="457"/>
      <c r="B136" s="709" t="s">
        <v>761</v>
      </c>
      <c r="C136" s="711">
        <v>11621100</v>
      </c>
      <c r="D136" s="826"/>
      <c r="E136" s="692"/>
      <c r="F136" s="709" t="s">
        <v>83</v>
      </c>
      <c r="G136" s="707">
        <v>20233220</v>
      </c>
      <c r="H136" s="831"/>
    </row>
    <row r="137" spans="1:8">
      <c r="A137" s="457"/>
      <c r="B137" s="709" t="s">
        <v>717</v>
      </c>
      <c r="C137" s="711">
        <v>11621200</v>
      </c>
      <c r="D137" s="826"/>
      <c r="E137" s="692"/>
      <c r="F137" s="480" t="s">
        <v>750</v>
      </c>
      <c r="G137" s="707">
        <v>20233300</v>
      </c>
      <c r="H137" s="706">
        <f>SUM(H138:H139)</f>
        <v>0</v>
      </c>
    </row>
    <row r="138" spans="1:8">
      <c r="A138" s="457"/>
      <c r="B138" s="480" t="s">
        <v>83</v>
      </c>
      <c r="C138" s="711">
        <v>11622000</v>
      </c>
      <c r="D138" s="712">
        <f>SUM(D139:D140)</f>
        <v>0</v>
      </c>
      <c r="E138" s="692"/>
      <c r="F138" s="709" t="s">
        <v>714</v>
      </c>
      <c r="G138" s="707">
        <v>20233310</v>
      </c>
      <c r="H138" s="831"/>
    </row>
    <row r="139" spans="1:8">
      <c r="A139" s="457"/>
      <c r="B139" s="709" t="s">
        <v>761</v>
      </c>
      <c r="C139" s="711">
        <v>11622100</v>
      </c>
      <c r="D139" s="826"/>
      <c r="E139" s="692"/>
      <c r="F139" s="709" t="s">
        <v>83</v>
      </c>
      <c r="G139" s="707">
        <v>20233320</v>
      </c>
      <c r="H139" s="831"/>
    </row>
    <row r="140" spans="1:8">
      <c r="A140" s="457"/>
      <c r="B140" s="709" t="s">
        <v>717</v>
      </c>
      <c r="C140" s="711">
        <v>11622200</v>
      </c>
      <c r="D140" s="826"/>
      <c r="E140" s="692"/>
      <c r="F140" s="480" t="s">
        <v>751</v>
      </c>
      <c r="G140" s="707">
        <v>20233400</v>
      </c>
      <c r="H140" s="706">
        <f>SUM(H141:H142)</f>
        <v>0</v>
      </c>
    </row>
    <row r="141" spans="1:8" ht="25.5">
      <c r="A141" s="457"/>
      <c r="B141" s="455" t="s">
        <v>764</v>
      </c>
      <c r="C141" s="719">
        <v>11630000</v>
      </c>
      <c r="D141" s="717">
        <f>SUM(D142,D145)</f>
        <v>0</v>
      </c>
      <c r="E141" s="692"/>
      <c r="F141" s="709" t="s">
        <v>714</v>
      </c>
      <c r="G141" s="707">
        <v>20233410</v>
      </c>
      <c r="H141" s="831"/>
    </row>
    <row r="142" spans="1:8">
      <c r="A142" s="457"/>
      <c r="B142" s="480" t="s">
        <v>714</v>
      </c>
      <c r="C142" s="711">
        <v>11631000</v>
      </c>
      <c r="D142" s="712">
        <f>SUM(D143:D144)</f>
        <v>0</v>
      </c>
      <c r="E142" s="692"/>
      <c r="F142" s="709" t="s">
        <v>83</v>
      </c>
      <c r="G142" s="707">
        <v>20233420</v>
      </c>
      <c r="H142" s="831"/>
    </row>
    <row r="143" spans="1:8">
      <c r="A143" s="457"/>
      <c r="B143" s="709" t="s">
        <v>761</v>
      </c>
      <c r="C143" s="711">
        <v>11631100</v>
      </c>
      <c r="D143" s="826"/>
      <c r="E143" s="692"/>
      <c r="F143" s="480" t="s">
        <v>752</v>
      </c>
      <c r="G143" s="707">
        <v>20233500</v>
      </c>
      <c r="H143" s="706">
        <f>SUM(H144:H145)</f>
        <v>0</v>
      </c>
    </row>
    <row r="144" spans="1:8">
      <c r="A144" s="457"/>
      <c r="B144" s="709" t="s">
        <v>717</v>
      </c>
      <c r="C144" s="711">
        <v>11631200</v>
      </c>
      <c r="D144" s="826"/>
      <c r="E144" s="692"/>
      <c r="F144" s="709" t="s">
        <v>714</v>
      </c>
      <c r="G144" s="707">
        <v>20233510</v>
      </c>
      <c r="H144" s="831"/>
    </row>
    <row r="145" spans="1:9">
      <c r="A145" s="457"/>
      <c r="B145" s="480" t="s">
        <v>83</v>
      </c>
      <c r="C145" s="711">
        <v>11632000</v>
      </c>
      <c r="D145" s="712">
        <f>SUM(D146:D147)</f>
        <v>0</v>
      </c>
      <c r="E145" s="692"/>
      <c r="F145" s="709" t="s">
        <v>83</v>
      </c>
      <c r="G145" s="707">
        <v>20233520</v>
      </c>
      <c r="H145" s="831"/>
      <c r="I145" s="747"/>
    </row>
    <row r="146" spans="1:9">
      <c r="A146" s="457"/>
      <c r="B146" s="709" t="s">
        <v>761</v>
      </c>
      <c r="C146" s="711">
        <v>11632100</v>
      </c>
      <c r="D146" s="826"/>
      <c r="E146" s="692"/>
      <c r="F146" s="480" t="s">
        <v>53</v>
      </c>
      <c r="G146" s="707">
        <v>20233600</v>
      </c>
      <c r="H146" s="706">
        <f>SUM(H147:H148)</f>
        <v>0</v>
      </c>
    </row>
    <row r="147" spans="1:9">
      <c r="A147" s="457"/>
      <c r="B147" s="709" t="s">
        <v>717</v>
      </c>
      <c r="C147" s="711">
        <v>11632200</v>
      </c>
      <c r="D147" s="826"/>
      <c r="E147" s="692"/>
      <c r="F147" s="709" t="s">
        <v>714</v>
      </c>
      <c r="G147" s="707">
        <v>20233610</v>
      </c>
      <c r="H147" s="831"/>
      <c r="I147" s="747"/>
    </row>
    <row r="148" spans="1:9" ht="25.5">
      <c r="A148" s="457"/>
      <c r="B148" s="455" t="s">
        <v>765</v>
      </c>
      <c r="C148" s="719">
        <v>11640000</v>
      </c>
      <c r="D148" s="717">
        <f>SUM(D149,D152)</f>
        <v>0</v>
      </c>
      <c r="E148" s="692"/>
      <c r="F148" s="709" t="s">
        <v>83</v>
      </c>
      <c r="G148" s="707">
        <v>20233620</v>
      </c>
      <c r="H148" s="831"/>
    </row>
    <row r="149" spans="1:9" ht="25.5">
      <c r="A149" s="457"/>
      <c r="B149" s="480" t="s">
        <v>714</v>
      </c>
      <c r="C149" s="711">
        <v>11641000</v>
      </c>
      <c r="D149" s="712">
        <f>SUM(D150:D151)</f>
        <v>0</v>
      </c>
      <c r="E149" s="692"/>
      <c r="F149" s="699" t="s">
        <v>766</v>
      </c>
      <c r="G149" s="700">
        <v>20240000</v>
      </c>
      <c r="H149" s="701">
        <f>SUM(H150,H153,H156)</f>
        <v>0</v>
      </c>
    </row>
    <row r="150" spans="1:9">
      <c r="A150" s="457"/>
      <c r="B150" s="709" t="s">
        <v>761</v>
      </c>
      <c r="C150" s="711">
        <v>11641100</v>
      </c>
      <c r="D150" s="826"/>
      <c r="E150" s="692"/>
      <c r="F150" s="704" t="s">
        <v>125</v>
      </c>
      <c r="G150" s="748">
        <v>20241000</v>
      </c>
      <c r="H150" s="749">
        <f>SUM(H151:H152)</f>
        <v>0</v>
      </c>
    </row>
    <row r="151" spans="1:9">
      <c r="A151" s="457"/>
      <c r="B151" s="709" t="s">
        <v>717</v>
      </c>
      <c r="C151" s="711">
        <v>11641200</v>
      </c>
      <c r="D151" s="826"/>
      <c r="E151" s="692"/>
      <c r="F151" s="709" t="s">
        <v>714</v>
      </c>
      <c r="G151" s="707">
        <v>20241100</v>
      </c>
      <c r="H151" s="831"/>
    </row>
    <row r="152" spans="1:9">
      <c r="A152" s="457"/>
      <c r="B152" s="480" t="s">
        <v>83</v>
      </c>
      <c r="C152" s="711">
        <v>11642000</v>
      </c>
      <c r="D152" s="712">
        <f>SUM(D153:D154)</f>
        <v>0</v>
      </c>
      <c r="E152" s="692"/>
      <c r="F152" s="709" t="s">
        <v>83</v>
      </c>
      <c r="G152" s="707">
        <v>20241200</v>
      </c>
      <c r="H152" s="831"/>
    </row>
    <row r="153" spans="1:9">
      <c r="A153" s="457"/>
      <c r="B153" s="709" t="s">
        <v>761</v>
      </c>
      <c r="C153" s="711">
        <v>11642100</v>
      </c>
      <c r="D153" s="826"/>
      <c r="E153" s="734"/>
      <c r="F153" s="704" t="s">
        <v>741</v>
      </c>
      <c r="G153" s="748">
        <v>20242000</v>
      </c>
      <c r="H153" s="749">
        <f>SUM(H154:H155)</f>
        <v>0</v>
      </c>
    </row>
    <row r="154" spans="1:9">
      <c r="A154" s="457"/>
      <c r="B154" s="709" t="s">
        <v>717</v>
      </c>
      <c r="C154" s="711">
        <v>11642200</v>
      </c>
      <c r="D154" s="826"/>
      <c r="E154" s="692"/>
      <c r="F154" s="709" t="s">
        <v>714</v>
      </c>
      <c r="G154" s="707">
        <v>20242100</v>
      </c>
      <c r="H154" s="831"/>
    </row>
    <row r="155" spans="1:9" ht="25.5">
      <c r="A155" s="468"/>
      <c r="B155" s="722" t="s">
        <v>767</v>
      </c>
      <c r="C155" s="716">
        <v>11650000</v>
      </c>
      <c r="D155" s="946">
        <f>SUM(D156:D157)</f>
        <v>0</v>
      </c>
      <c r="E155" s="692"/>
      <c r="F155" s="709" t="s">
        <v>83</v>
      </c>
      <c r="G155" s="707">
        <v>20242200</v>
      </c>
      <c r="H155" s="831"/>
    </row>
    <row r="156" spans="1:9">
      <c r="A156" s="468"/>
      <c r="B156" s="745" t="s">
        <v>714</v>
      </c>
      <c r="C156" s="729">
        <v>11651000</v>
      </c>
      <c r="D156" s="945"/>
      <c r="E156" s="14"/>
      <c r="F156" s="704" t="s">
        <v>744</v>
      </c>
      <c r="G156" s="748">
        <v>20243000</v>
      </c>
      <c r="H156" s="750">
        <f>SUM(H157,H160,H163,H166,H169,H172)</f>
        <v>0</v>
      </c>
    </row>
    <row r="157" spans="1:9">
      <c r="A157" s="468"/>
      <c r="B157" s="745" t="s">
        <v>83</v>
      </c>
      <c r="C157" s="729">
        <v>11652000</v>
      </c>
      <c r="D157" s="945"/>
      <c r="E157" s="14"/>
      <c r="F157" s="709" t="s">
        <v>746</v>
      </c>
      <c r="G157" s="707">
        <v>20243100</v>
      </c>
      <c r="H157" s="706">
        <f>SUM(H158:H159)</f>
        <v>0</v>
      </c>
    </row>
    <row r="158" spans="1:9">
      <c r="A158" s="689"/>
      <c r="B158" s="689" t="s">
        <v>1169</v>
      </c>
      <c r="C158" s="751">
        <v>11700000</v>
      </c>
      <c r="D158" s="691">
        <f>SUM(D159,D221)</f>
        <v>0</v>
      </c>
      <c r="E158" s="14"/>
      <c r="F158" s="718" t="s">
        <v>714</v>
      </c>
      <c r="G158" s="707">
        <v>20243110</v>
      </c>
      <c r="H158" s="831"/>
    </row>
    <row r="159" spans="1:9">
      <c r="A159" s="731"/>
      <c r="B159" s="731" t="s">
        <v>747</v>
      </c>
      <c r="C159" s="746">
        <v>11710000</v>
      </c>
      <c r="D159" s="733">
        <f>SUM(D160,D169,D178,D187,D190,-D218)</f>
        <v>0</v>
      </c>
      <c r="E159" s="14"/>
      <c r="F159" s="718" t="s">
        <v>83</v>
      </c>
      <c r="G159" s="707">
        <v>20243120</v>
      </c>
      <c r="H159" s="831"/>
    </row>
    <row r="160" spans="1:9">
      <c r="A160" s="460"/>
      <c r="B160" s="752" t="s">
        <v>768</v>
      </c>
      <c r="C160" s="753">
        <v>11711000</v>
      </c>
      <c r="D160" s="708">
        <f>SUM(D161,D165)</f>
        <v>0</v>
      </c>
      <c r="E160" s="692"/>
      <c r="F160" s="709" t="s">
        <v>748</v>
      </c>
      <c r="G160" s="707">
        <v>20243200</v>
      </c>
      <c r="H160" s="706">
        <f>SUM(H161:H162)</f>
        <v>0</v>
      </c>
    </row>
    <row r="161" spans="1:9">
      <c r="A161" s="460"/>
      <c r="B161" s="541" t="s">
        <v>714</v>
      </c>
      <c r="C161" s="753">
        <v>11711100</v>
      </c>
      <c r="D161" s="712">
        <f>SUM(D162:D164)</f>
        <v>0</v>
      </c>
      <c r="E161" s="692"/>
      <c r="F161" s="718" t="s">
        <v>714</v>
      </c>
      <c r="G161" s="707">
        <v>20243210</v>
      </c>
      <c r="H161" s="831"/>
    </row>
    <row r="162" spans="1:9">
      <c r="A162" s="457"/>
      <c r="B162" s="480" t="s">
        <v>1165</v>
      </c>
      <c r="C162" s="753">
        <v>11711110</v>
      </c>
      <c r="D162" s="826"/>
      <c r="E162" s="692"/>
      <c r="F162" s="718" t="s">
        <v>83</v>
      </c>
      <c r="G162" s="707">
        <v>20243220</v>
      </c>
      <c r="H162" s="831"/>
      <c r="I162" s="747"/>
    </row>
    <row r="163" spans="1:9">
      <c r="A163" s="457"/>
      <c r="B163" s="480" t="s">
        <v>1166</v>
      </c>
      <c r="C163" s="753">
        <v>11711120</v>
      </c>
      <c r="D163" s="826"/>
      <c r="E163" s="692"/>
      <c r="F163" s="709" t="s">
        <v>750</v>
      </c>
      <c r="G163" s="707">
        <v>20243300</v>
      </c>
      <c r="H163" s="706">
        <f>SUM(H164:H165)</f>
        <v>0</v>
      </c>
    </row>
    <row r="164" spans="1:9">
      <c r="A164" s="457"/>
      <c r="B164" s="480" t="s">
        <v>1167</v>
      </c>
      <c r="C164" s="753">
        <v>11711130</v>
      </c>
      <c r="D164" s="826"/>
      <c r="E164" s="692"/>
      <c r="F164" s="718" t="s">
        <v>714</v>
      </c>
      <c r="G164" s="707">
        <v>20243310</v>
      </c>
      <c r="H164" s="831"/>
    </row>
    <row r="165" spans="1:9">
      <c r="A165" s="457"/>
      <c r="B165" s="480" t="s">
        <v>83</v>
      </c>
      <c r="C165" s="753">
        <v>11711200</v>
      </c>
      <c r="D165" s="712">
        <f>SUM(D166:D168)</f>
        <v>0</v>
      </c>
      <c r="E165" s="692"/>
      <c r="F165" s="718" t="s">
        <v>83</v>
      </c>
      <c r="G165" s="707">
        <v>20243320</v>
      </c>
      <c r="H165" s="831"/>
    </row>
    <row r="166" spans="1:9">
      <c r="A166" s="457"/>
      <c r="B166" s="480" t="s">
        <v>1168</v>
      </c>
      <c r="C166" s="753">
        <v>11711210</v>
      </c>
      <c r="D166" s="826"/>
      <c r="E166" s="692"/>
      <c r="F166" s="709" t="s">
        <v>751</v>
      </c>
      <c r="G166" s="707">
        <v>20243400</v>
      </c>
      <c r="H166" s="706">
        <f>SUM(H167:H168)</f>
        <v>0</v>
      </c>
    </row>
    <row r="167" spans="1:9">
      <c r="A167" s="457"/>
      <c r="B167" s="480" t="s">
        <v>1166</v>
      </c>
      <c r="C167" s="753">
        <v>11711220</v>
      </c>
      <c r="D167" s="826"/>
      <c r="E167" s="14"/>
      <c r="F167" s="718" t="s">
        <v>714</v>
      </c>
      <c r="G167" s="707">
        <v>20243410</v>
      </c>
      <c r="H167" s="831"/>
    </row>
    <row r="168" spans="1:9">
      <c r="A168" s="457"/>
      <c r="B168" s="480" t="s">
        <v>1167</v>
      </c>
      <c r="C168" s="753">
        <v>11711230</v>
      </c>
      <c r="D168" s="826"/>
      <c r="E168" s="14"/>
      <c r="F168" s="718" t="s">
        <v>83</v>
      </c>
      <c r="G168" s="707">
        <v>20243420</v>
      </c>
      <c r="H168" s="831"/>
    </row>
    <row r="169" spans="1:9">
      <c r="A169" s="460"/>
      <c r="B169" s="752" t="s">
        <v>772</v>
      </c>
      <c r="C169" s="753">
        <v>11712000</v>
      </c>
      <c r="D169" s="708">
        <f>SUM(D170,D174)</f>
        <v>0</v>
      </c>
      <c r="E169" s="692"/>
      <c r="F169" s="709" t="s">
        <v>752</v>
      </c>
      <c r="G169" s="707">
        <v>20243500</v>
      </c>
      <c r="H169" s="706">
        <f>SUM(H170:H171)</f>
        <v>0</v>
      </c>
    </row>
    <row r="170" spans="1:9">
      <c r="A170" s="460"/>
      <c r="B170" s="541" t="s">
        <v>714</v>
      </c>
      <c r="C170" s="753">
        <v>11712100</v>
      </c>
      <c r="D170" s="712">
        <f>SUM(D171:D173)</f>
        <v>0</v>
      </c>
      <c r="E170" s="692"/>
      <c r="F170" s="718" t="s">
        <v>714</v>
      </c>
      <c r="G170" s="707">
        <v>20243510</v>
      </c>
      <c r="H170" s="831"/>
    </row>
    <row r="171" spans="1:9">
      <c r="A171" s="457"/>
      <c r="B171" s="709" t="s">
        <v>769</v>
      </c>
      <c r="C171" s="753">
        <v>11712110</v>
      </c>
      <c r="D171" s="826"/>
      <c r="E171" s="692"/>
      <c r="F171" s="718" t="s">
        <v>83</v>
      </c>
      <c r="G171" s="707">
        <v>20243520</v>
      </c>
      <c r="H171" s="831"/>
    </row>
    <row r="172" spans="1:9">
      <c r="A172" s="457"/>
      <c r="B172" s="709" t="s">
        <v>770</v>
      </c>
      <c r="C172" s="753">
        <v>11712120</v>
      </c>
      <c r="D172" s="826"/>
      <c r="E172" s="692"/>
      <c r="F172" s="709" t="s">
        <v>53</v>
      </c>
      <c r="G172" s="707">
        <v>20243600</v>
      </c>
      <c r="H172" s="706">
        <f>SUM(H173:H174)</f>
        <v>0</v>
      </c>
    </row>
    <row r="173" spans="1:9">
      <c r="A173" s="457"/>
      <c r="B173" s="709" t="s">
        <v>771</v>
      </c>
      <c r="C173" s="753">
        <v>11712130</v>
      </c>
      <c r="D173" s="826"/>
      <c r="E173" s="692"/>
      <c r="F173" s="718" t="s">
        <v>714</v>
      </c>
      <c r="G173" s="707">
        <v>20243610</v>
      </c>
      <c r="H173" s="831"/>
    </row>
    <row r="174" spans="1:9">
      <c r="A174" s="457"/>
      <c r="B174" s="480" t="s">
        <v>83</v>
      </c>
      <c r="C174" s="753">
        <v>11712200</v>
      </c>
      <c r="D174" s="712">
        <f>SUM(D175:D177)</f>
        <v>0</v>
      </c>
      <c r="E174" s="692"/>
      <c r="F174" s="718" t="s">
        <v>83</v>
      </c>
      <c r="G174" s="707">
        <v>20243620</v>
      </c>
      <c r="H174" s="831"/>
    </row>
    <row r="175" spans="1:9">
      <c r="A175" s="457"/>
      <c r="B175" s="709" t="s">
        <v>769</v>
      </c>
      <c r="C175" s="753">
        <v>11712210</v>
      </c>
      <c r="D175" s="826"/>
      <c r="E175" s="692"/>
      <c r="F175" s="693" t="s">
        <v>1448</v>
      </c>
      <c r="G175" s="694">
        <v>20300000</v>
      </c>
      <c r="H175" s="695">
        <f>SUM(H176,H198,H220,H243,-H269,H282)</f>
        <v>0</v>
      </c>
    </row>
    <row r="176" spans="1:9">
      <c r="A176" s="457"/>
      <c r="B176" s="709" t="s">
        <v>770</v>
      </c>
      <c r="C176" s="753">
        <v>11712220</v>
      </c>
      <c r="D176" s="826"/>
      <c r="E176" s="14"/>
      <c r="F176" s="699" t="s">
        <v>775</v>
      </c>
      <c r="G176" s="700">
        <v>20310000</v>
      </c>
      <c r="H176" s="701">
        <f>SUM(H177,H184,H191)</f>
        <v>0</v>
      </c>
    </row>
    <row r="177" spans="1:8">
      <c r="A177" s="457"/>
      <c r="B177" s="709" t="s">
        <v>771</v>
      </c>
      <c r="C177" s="753">
        <v>11712230</v>
      </c>
      <c r="D177" s="826"/>
      <c r="E177" s="14"/>
      <c r="F177" s="704" t="s">
        <v>776</v>
      </c>
      <c r="G177" s="748">
        <v>20311000</v>
      </c>
      <c r="H177" s="749">
        <f>SUM(H178,H181)</f>
        <v>0</v>
      </c>
    </row>
    <row r="178" spans="1:8">
      <c r="A178" s="460"/>
      <c r="B178" s="752" t="s">
        <v>774</v>
      </c>
      <c r="C178" s="753">
        <v>11713000</v>
      </c>
      <c r="D178" s="708">
        <f>SUM(D179,D183)</f>
        <v>0</v>
      </c>
      <c r="E178" s="692"/>
      <c r="F178" s="709" t="s">
        <v>714</v>
      </c>
      <c r="G178" s="707">
        <v>20311100</v>
      </c>
      <c r="H178" s="710">
        <f>SUM(H179:H180)</f>
        <v>0</v>
      </c>
    </row>
    <row r="179" spans="1:8">
      <c r="A179" s="460"/>
      <c r="B179" s="541" t="s">
        <v>714</v>
      </c>
      <c r="C179" s="753">
        <v>11713100</v>
      </c>
      <c r="D179" s="712">
        <f>SUM(D180:D182)</f>
        <v>0</v>
      </c>
      <c r="E179" s="692"/>
      <c r="F179" s="718" t="s">
        <v>716</v>
      </c>
      <c r="G179" s="707">
        <v>20311110</v>
      </c>
      <c r="H179" s="831"/>
    </row>
    <row r="180" spans="1:8">
      <c r="A180" s="457"/>
      <c r="B180" s="709" t="s">
        <v>769</v>
      </c>
      <c r="C180" s="753">
        <v>11713110</v>
      </c>
      <c r="D180" s="826"/>
      <c r="E180" s="692"/>
      <c r="F180" s="718" t="s">
        <v>717</v>
      </c>
      <c r="G180" s="707">
        <v>20311120</v>
      </c>
      <c r="H180" s="831"/>
    </row>
    <row r="181" spans="1:8">
      <c r="A181" s="457"/>
      <c r="B181" s="709" t="s">
        <v>770</v>
      </c>
      <c r="C181" s="753">
        <v>11713120</v>
      </c>
      <c r="D181" s="826"/>
      <c r="E181" s="692"/>
      <c r="F181" s="709" t="s">
        <v>83</v>
      </c>
      <c r="G181" s="707">
        <v>20311200</v>
      </c>
      <c r="H181" s="710">
        <f>SUM(H182:H183)</f>
        <v>0</v>
      </c>
    </row>
    <row r="182" spans="1:8">
      <c r="A182" s="457"/>
      <c r="B182" s="709" t="s">
        <v>771</v>
      </c>
      <c r="C182" s="753">
        <v>11713130</v>
      </c>
      <c r="D182" s="826"/>
      <c r="E182" s="692"/>
      <c r="F182" s="718" t="s">
        <v>716</v>
      </c>
      <c r="G182" s="707">
        <v>20311210</v>
      </c>
      <c r="H182" s="831"/>
    </row>
    <row r="183" spans="1:8">
      <c r="A183" s="457"/>
      <c r="B183" s="480" t="s">
        <v>83</v>
      </c>
      <c r="C183" s="753">
        <v>11713200</v>
      </c>
      <c r="D183" s="712">
        <f>SUM(D184:D186)</f>
        <v>0</v>
      </c>
      <c r="E183" s="692"/>
      <c r="F183" s="718" t="s">
        <v>717</v>
      </c>
      <c r="G183" s="707">
        <v>20311220</v>
      </c>
      <c r="H183" s="831"/>
    </row>
    <row r="184" spans="1:8">
      <c r="A184" s="457"/>
      <c r="B184" s="709" t="s">
        <v>769</v>
      </c>
      <c r="C184" s="753">
        <v>11713210</v>
      </c>
      <c r="D184" s="826"/>
      <c r="E184" s="692"/>
      <c r="F184" s="704" t="s">
        <v>777</v>
      </c>
      <c r="G184" s="748">
        <v>20312000</v>
      </c>
      <c r="H184" s="749">
        <f>SUM(H185,H188)</f>
        <v>0</v>
      </c>
    </row>
    <row r="185" spans="1:8">
      <c r="A185" s="457"/>
      <c r="B185" s="709" t="s">
        <v>770</v>
      </c>
      <c r="C185" s="753">
        <v>11713220</v>
      </c>
      <c r="D185" s="826"/>
      <c r="E185" s="734"/>
      <c r="F185" s="709" t="s">
        <v>714</v>
      </c>
      <c r="G185" s="707">
        <v>20312100</v>
      </c>
      <c r="H185" s="710">
        <f>SUM(H186:H187)</f>
        <v>0</v>
      </c>
    </row>
    <row r="186" spans="1:8">
      <c r="A186" s="457"/>
      <c r="B186" s="709" t="s">
        <v>771</v>
      </c>
      <c r="C186" s="753">
        <v>11713230</v>
      </c>
      <c r="D186" s="826"/>
      <c r="E186" s="734"/>
      <c r="F186" s="718" t="s">
        <v>716</v>
      </c>
      <c r="G186" s="707">
        <v>20312110</v>
      </c>
      <c r="H186" s="831"/>
    </row>
    <row r="187" spans="1:8" ht="25.5">
      <c r="A187" s="468"/>
      <c r="B187" s="947" t="s">
        <v>778</v>
      </c>
      <c r="C187" s="729">
        <v>11714000</v>
      </c>
      <c r="D187" s="730">
        <f>+D188-D189</f>
        <v>0</v>
      </c>
      <c r="E187" s="734"/>
      <c r="F187" s="718" t="s">
        <v>717</v>
      </c>
      <c r="G187" s="707">
        <v>20312120</v>
      </c>
      <c r="H187" s="831"/>
    </row>
    <row r="188" spans="1:8">
      <c r="A188" s="468"/>
      <c r="B188" s="745" t="s">
        <v>779</v>
      </c>
      <c r="C188" s="729">
        <v>11714100</v>
      </c>
      <c r="D188" s="945"/>
      <c r="E188" s="692"/>
      <c r="F188" s="709" t="s">
        <v>83</v>
      </c>
      <c r="G188" s="707">
        <v>20312200</v>
      </c>
      <c r="H188" s="710">
        <f>SUM(H189:H190)</f>
        <v>0</v>
      </c>
    </row>
    <row r="189" spans="1:8">
      <c r="A189" s="468"/>
      <c r="B189" s="745" t="s">
        <v>780</v>
      </c>
      <c r="C189" s="948">
        <v>11714200</v>
      </c>
      <c r="D189" s="945"/>
      <c r="E189" s="14"/>
      <c r="F189" s="718" t="s">
        <v>716</v>
      </c>
      <c r="G189" s="707">
        <v>20312210</v>
      </c>
      <c r="H189" s="831"/>
    </row>
    <row r="190" spans="1:8">
      <c r="A190" s="457"/>
      <c r="B190" s="754" t="s">
        <v>781</v>
      </c>
      <c r="C190" s="753">
        <v>11720000</v>
      </c>
      <c r="D190" s="755">
        <f>SUM(D191,D200,D209)</f>
        <v>0</v>
      </c>
      <c r="E190" s="14"/>
      <c r="F190" s="718" t="s">
        <v>717</v>
      </c>
      <c r="G190" s="707">
        <v>20312220</v>
      </c>
      <c r="H190" s="831"/>
    </row>
    <row r="191" spans="1:8">
      <c r="A191" s="460"/>
      <c r="B191" s="541" t="s">
        <v>768</v>
      </c>
      <c r="C191" s="753">
        <v>11721000</v>
      </c>
      <c r="D191" s="708">
        <f>SUM(D192,D196)</f>
        <v>0</v>
      </c>
      <c r="E191" s="692"/>
      <c r="F191" s="723" t="s">
        <v>782</v>
      </c>
      <c r="G191" s="724">
        <v>20313000</v>
      </c>
      <c r="H191" s="956">
        <f>SUM(H192,-H195)</f>
        <v>0</v>
      </c>
    </row>
    <row r="192" spans="1:8">
      <c r="A192" s="460"/>
      <c r="B192" s="756" t="s">
        <v>714</v>
      </c>
      <c r="C192" s="753">
        <v>11721100</v>
      </c>
      <c r="D192" s="712">
        <f>SUM(D193:D195)</f>
        <v>0</v>
      </c>
      <c r="E192" s="692"/>
      <c r="F192" s="726" t="s">
        <v>783</v>
      </c>
      <c r="G192" s="786">
        <v>20313100</v>
      </c>
      <c r="H192" s="957">
        <f>SUM(H193:H194)</f>
        <v>0</v>
      </c>
    </row>
    <row r="193" spans="1:8">
      <c r="A193" s="457"/>
      <c r="B193" s="718" t="s">
        <v>769</v>
      </c>
      <c r="C193" s="753">
        <v>11721110</v>
      </c>
      <c r="D193" s="826"/>
      <c r="E193" s="692"/>
      <c r="F193" s="718" t="s">
        <v>784</v>
      </c>
      <c r="G193" s="707">
        <v>20313110</v>
      </c>
      <c r="H193" s="831"/>
    </row>
    <row r="194" spans="1:8">
      <c r="A194" s="457"/>
      <c r="B194" s="718" t="s">
        <v>770</v>
      </c>
      <c r="C194" s="753">
        <v>11721120</v>
      </c>
      <c r="D194" s="826"/>
      <c r="E194" s="692"/>
      <c r="F194" s="718" t="s">
        <v>785</v>
      </c>
      <c r="G194" s="707">
        <v>20313120</v>
      </c>
      <c r="H194" s="831"/>
    </row>
    <row r="195" spans="1:8">
      <c r="A195" s="457"/>
      <c r="B195" s="718" t="s">
        <v>771</v>
      </c>
      <c r="C195" s="753">
        <v>11721130</v>
      </c>
      <c r="D195" s="826"/>
      <c r="E195" s="692"/>
      <c r="F195" s="726" t="s">
        <v>786</v>
      </c>
      <c r="G195" s="786">
        <v>20313200</v>
      </c>
      <c r="H195" s="957">
        <f>SUM(H196:H197)</f>
        <v>0</v>
      </c>
    </row>
    <row r="196" spans="1:8">
      <c r="A196" s="457"/>
      <c r="B196" s="709" t="s">
        <v>83</v>
      </c>
      <c r="C196" s="753">
        <v>11721200</v>
      </c>
      <c r="D196" s="712">
        <f>SUM(D197:D199)</f>
        <v>0</v>
      </c>
      <c r="E196" s="692"/>
      <c r="F196" s="718" t="s">
        <v>784</v>
      </c>
      <c r="G196" s="707">
        <v>20313210</v>
      </c>
      <c r="H196" s="831"/>
    </row>
    <row r="197" spans="1:8">
      <c r="A197" s="457"/>
      <c r="B197" s="718" t="s">
        <v>769</v>
      </c>
      <c r="C197" s="753">
        <v>11721210</v>
      </c>
      <c r="D197" s="826"/>
      <c r="E197" s="692"/>
      <c r="F197" s="718" t="s">
        <v>785</v>
      </c>
      <c r="G197" s="707">
        <v>20313220</v>
      </c>
      <c r="H197" s="831"/>
    </row>
    <row r="198" spans="1:8">
      <c r="A198" s="457"/>
      <c r="B198" s="718" t="s">
        <v>770</v>
      </c>
      <c r="C198" s="753">
        <v>11721220</v>
      </c>
      <c r="D198" s="826"/>
      <c r="E198" s="14"/>
      <c r="F198" s="699" t="s">
        <v>787</v>
      </c>
      <c r="G198" s="700">
        <v>20320000</v>
      </c>
      <c r="H198" s="701">
        <f>SUM(H199,H206,H213)</f>
        <v>0</v>
      </c>
    </row>
    <row r="199" spans="1:8">
      <c r="A199" s="457"/>
      <c r="B199" s="718" t="s">
        <v>771</v>
      </c>
      <c r="C199" s="753">
        <v>11721230</v>
      </c>
      <c r="D199" s="826"/>
      <c r="E199" s="14"/>
      <c r="F199" s="704" t="s">
        <v>776</v>
      </c>
      <c r="G199" s="748">
        <v>20321000</v>
      </c>
      <c r="H199" s="749">
        <f>SUM(H200,H203)</f>
        <v>0</v>
      </c>
    </row>
    <row r="200" spans="1:8">
      <c r="A200" s="460"/>
      <c r="B200" s="541" t="s">
        <v>772</v>
      </c>
      <c r="C200" s="753">
        <v>11722000</v>
      </c>
      <c r="D200" s="708">
        <f>SUM(D201,D205)</f>
        <v>0</v>
      </c>
      <c r="E200" s="692"/>
      <c r="F200" s="709" t="s">
        <v>714</v>
      </c>
      <c r="G200" s="707">
        <v>20321100</v>
      </c>
      <c r="H200" s="710">
        <f>SUM(H201:H202)</f>
        <v>0</v>
      </c>
    </row>
    <row r="201" spans="1:8">
      <c r="A201" s="460"/>
      <c r="B201" s="756" t="s">
        <v>714</v>
      </c>
      <c r="C201" s="753">
        <v>11722100</v>
      </c>
      <c r="D201" s="712">
        <f>SUM(D202:D204)</f>
        <v>0</v>
      </c>
      <c r="E201" s="692"/>
      <c r="F201" s="718" t="s">
        <v>716</v>
      </c>
      <c r="G201" s="707">
        <v>20321110</v>
      </c>
      <c r="H201" s="831"/>
    </row>
    <row r="202" spans="1:8">
      <c r="A202" s="457"/>
      <c r="B202" s="718" t="s">
        <v>769</v>
      </c>
      <c r="C202" s="753">
        <v>11722110</v>
      </c>
      <c r="D202" s="826"/>
      <c r="E202" s="692"/>
      <c r="F202" s="718" t="s">
        <v>717</v>
      </c>
      <c r="G202" s="707">
        <v>20321120</v>
      </c>
      <c r="H202" s="831"/>
    </row>
    <row r="203" spans="1:8">
      <c r="A203" s="457"/>
      <c r="B203" s="718" t="s">
        <v>770</v>
      </c>
      <c r="C203" s="753">
        <v>11722120</v>
      </c>
      <c r="D203" s="826"/>
      <c r="E203" s="692"/>
      <c r="F203" s="709" t="s">
        <v>83</v>
      </c>
      <c r="G203" s="707">
        <v>20321200</v>
      </c>
      <c r="H203" s="710">
        <f>SUM(H204:H205)</f>
        <v>0</v>
      </c>
    </row>
    <row r="204" spans="1:8">
      <c r="A204" s="457"/>
      <c r="B204" s="718" t="s">
        <v>771</v>
      </c>
      <c r="C204" s="753">
        <v>11722130</v>
      </c>
      <c r="D204" s="826"/>
      <c r="E204" s="692"/>
      <c r="F204" s="718" t="s">
        <v>716</v>
      </c>
      <c r="G204" s="707">
        <v>20321210</v>
      </c>
      <c r="H204" s="831"/>
    </row>
    <row r="205" spans="1:8">
      <c r="A205" s="457"/>
      <c r="B205" s="709" t="s">
        <v>83</v>
      </c>
      <c r="C205" s="753">
        <v>11722200</v>
      </c>
      <c r="D205" s="712">
        <f>SUM(D206:D208)</f>
        <v>0</v>
      </c>
      <c r="E205" s="692"/>
      <c r="F205" s="718" t="s">
        <v>717</v>
      </c>
      <c r="G205" s="707">
        <v>20321220</v>
      </c>
      <c r="H205" s="831"/>
    </row>
    <row r="206" spans="1:8">
      <c r="A206" s="457"/>
      <c r="B206" s="718" t="s">
        <v>769</v>
      </c>
      <c r="C206" s="753">
        <v>11722210</v>
      </c>
      <c r="D206" s="826"/>
      <c r="E206" s="692"/>
      <c r="F206" s="704" t="s">
        <v>777</v>
      </c>
      <c r="G206" s="748">
        <v>20322000</v>
      </c>
      <c r="H206" s="749">
        <f>SUM(H207,H210)</f>
        <v>0</v>
      </c>
    </row>
    <row r="207" spans="1:8">
      <c r="A207" s="457"/>
      <c r="B207" s="718" t="s">
        <v>770</v>
      </c>
      <c r="C207" s="753">
        <v>11722220</v>
      </c>
      <c r="D207" s="826"/>
      <c r="E207" s="14"/>
      <c r="F207" s="709" t="s">
        <v>714</v>
      </c>
      <c r="G207" s="707">
        <v>20322100</v>
      </c>
      <c r="H207" s="710">
        <f>SUM(H208:H209)</f>
        <v>0</v>
      </c>
    </row>
    <row r="208" spans="1:8">
      <c r="A208" s="457"/>
      <c r="B208" s="718" t="s">
        <v>771</v>
      </c>
      <c r="C208" s="753">
        <v>11722230</v>
      </c>
      <c r="D208" s="826"/>
      <c r="E208" s="14"/>
      <c r="F208" s="718" t="s">
        <v>716</v>
      </c>
      <c r="G208" s="707">
        <v>20322110</v>
      </c>
      <c r="H208" s="831"/>
    </row>
    <row r="209" spans="1:8">
      <c r="A209" s="460"/>
      <c r="B209" s="541" t="s">
        <v>774</v>
      </c>
      <c r="C209" s="753">
        <v>11723000</v>
      </c>
      <c r="D209" s="708">
        <f>SUM(D210,D214)</f>
        <v>0</v>
      </c>
      <c r="E209" s="692"/>
      <c r="F209" s="718" t="s">
        <v>717</v>
      </c>
      <c r="G209" s="707">
        <v>20322120</v>
      </c>
      <c r="H209" s="831"/>
    </row>
    <row r="210" spans="1:8">
      <c r="A210" s="460"/>
      <c r="B210" s="756" t="s">
        <v>714</v>
      </c>
      <c r="C210" s="753">
        <v>11723100</v>
      </c>
      <c r="D210" s="712">
        <f>SUM(D211:D213)</f>
        <v>0</v>
      </c>
      <c r="E210" s="692"/>
      <c r="F210" s="709" t="s">
        <v>83</v>
      </c>
      <c r="G210" s="707">
        <v>20322200</v>
      </c>
      <c r="H210" s="710">
        <f>SUM(H211:H212)</f>
        <v>0</v>
      </c>
    </row>
    <row r="211" spans="1:8">
      <c r="A211" s="457"/>
      <c r="B211" s="718" t="s">
        <v>769</v>
      </c>
      <c r="C211" s="753">
        <v>11723110</v>
      </c>
      <c r="D211" s="826"/>
      <c r="E211" s="692"/>
      <c r="F211" s="718" t="s">
        <v>716</v>
      </c>
      <c r="G211" s="707">
        <v>20322210</v>
      </c>
      <c r="H211" s="831"/>
    </row>
    <row r="212" spans="1:8">
      <c r="A212" s="457"/>
      <c r="B212" s="718" t="s">
        <v>770</v>
      </c>
      <c r="C212" s="753">
        <v>11723120</v>
      </c>
      <c r="D212" s="826"/>
      <c r="E212" s="692"/>
      <c r="F212" s="718" t="s">
        <v>717</v>
      </c>
      <c r="G212" s="707">
        <v>20322220</v>
      </c>
      <c r="H212" s="831"/>
    </row>
    <row r="213" spans="1:8">
      <c r="A213" s="457"/>
      <c r="B213" s="718" t="s">
        <v>771</v>
      </c>
      <c r="C213" s="753">
        <v>11723130</v>
      </c>
      <c r="D213" s="826"/>
      <c r="E213" s="692"/>
      <c r="F213" s="723" t="s">
        <v>782</v>
      </c>
      <c r="G213" s="724">
        <v>20323000</v>
      </c>
      <c r="H213" s="956">
        <f>SUM(H214,-H217)</f>
        <v>0</v>
      </c>
    </row>
    <row r="214" spans="1:8">
      <c r="A214" s="457"/>
      <c r="B214" s="709" t="s">
        <v>83</v>
      </c>
      <c r="C214" s="753">
        <v>11723200</v>
      </c>
      <c r="D214" s="712">
        <f>SUM(D215:D217)</f>
        <v>0</v>
      </c>
      <c r="E214" s="692"/>
      <c r="F214" s="726" t="s">
        <v>783</v>
      </c>
      <c r="G214" s="786">
        <v>20323100</v>
      </c>
      <c r="H214" s="957">
        <f>SUM(H215:H216)</f>
        <v>0</v>
      </c>
    </row>
    <row r="215" spans="1:8">
      <c r="A215" s="457"/>
      <c r="B215" s="718" t="s">
        <v>769</v>
      </c>
      <c r="C215" s="753">
        <v>11723210</v>
      </c>
      <c r="D215" s="826"/>
      <c r="E215" s="692"/>
      <c r="F215" s="718" t="s">
        <v>784</v>
      </c>
      <c r="G215" s="707">
        <v>20323110</v>
      </c>
      <c r="H215" s="831"/>
    </row>
    <row r="216" spans="1:8">
      <c r="A216" s="457"/>
      <c r="B216" s="718" t="s">
        <v>770</v>
      </c>
      <c r="C216" s="753">
        <v>11723220</v>
      </c>
      <c r="D216" s="826"/>
      <c r="E216" s="734"/>
      <c r="F216" s="718" t="s">
        <v>785</v>
      </c>
      <c r="G216" s="707">
        <v>20323120</v>
      </c>
      <c r="H216" s="831"/>
    </row>
    <row r="217" spans="1:8">
      <c r="A217" s="457"/>
      <c r="B217" s="718" t="s">
        <v>771</v>
      </c>
      <c r="C217" s="753">
        <v>11723230</v>
      </c>
      <c r="D217" s="826"/>
      <c r="E217" s="692"/>
      <c r="F217" s="726" t="s">
        <v>786</v>
      </c>
      <c r="G217" s="786">
        <v>20323200</v>
      </c>
      <c r="H217" s="957">
        <f>SUM(H218:H219)</f>
        <v>0</v>
      </c>
    </row>
    <row r="218" spans="1:8">
      <c r="A218" s="468"/>
      <c r="B218" s="947" t="s">
        <v>788</v>
      </c>
      <c r="C218" s="948">
        <v>11724000</v>
      </c>
      <c r="D218" s="730">
        <f>SUM(D219:D220)</f>
        <v>0</v>
      </c>
      <c r="E218" s="692"/>
      <c r="F218" s="718" t="s">
        <v>784</v>
      </c>
      <c r="G218" s="707">
        <v>20323210</v>
      </c>
      <c r="H218" s="831"/>
    </row>
    <row r="219" spans="1:8">
      <c r="A219" s="457"/>
      <c r="B219" s="745" t="s">
        <v>714</v>
      </c>
      <c r="C219" s="729">
        <v>11724100</v>
      </c>
      <c r="D219" s="945"/>
      <c r="E219" s="692"/>
      <c r="F219" s="718" t="s">
        <v>785</v>
      </c>
      <c r="G219" s="707">
        <v>20323220</v>
      </c>
      <c r="H219" s="831"/>
    </row>
    <row r="220" spans="1:8">
      <c r="A220" s="457"/>
      <c r="B220" s="745" t="s">
        <v>83</v>
      </c>
      <c r="C220" s="729">
        <v>11724200</v>
      </c>
      <c r="D220" s="945"/>
      <c r="E220" s="692"/>
      <c r="F220" s="699" t="s">
        <v>790</v>
      </c>
      <c r="G220" s="700">
        <v>20330000</v>
      </c>
      <c r="H220" s="701">
        <f>SUM(H221,H228,H231,H234,H237,-H240)</f>
        <v>0</v>
      </c>
    </row>
    <row r="221" spans="1:8">
      <c r="A221" s="731"/>
      <c r="B221" s="731" t="s">
        <v>257</v>
      </c>
      <c r="C221" s="746">
        <v>11730000</v>
      </c>
      <c r="D221" s="733">
        <f>SUM(D222,D305,D451,D585,D668)</f>
        <v>0</v>
      </c>
      <c r="E221" s="692"/>
      <c r="F221" s="704" t="s">
        <v>792</v>
      </c>
      <c r="G221" s="758">
        <v>20331000</v>
      </c>
      <c r="H221" s="749">
        <f>SUM(H222,H225)</f>
        <v>0</v>
      </c>
    </row>
    <row r="222" spans="1:8">
      <c r="A222" s="457"/>
      <c r="B222" s="455" t="s">
        <v>789</v>
      </c>
      <c r="C222" s="711">
        <v>11731000</v>
      </c>
      <c r="D222" s="755">
        <f>SUM(D223:D225,D232,D239:D240,D247,D254)</f>
        <v>0</v>
      </c>
      <c r="E222" s="692"/>
      <c r="F222" s="709" t="s">
        <v>794</v>
      </c>
      <c r="G222" s="707">
        <v>20331100</v>
      </c>
      <c r="H222" s="710">
        <f>SUM(H223:H224)</f>
        <v>0</v>
      </c>
    </row>
    <row r="223" spans="1:8">
      <c r="A223" s="457"/>
      <c r="B223" s="480" t="s">
        <v>791</v>
      </c>
      <c r="C223" s="711">
        <v>11731100</v>
      </c>
      <c r="D223" s="826"/>
      <c r="E223" s="692"/>
      <c r="F223" s="718" t="s">
        <v>714</v>
      </c>
      <c r="G223" s="707">
        <v>20331110</v>
      </c>
      <c r="H223" s="831"/>
    </row>
    <row r="224" spans="1:8">
      <c r="A224" s="457"/>
      <c r="B224" s="480" t="s">
        <v>793</v>
      </c>
      <c r="C224" s="711">
        <v>11731200</v>
      </c>
      <c r="D224" s="826"/>
      <c r="E224" s="692"/>
      <c r="F224" s="718" t="s">
        <v>83</v>
      </c>
      <c r="G224" s="707">
        <v>20331120</v>
      </c>
      <c r="H224" s="831"/>
    </row>
    <row r="225" spans="1:8">
      <c r="A225" s="457"/>
      <c r="B225" s="480" t="s">
        <v>795</v>
      </c>
      <c r="C225" s="711">
        <v>11731300</v>
      </c>
      <c r="D225" s="712">
        <f>SUM(D226,D229)</f>
        <v>0</v>
      </c>
      <c r="E225" s="692"/>
      <c r="F225" s="709" t="s">
        <v>798</v>
      </c>
      <c r="G225" s="707">
        <v>20331200</v>
      </c>
      <c r="H225" s="710">
        <f>SUM(H226:H227)</f>
        <v>0</v>
      </c>
    </row>
    <row r="226" spans="1:8">
      <c r="A226" s="457"/>
      <c r="B226" s="709" t="s">
        <v>796</v>
      </c>
      <c r="C226" s="729">
        <v>11731310</v>
      </c>
      <c r="D226" s="712">
        <f>SUM(D227:D228)</f>
        <v>0</v>
      </c>
      <c r="E226" s="692"/>
      <c r="F226" s="718" t="s">
        <v>714</v>
      </c>
      <c r="G226" s="707">
        <v>20331210</v>
      </c>
      <c r="H226" s="831"/>
    </row>
    <row r="227" spans="1:8">
      <c r="A227" s="457"/>
      <c r="B227" s="718" t="s">
        <v>797</v>
      </c>
      <c r="C227" s="729">
        <v>11731311</v>
      </c>
      <c r="D227" s="826"/>
      <c r="E227" s="692"/>
      <c r="F227" s="718" t="s">
        <v>83</v>
      </c>
      <c r="G227" s="707">
        <v>20331220</v>
      </c>
      <c r="H227" s="831"/>
    </row>
    <row r="228" spans="1:8">
      <c r="A228" s="457"/>
      <c r="B228" s="718" t="s">
        <v>53</v>
      </c>
      <c r="C228" s="729">
        <v>11731312</v>
      </c>
      <c r="D228" s="826"/>
      <c r="E228" s="692"/>
      <c r="F228" s="704" t="s">
        <v>800</v>
      </c>
      <c r="G228" s="758">
        <v>20332000</v>
      </c>
      <c r="H228" s="750">
        <f>SUM(H229:H230)</f>
        <v>0</v>
      </c>
    </row>
    <row r="229" spans="1:8">
      <c r="A229" s="457"/>
      <c r="B229" s="709" t="s">
        <v>799</v>
      </c>
      <c r="C229" s="729">
        <v>11731320</v>
      </c>
      <c r="D229" s="712">
        <f>SUM(D230:D231)</f>
        <v>0</v>
      </c>
      <c r="E229" s="692"/>
      <c r="F229" s="709" t="s">
        <v>714</v>
      </c>
      <c r="G229" s="707">
        <v>20332100</v>
      </c>
      <c r="H229" s="831"/>
    </row>
    <row r="230" spans="1:8">
      <c r="A230" s="457"/>
      <c r="B230" s="718" t="s">
        <v>52</v>
      </c>
      <c r="C230" s="729">
        <v>11731321</v>
      </c>
      <c r="D230" s="826"/>
      <c r="E230" s="692"/>
      <c r="F230" s="709" t="s">
        <v>83</v>
      </c>
      <c r="G230" s="707">
        <v>20332200</v>
      </c>
      <c r="H230" s="831"/>
    </row>
    <row r="231" spans="1:8">
      <c r="A231" s="457"/>
      <c r="B231" s="718" t="s">
        <v>801</v>
      </c>
      <c r="C231" s="729">
        <v>11731322</v>
      </c>
      <c r="D231" s="826"/>
      <c r="E231" s="692"/>
      <c r="F231" s="704" t="s">
        <v>802</v>
      </c>
      <c r="G231" s="758">
        <v>20333000</v>
      </c>
      <c r="H231" s="750">
        <f>SUM(H232:H233)</f>
        <v>0</v>
      </c>
    </row>
    <row r="232" spans="1:8">
      <c r="A232" s="457"/>
      <c r="B232" s="480" t="s">
        <v>49</v>
      </c>
      <c r="C232" s="711">
        <v>11731400</v>
      </c>
      <c r="D232" s="712">
        <f>SUM(D233,D236)</f>
        <v>0</v>
      </c>
      <c r="E232" s="692"/>
      <c r="F232" s="709" t="s">
        <v>714</v>
      </c>
      <c r="G232" s="707">
        <v>20333100</v>
      </c>
      <c r="H232" s="831"/>
    </row>
    <row r="233" spans="1:8">
      <c r="A233" s="457"/>
      <c r="B233" s="709" t="s">
        <v>796</v>
      </c>
      <c r="C233" s="729">
        <v>11731410</v>
      </c>
      <c r="D233" s="712">
        <f>SUM(D234:D235)</f>
        <v>0</v>
      </c>
      <c r="E233" s="692"/>
      <c r="F233" s="709" t="s">
        <v>83</v>
      </c>
      <c r="G233" s="707">
        <v>20333200</v>
      </c>
      <c r="H233" s="831"/>
    </row>
    <row r="234" spans="1:8">
      <c r="A234" s="457"/>
      <c r="B234" s="718" t="s">
        <v>797</v>
      </c>
      <c r="C234" s="729">
        <v>11731411</v>
      </c>
      <c r="D234" s="826"/>
      <c r="E234" s="692"/>
      <c r="F234" s="704" t="s">
        <v>803</v>
      </c>
      <c r="G234" s="758">
        <v>20334000</v>
      </c>
      <c r="H234" s="750">
        <f>SUM(H235:H236)</f>
        <v>0</v>
      </c>
    </row>
    <row r="235" spans="1:8">
      <c r="A235" s="457"/>
      <c r="B235" s="718" t="s">
        <v>53</v>
      </c>
      <c r="C235" s="729">
        <v>11731412</v>
      </c>
      <c r="D235" s="826"/>
      <c r="E235" s="692"/>
      <c r="F235" s="709" t="s">
        <v>714</v>
      </c>
      <c r="G235" s="707">
        <v>20334100</v>
      </c>
      <c r="H235" s="831"/>
    </row>
    <row r="236" spans="1:8">
      <c r="A236" s="457"/>
      <c r="B236" s="709" t="s">
        <v>799</v>
      </c>
      <c r="C236" s="729">
        <v>11731420</v>
      </c>
      <c r="D236" s="712">
        <f>SUM(D237:D238)</f>
        <v>0</v>
      </c>
      <c r="E236" s="692"/>
      <c r="F236" s="709" t="s">
        <v>83</v>
      </c>
      <c r="G236" s="707">
        <v>20334200</v>
      </c>
      <c r="H236" s="831"/>
    </row>
    <row r="237" spans="1:8">
      <c r="A237" s="457"/>
      <c r="B237" s="718" t="s">
        <v>52</v>
      </c>
      <c r="C237" s="729">
        <v>11731421</v>
      </c>
      <c r="D237" s="826"/>
      <c r="E237" s="692"/>
      <c r="F237" s="704" t="s">
        <v>56</v>
      </c>
      <c r="G237" s="758">
        <v>20335000</v>
      </c>
      <c r="H237" s="750">
        <f>SUM(H238:H239)</f>
        <v>0</v>
      </c>
    </row>
    <row r="238" spans="1:8">
      <c r="A238" s="457"/>
      <c r="B238" s="718" t="s">
        <v>801</v>
      </c>
      <c r="C238" s="729">
        <v>11731422</v>
      </c>
      <c r="D238" s="826"/>
      <c r="E238" s="692"/>
      <c r="F238" s="709" t="s">
        <v>714</v>
      </c>
      <c r="G238" s="707">
        <v>20335100</v>
      </c>
      <c r="H238" s="831"/>
    </row>
    <row r="239" spans="1:8">
      <c r="A239" s="457"/>
      <c r="B239" s="480" t="s">
        <v>804</v>
      </c>
      <c r="C239" s="711">
        <v>11731500</v>
      </c>
      <c r="D239" s="826"/>
      <c r="E239" s="692"/>
      <c r="F239" s="709" t="s">
        <v>83</v>
      </c>
      <c r="G239" s="707">
        <v>20335200</v>
      </c>
      <c r="H239" s="831"/>
    </row>
    <row r="240" spans="1:8" ht="25.5">
      <c r="A240" s="457"/>
      <c r="B240" s="480" t="s">
        <v>805</v>
      </c>
      <c r="C240" s="711">
        <v>11731600</v>
      </c>
      <c r="D240" s="712">
        <f>SUM(D241,D244)</f>
        <v>0</v>
      </c>
      <c r="E240" s="692"/>
      <c r="F240" s="739" t="s">
        <v>806</v>
      </c>
      <c r="G240" s="742">
        <v>20336000</v>
      </c>
      <c r="H240" s="743">
        <f>SUM(H241:H242)</f>
        <v>0</v>
      </c>
    </row>
    <row r="241" spans="1:8">
      <c r="A241" s="457"/>
      <c r="B241" s="709" t="s">
        <v>796</v>
      </c>
      <c r="C241" s="729">
        <v>11731610</v>
      </c>
      <c r="D241" s="712">
        <f>SUM(D242:D243)</f>
        <v>0</v>
      </c>
      <c r="E241" s="692"/>
      <c r="F241" s="757" t="s">
        <v>714</v>
      </c>
      <c r="G241" s="740">
        <v>20336100</v>
      </c>
      <c r="H241" s="831"/>
    </row>
    <row r="242" spans="1:8">
      <c r="A242" s="457"/>
      <c r="B242" s="718" t="s">
        <v>797</v>
      </c>
      <c r="C242" s="729">
        <v>11731611</v>
      </c>
      <c r="D242" s="826"/>
      <c r="E242" s="692"/>
      <c r="F242" s="757" t="s">
        <v>83</v>
      </c>
      <c r="G242" s="740">
        <v>20336200</v>
      </c>
      <c r="H242" s="831"/>
    </row>
    <row r="243" spans="1:8">
      <c r="A243" s="457"/>
      <c r="B243" s="718" t="s">
        <v>53</v>
      </c>
      <c r="C243" s="729">
        <v>11731612</v>
      </c>
      <c r="D243" s="826"/>
      <c r="E243" s="692"/>
      <c r="F243" s="699" t="s">
        <v>56</v>
      </c>
      <c r="G243" s="700">
        <v>20400000</v>
      </c>
      <c r="H243" s="701">
        <f>SUM(H244,H247,H250,H253,H256,H263,H266)</f>
        <v>0</v>
      </c>
    </row>
    <row r="244" spans="1:8">
      <c r="A244" s="457"/>
      <c r="B244" s="709" t="s">
        <v>799</v>
      </c>
      <c r="C244" s="729">
        <v>11731620</v>
      </c>
      <c r="D244" s="712">
        <f>SUM(D245:D246)</f>
        <v>0</v>
      </c>
      <c r="E244" s="692"/>
      <c r="F244" s="704" t="s">
        <v>129</v>
      </c>
      <c r="G244" s="748">
        <v>20410000</v>
      </c>
      <c r="H244" s="750">
        <f>SUM(H245:H246)</f>
        <v>0</v>
      </c>
    </row>
    <row r="245" spans="1:8">
      <c r="A245" s="457"/>
      <c r="B245" s="718" t="s">
        <v>52</v>
      </c>
      <c r="C245" s="729">
        <v>11731621</v>
      </c>
      <c r="D245" s="826"/>
      <c r="E245" s="692"/>
      <c r="F245" s="709" t="s">
        <v>714</v>
      </c>
      <c r="G245" s="707">
        <v>20411000</v>
      </c>
      <c r="H245" s="831"/>
    </row>
    <row r="246" spans="1:8">
      <c r="A246" s="457"/>
      <c r="B246" s="718" t="s">
        <v>801</v>
      </c>
      <c r="C246" s="729">
        <v>11731622</v>
      </c>
      <c r="D246" s="826"/>
      <c r="E246" s="692"/>
      <c r="F246" s="709" t="s">
        <v>83</v>
      </c>
      <c r="G246" s="707">
        <v>20412000</v>
      </c>
      <c r="H246" s="831"/>
    </row>
    <row r="247" spans="1:8">
      <c r="A247" s="457"/>
      <c r="B247" s="480" t="s">
        <v>50</v>
      </c>
      <c r="C247" s="711">
        <v>11731700</v>
      </c>
      <c r="D247" s="712">
        <f>SUM(D248,D251)</f>
        <v>0</v>
      </c>
      <c r="E247" s="692"/>
      <c r="F247" s="704" t="s">
        <v>807</v>
      </c>
      <c r="G247" s="748">
        <v>20420000</v>
      </c>
      <c r="H247" s="750">
        <f>SUM(H248:H249)</f>
        <v>0</v>
      </c>
    </row>
    <row r="248" spans="1:8">
      <c r="A248" s="457"/>
      <c r="B248" s="709" t="s">
        <v>796</v>
      </c>
      <c r="C248" s="729">
        <v>11731710</v>
      </c>
      <c r="D248" s="712">
        <f>SUM(D249:D250)</f>
        <v>0</v>
      </c>
      <c r="E248" s="692"/>
      <c r="F248" s="709" t="s">
        <v>714</v>
      </c>
      <c r="G248" s="707">
        <v>20421000</v>
      </c>
      <c r="H248" s="831"/>
    </row>
    <row r="249" spans="1:8">
      <c r="A249" s="457"/>
      <c r="B249" s="718" t="s">
        <v>797</v>
      </c>
      <c r="C249" s="729">
        <v>11731711</v>
      </c>
      <c r="D249" s="826"/>
      <c r="E249" s="692"/>
      <c r="F249" s="709" t="s">
        <v>83</v>
      </c>
      <c r="G249" s="707">
        <v>20422000</v>
      </c>
      <c r="H249" s="831"/>
    </row>
    <row r="250" spans="1:8">
      <c r="A250" s="457"/>
      <c r="B250" s="718" t="s">
        <v>53</v>
      </c>
      <c r="C250" s="729">
        <v>11731712</v>
      </c>
      <c r="D250" s="826"/>
      <c r="E250" s="692"/>
      <c r="F250" s="704" t="s">
        <v>808</v>
      </c>
      <c r="G250" s="748">
        <v>20430000</v>
      </c>
      <c r="H250" s="750">
        <f>SUM(H251:H252)</f>
        <v>0</v>
      </c>
    </row>
    <row r="251" spans="1:8">
      <c r="A251" s="457"/>
      <c r="B251" s="709" t="s">
        <v>799</v>
      </c>
      <c r="C251" s="729">
        <v>11731720</v>
      </c>
      <c r="D251" s="712">
        <f>SUM(D252:D253)</f>
        <v>0</v>
      </c>
      <c r="E251" s="692"/>
      <c r="F251" s="709" t="s">
        <v>714</v>
      </c>
      <c r="G251" s="707">
        <v>20431000</v>
      </c>
      <c r="H251" s="831"/>
    </row>
    <row r="252" spans="1:8">
      <c r="A252" s="457"/>
      <c r="B252" s="718" t="s">
        <v>52</v>
      </c>
      <c r="C252" s="729">
        <v>11731721</v>
      </c>
      <c r="D252" s="826"/>
      <c r="E252" s="734"/>
      <c r="F252" s="709" t="s">
        <v>83</v>
      </c>
      <c r="G252" s="707">
        <v>20432000</v>
      </c>
      <c r="H252" s="831"/>
    </row>
    <row r="253" spans="1:8">
      <c r="A253" s="457"/>
      <c r="B253" s="718" t="s">
        <v>801</v>
      </c>
      <c r="C253" s="729">
        <v>11731722</v>
      </c>
      <c r="D253" s="826"/>
      <c r="E253" s="734"/>
      <c r="F253" s="704" t="s">
        <v>810</v>
      </c>
      <c r="G253" s="748">
        <v>20440000</v>
      </c>
      <c r="H253" s="750">
        <f>SUM(H254:H255)</f>
        <v>0</v>
      </c>
    </row>
    <row r="254" spans="1:8">
      <c r="A254" s="468"/>
      <c r="B254" s="723" t="s">
        <v>809</v>
      </c>
      <c r="C254" s="716">
        <v>11731800</v>
      </c>
      <c r="D254" s="946">
        <f>+D255-D280</f>
        <v>0</v>
      </c>
      <c r="E254" s="692"/>
      <c r="F254" s="709" t="s">
        <v>714</v>
      </c>
      <c r="G254" s="707">
        <v>20441000</v>
      </c>
      <c r="H254" s="831"/>
    </row>
    <row r="255" spans="1:8">
      <c r="A255" s="468"/>
      <c r="B255" s="949" t="s">
        <v>743</v>
      </c>
      <c r="C255" s="729">
        <v>11731810</v>
      </c>
      <c r="D255" s="730">
        <f>SUM(D256:D258,D265:D266,D273)</f>
        <v>0</v>
      </c>
      <c r="E255" s="692"/>
      <c r="F255" s="709" t="s">
        <v>83</v>
      </c>
      <c r="G255" s="707">
        <v>20442000</v>
      </c>
      <c r="H255" s="831"/>
    </row>
    <row r="256" spans="1:8">
      <c r="A256" s="457"/>
      <c r="B256" s="728" t="s">
        <v>47</v>
      </c>
      <c r="C256" s="729">
        <v>11731811</v>
      </c>
      <c r="D256" s="945"/>
      <c r="E256" s="692"/>
      <c r="F256" s="704" t="s">
        <v>811</v>
      </c>
      <c r="G256" s="748">
        <v>20450000</v>
      </c>
      <c r="H256" s="750">
        <f>SUM(H257,H260)</f>
        <v>0</v>
      </c>
    </row>
    <row r="257" spans="1:8">
      <c r="A257" s="457"/>
      <c r="B257" s="728" t="s">
        <v>745</v>
      </c>
      <c r="C257" s="729">
        <v>11731812</v>
      </c>
      <c r="D257" s="945"/>
      <c r="E257" s="692"/>
      <c r="F257" s="709" t="s">
        <v>812</v>
      </c>
      <c r="G257" s="707">
        <v>20451000</v>
      </c>
      <c r="H257" s="710">
        <f>SUM(H258:H259)</f>
        <v>0</v>
      </c>
    </row>
    <row r="258" spans="1:8">
      <c r="A258" s="457"/>
      <c r="B258" s="728" t="s">
        <v>795</v>
      </c>
      <c r="C258" s="729">
        <v>11731813</v>
      </c>
      <c r="D258" s="730">
        <f>SUM(D259,D262)</f>
        <v>0</v>
      </c>
      <c r="E258" s="692"/>
      <c r="F258" s="718" t="s">
        <v>714</v>
      </c>
      <c r="G258" s="707">
        <v>20451100</v>
      </c>
      <c r="H258" s="831"/>
    </row>
    <row r="259" spans="1:8">
      <c r="A259" s="457"/>
      <c r="B259" s="950" t="s">
        <v>796</v>
      </c>
      <c r="C259" s="729"/>
      <c r="D259" s="730">
        <f>SUM(D260:D261)</f>
        <v>0</v>
      </c>
      <c r="E259" s="692"/>
      <c r="F259" s="718" t="s">
        <v>83</v>
      </c>
      <c r="G259" s="707">
        <v>20451200</v>
      </c>
      <c r="H259" s="831"/>
    </row>
    <row r="260" spans="1:8">
      <c r="A260" s="457"/>
      <c r="B260" s="951" t="s">
        <v>797</v>
      </c>
      <c r="C260" s="729"/>
      <c r="D260" s="945"/>
      <c r="E260" s="692"/>
      <c r="F260" s="726" t="s">
        <v>782</v>
      </c>
      <c r="G260" s="786">
        <v>20452000</v>
      </c>
      <c r="H260" s="957">
        <f>SUM(H261:H262)</f>
        <v>0</v>
      </c>
    </row>
    <row r="261" spans="1:8">
      <c r="A261" s="457"/>
      <c r="B261" s="951" t="s">
        <v>53</v>
      </c>
      <c r="C261" s="729"/>
      <c r="D261" s="945"/>
      <c r="E261" s="692"/>
      <c r="F261" s="728" t="s">
        <v>714</v>
      </c>
      <c r="G261" s="786">
        <v>20452100</v>
      </c>
      <c r="H261" s="958"/>
    </row>
    <row r="262" spans="1:8">
      <c r="A262" s="457"/>
      <c r="B262" s="950" t="s">
        <v>799</v>
      </c>
      <c r="C262" s="729"/>
      <c r="D262" s="730">
        <f>SUM(D263:D264)</f>
        <v>0</v>
      </c>
      <c r="E262" s="692"/>
      <c r="F262" s="728" t="s">
        <v>83</v>
      </c>
      <c r="G262" s="786">
        <v>20452200</v>
      </c>
      <c r="H262" s="958"/>
    </row>
    <row r="263" spans="1:8">
      <c r="A263" s="457"/>
      <c r="B263" s="951" t="s">
        <v>52</v>
      </c>
      <c r="C263" s="729"/>
      <c r="D263" s="945"/>
      <c r="E263" s="692"/>
      <c r="F263" s="704" t="s">
        <v>813</v>
      </c>
      <c r="G263" s="748">
        <v>20460000</v>
      </c>
      <c r="H263" s="750">
        <f>SUM(H264:H265)</f>
        <v>0</v>
      </c>
    </row>
    <row r="264" spans="1:8">
      <c r="A264" s="457"/>
      <c r="B264" s="951" t="s">
        <v>801</v>
      </c>
      <c r="C264" s="729"/>
      <c r="D264" s="945"/>
      <c r="E264" s="692"/>
      <c r="F264" s="709" t="s">
        <v>714</v>
      </c>
      <c r="G264" s="707">
        <v>20461000</v>
      </c>
      <c r="H264" s="831"/>
    </row>
    <row r="265" spans="1:8">
      <c r="A265" s="457"/>
      <c r="B265" s="728" t="s">
        <v>804</v>
      </c>
      <c r="C265" s="729">
        <v>11731814</v>
      </c>
      <c r="D265" s="945"/>
      <c r="E265" s="692"/>
      <c r="F265" s="709" t="s">
        <v>83</v>
      </c>
      <c r="G265" s="707">
        <v>20462000</v>
      </c>
      <c r="H265" s="831"/>
    </row>
    <row r="266" spans="1:8">
      <c r="A266" s="457"/>
      <c r="B266" s="728" t="s">
        <v>805</v>
      </c>
      <c r="C266" s="729">
        <v>11731815</v>
      </c>
      <c r="D266" s="730">
        <f>SUM(D267,D270)</f>
        <v>0</v>
      </c>
      <c r="E266" s="692"/>
      <c r="F266" s="704" t="s">
        <v>814</v>
      </c>
      <c r="G266" s="748">
        <v>20470000</v>
      </c>
      <c r="H266" s="750">
        <f>SUM(H267:H268)</f>
        <v>0</v>
      </c>
    </row>
    <row r="267" spans="1:8">
      <c r="A267" s="457"/>
      <c r="B267" s="950" t="s">
        <v>796</v>
      </c>
      <c r="C267" s="729"/>
      <c r="D267" s="730">
        <f>SUM(D268:D269)</f>
        <v>0</v>
      </c>
      <c r="E267" s="692"/>
      <c r="F267" s="709" t="s">
        <v>714</v>
      </c>
      <c r="G267" s="707">
        <v>20471000</v>
      </c>
      <c r="H267" s="831"/>
    </row>
    <row r="268" spans="1:8">
      <c r="A268" s="457"/>
      <c r="B268" s="951" t="s">
        <v>797</v>
      </c>
      <c r="C268" s="729"/>
      <c r="D268" s="945"/>
      <c r="E268" s="692"/>
      <c r="F268" s="709" t="s">
        <v>83</v>
      </c>
      <c r="G268" s="707">
        <v>20472000</v>
      </c>
      <c r="H268" s="831"/>
    </row>
    <row r="269" spans="1:8">
      <c r="A269" s="457"/>
      <c r="B269" s="951" t="s">
        <v>53</v>
      </c>
      <c r="C269" s="729"/>
      <c r="D269" s="945"/>
      <c r="E269" s="692"/>
      <c r="F269" s="784" t="s">
        <v>815</v>
      </c>
      <c r="G269" s="785">
        <v>20500000</v>
      </c>
      <c r="H269" s="955">
        <f>SUM(H270,H273,H276,H279)</f>
        <v>0</v>
      </c>
    </row>
    <row r="270" spans="1:8">
      <c r="A270" s="457"/>
      <c r="B270" s="950" t="s">
        <v>799</v>
      </c>
      <c r="C270" s="729"/>
      <c r="D270" s="730">
        <f>SUM(D271:D272)</f>
        <v>0</v>
      </c>
      <c r="E270" s="692"/>
      <c r="F270" s="704" t="s">
        <v>775</v>
      </c>
      <c r="G270" s="748">
        <v>20510000</v>
      </c>
      <c r="H270" s="750">
        <f>SUM(H271:H272)</f>
        <v>0</v>
      </c>
    </row>
    <row r="271" spans="1:8">
      <c r="A271" s="457"/>
      <c r="B271" s="951" t="s">
        <v>52</v>
      </c>
      <c r="C271" s="729"/>
      <c r="D271" s="945"/>
      <c r="E271" s="692"/>
      <c r="F271" s="709" t="s">
        <v>714</v>
      </c>
      <c r="G271" s="707">
        <v>20511000</v>
      </c>
      <c r="H271" s="831"/>
    </row>
    <row r="272" spans="1:8">
      <c r="A272" s="457"/>
      <c r="B272" s="951" t="s">
        <v>801</v>
      </c>
      <c r="C272" s="729"/>
      <c r="D272" s="945"/>
      <c r="E272" s="692"/>
      <c r="F272" s="709" t="s">
        <v>83</v>
      </c>
      <c r="G272" s="707">
        <v>20512000</v>
      </c>
      <c r="H272" s="831"/>
    </row>
    <row r="273" spans="1:8">
      <c r="A273" s="457"/>
      <c r="B273" s="728" t="s">
        <v>50</v>
      </c>
      <c r="C273" s="729">
        <v>11731816</v>
      </c>
      <c r="D273" s="730">
        <f>SUM(D274,D277)</f>
        <v>0</v>
      </c>
      <c r="E273" s="692"/>
      <c r="F273" s="704" t="s">
        <v>787</v>
      </c>
      <c r="G273" s="748">
        <v>20520000</v>
      </c>
      <c r="H273" s="750">
        <f>SUM(H274:H275)</f>
        <v>0</v>
      </c>
    </row>
    <row r="274" spans="1:8">
      <c r="A274" s="457"/>
      <c r="B274" s="950" t="s">
        <v>796</v>
      </c>
      <c r="C274" s="729"/>
      <c r="D274" s="730">
        <f>SUM(D275:D276)</f>
        <v>0</v>
      </c>
      <c r="E274" s="692"/>
      <c r="F274" s="709" t="s">
        <v>714</v>
      </c>
      <c r="G274" s="707">
        <v>20521000</v>
      </c>
      <c r="H274" s="831"/>
    </row>
    <row r="275" spans="1:8">
      <c r="A275" s="457"/>
      <c r="B275" s="951" t="s">
        <v>797</v>
      </c>
      <c r="C275" s="729"/>
      <c r="D275" s="945"/>
      <c r="E275" s="692"/>
      <c r="F275" s="709" t="s">
        <v>83</v>
      </c>
      <c r="G275" s="707">
        <v>20522000</v>
      </c>
      <c r="H275" s="831"/>
    </row>
    <row r="276" spans="1:8">
      <c r="A276" s="457"/>
      <c r="B276" s="951" t="s">
        <v>53</v>
      </c>
      <c r="C276" s="729"/>
      <c r="D276" s="945"/>
      <c r="E276" s="692"/>
      <c r="F276" s="704" t="s">
        <v>790</v>
      </c>
      <c r="G276" s="748">
        <v>20530000</v>
      </c>
      <c r="H276" s="750">
        <f>SUM(H277:H278)</f>
        <v>0</v>
      </c>
    </row>
    <row r="277" spans="1:8">
      <c r="A277" s="457"/>
      <c r="B277" s="950" t="s">
        <v>799</v>
      </c>
      <c r="C277" s="729"/>
      <c r="D277" s="730">
        <f>SUM(D278:D279)</f>
        <v>0</v>
      </c>
      <c r="E277" s="692"/>
      <c r="F277" s="709" t="s">
        <v>714</v>
      </c>
      <c r="G277" s="707">
        <v>20531000</v>
      </c>
      <c r="H277" s="831"/>
    </row>
    <row r="278" spans="1:8">
      <c r="A278" s="457"/>
      <c r="B278" s="951" t="s">
        <v>52</v>
      </c>
      <c r="C278" s="729"/>
      <c r="D278" s="945"/>
      <c r="E278" s="734"/>
      <c r="F278" s="709" t="s">
        <v>83</v>
      </c>
      <c r="G278" s="707">
        <v>20532000</v>
      </c>
      <c r="H278" s="831"/>
    </row>
    <row r="279" spans="1:8">
      <c r="A279" s="457"/>
      <c r="B279" s="951" t="s">
        <v>801</v>
      </c>
      <c r="C279" s="729"/>
      <c r="D279" s="945"/>
      <c r="E279" s="692"/>
      <c r="F279" s="704" t="s">
        <v>56</v>
      </c>
      <c r="G279" s="748">
        <v>20540000</v>
      </c>
      <c r="H279" s="750">
        <f>SUM(H280:H281)</f>
        <v>0</v>
      </c>
    </row>
    <row r="280" spans="1:8">
      <c r="A280" s="468"/>
      <c r="B280" s="949" t="s">
        <v>51</v>
      </c>
      <c r="C280" s="729">
        <v>11731820</v>
      </c>
      <c r="D280" s="730">
        <f>SUM(D281:D283,D290:D291,D298)</f>
        <v>0</v>
      </c>
      <c r="E280" s="692"/>
      <c r="F280" s="709" t="s">
        <v>714</v>
      </c>
      <c r="G280" s="707">
        <v>20541000</v>
      </c>
      <c r="H280" s="831"/>
    </row>
    <row r="281" spans="1:8">
      <c r="A281" s="457"/>
      <c r="B281" s="728" t="s">
        <v>47</v>
      </c>
      <c r="C281" s="729">
        <v>11731821</v>
      </c>
      <c r="D281" s="945"/>
      <c r="E281" s="692"/>
      <c r="F281" s="709" t="s">
        <v>83</v>
      </c>
      <c r="G281" s="707">
        <v>20542000</v>
      </c>
      <c r="H281" s="831"/>
    </row>
    <row r="282" spans="1:8">
      <c r="A282" s="457"/>
      <c r="B282" s="728" t="s">
        <v>745</v>
      </c>
      <c r="C282" s="729">
        <v>11731822</v>
      </c>
      <c r="D282" s="945"/>
      <c r="E282" s="692"/>
      <c r="F282" s="699" t="s">
        <v>816</v>
      </c>
      <c r="G282" s="700">
        <v>20600000</v>
      </c>
      <c r="H282" s="701">
        <f>SUM(H283,H290,H297)</f>
        <v>0</v>
      </c>
    </row>
    <row r="283" spans="1:8">
      <c r="A283" s="457"/>
      <c r="B283" s="728" t="s">
        <v>795</v>
      </c>
      <c r="C283" s="729">
        <v>11731823</v>
      </c>
      <c r="D283" s="730">
        <f>SUM(D284,D287)</f>
        <v>0</v>
      </c>
      <c r="E283" s="692"/>
      <c r="F283" s="704" t="s">
        <v>775</v>
      </c>
      <c r="G283" s="707">
        <v>20610000</v>
      </c>
      <c r="H283" s="710">
        <f>SUM(H284,H287)</f>
        <v>0</v>
      </c>
    </row>
    <row r="284" spans="1:8">
      <c r="A284" s="457"/>
      <c r="B284" s="950" t="s">
        <v>796</v>
      </c>
      <c r="C284" s="729"/>
      <c r="D284" s="730">
        <f>SUM(D285:D286)</f>
        <v>0</v>
      </c>
      <c r="E284" s="692"/>
      <c r="F284" s="709" t="s">
        <v>776</v>
      </c>
      <c r="G284" s="707">
        <v>20611000</v>
      </c>
      <c r="H284" s="710">
        <f>SUM(H285:H286)</f>
        <v>0</v>
      </c>
    </row>
    <row r="285" spans="1:8">
      <c r="A285" s="457"/>
      <c r="B285" s="951" t="s">
        <v>797</v>
      </c>
      <c r="C285" s="729"/>
      <c r="D285" s="945"/>
      <c r="E285" s="692"/>
      <c r="F285" s="718" t="s">
        <v>714</v>
      </c>
      <c r="G285" s="707">
        <v>20611100</v>
      </c>
      <c r="H285" s="831"/>
    </row>
    <row r="286" spans="1:8">
      <c r="A286" s="457"/>
      <c r="B286" s="951" t="s">
        <v>53</v>
      </c>
      <c r="C286" s="729"/>
      <c r="D286" s="945"/>
      <c r="E286" s="692"/>
      <c r="F286" s="718" t="s">
        <v>83</v>
      </c>
      <c r="G286" s="707">
        <v>20611200</v>
      </c>
      <c r="H286" s="831"/>
    </row>
    <row r="287" spans="1:8">
      <c r="A287" s="457"/>
      <c r="B287" s="950" t="s">
        <v>799</v>
      </c>
      <c r="C287" s="729"/>
      <c r="D287" s="730">
        <f>SUM(D288:D289)</f>
        <v>0</v>
      </c>
      <c r="E287" s="692"/>
      <c r="F287" s="709" t="s">
        <v>777</v>
      </c>
      <c r="G287" s="707">
        <v>20612000</v>
      </c>
      <c r="H287" s="710">
        <f>SUM(H288:H289)</f>
        <v>0</v>
      </c>
    </row>
    <row r="288" spans="1:8">
      <c r="A288" s="457"/>
      <c r="B288" s="951" t="s">
        <v>52</v>
      </c>
      <c r="C288" s="729"/>
      <c r="D288" s="945"/>
      <c r="E288" s="692"/>
      <c r="F288" s="718" t="s">
        <v>714</v>
      </c>
      <c r="G288" s="707">
        <v>20612100</v>
      </c>
      <c r="H288" s="831"/>
    </row>
    <row r="289" spans="1:8">
      <c r="A289" s="457"/>
      <c r="B289" s="951" t="s">
        <v>801</v>
      </c>
      <c r="C289" s="729"/>
      <c r="D289" s="945"/>
      <c r="E289" s="692"/>
      <c r="F289" s="718" t="s">
        <v>83</v>
      </c>
      <c r="G289" s="707">
        <v>20612200</v>
      </c>
      <c r="H289" s="831"/>
    </row>
    <row r="290" spans="1:8">
      <c r="A290" s="457"/>
      <c r="B290" s="728" t="s">
        <v>804</v>
      </c>
      <c r="C290" s="729">
        <v>11731824</v>
      </c>
      <c r="D290" s="945"/>
      <c r="E290" s="692"/>
      <c r="F290" s="704" t="s">
        <v>787</v>
      </c>
      <c r="G290" s="707">
        <v>20620000</v>
      </c>
      <c r="H290" s="710">
        <f>SUM(H291,H294)</f>
        <v>0</v>
      </c>
    </row>
    <row r="291" spans="1:8">
      <c r="A291" s="457"/>
      <c r="B291" s="728" t="s">
        <v>805</v>
      </c>
      <c r="C291" s="729">
        <v>11731825</v>
      </c>
      <c r="D291" s="730">
        <f>SUM(D292,D295)</f>
        <v>0</v>
      </c>
      <c r="E291" s="692"/>
      <c r="F291" s="709" t="s">
        <v>776</v>
      </c>
      <c r="G291" s="707">
        <v>20621000</v>
      </c>
      <c r="H291" s="710">
        <f>SUM(H292:H293)</f>
        <v>0</v>
      </c>
    </row>
    <row r="292" spans="1:8">
      <c r="A292" s="457"/>
      <c r="B292" s="950" t="s">
        <v>796</v>
      </c>
      <c r="C292" s="729"/>
      <c r="D292" s="730">
        <f>SUM(D293:D294)</f>
        <v>0</v>
      </c>
      <c r="E292" s="692"/>
      <c r="F292" s="718" t="s">
        <v>714</v>
      </c>
      <c r="G292" s="707">
        <v>20621100</v>
      </c>
      <c r="H292" s="831"/>
    </row>
    <row r="293" spans="1:8">
      <c r="A293" s="457"/>
      <c r="B293" s="951" t="s">
        <v>797</v>
      </c>
      <c r="C293" s="729"/>
      <c r="D293" s="945"/>
      <c r="E293" s="692"/>
      <c r="F293" s="718" t="s">
        <v>83</v>
      </c>
      <c r="G293" s="707">
        <v>20621200</v>
      </c>
      <c r="H293" s="831"/>
    </row>
    <row r="294" spans="1:8">
      <c r="A294" s="457"/>
      <c r="B294" s="951" t="s">
        <v>53</v>
      </c>
      <c r="C294" s="729"/>
      <c r="D294" s="945"/>
      <c r="E294" s="692"/>
      <c r="F294" s="709" t="s">
        <v>777</v>
      </c>
      <c r="G294" s="707">
        <v>20622000</v>
      </c>
      <c r="H294" s="710">
        <f>SUM(H295:H296)</f>
        <v>0</v>
      </c>
    </row>
    <row r="295" spans="1:8">
      <c r="A295" s="457"/>
      <c r="B295" s="950" t="s">
        <v>799</v>
      </c>
      <c r="C295" s="729"/>
      <c r="D295" s="730">
        <f>SUM(D296:D297)</f>
        <v>0</v>
      </c>
      <c r="E295" s="692"/>
      <c r="F295" s="718" t="s">
        <v>714</v>
      </c>
      <c r="G295" s="707">
        <v>20622100</v>
      </c>
      <c r="H295" s="831"/>
    </row>
    <row r="296" spans="1:8">
      <c r="A296" s="457"/>
      <c r="B296" s="951" t="s">
        <v>52</v>
      </c>
      <c r="C296" s="729"/>
      <c r="D296" s="945"/>
      <c r="E296" s="692"/>
      <c r="F296" s="718" t="s">
        <v>83</v>
      </c>
      <c r="G296" s="707">
        <v>20622200</v>
      </c>
      <c r="H296" s="831"/>
    </row>
    <row r="297" spans="1:8">
      <c r="A297" s="457"/>
      <c r="B297" s="951" t="s">
        <v>801</v>
      </c>
      <c r="C297" s="729"/>
      <c r="D297" s="945"/>
      <c r="E297" s="692"/>
      <c r="F297" s="704" t="s">
        <v>790</v>
      </c>
      <c r="G297" s="707">
        <v>20630000</v>
      </c>
      <c r="H297" s="710">
        <f>SUM(H298,H301,H304,H307,H310)</f>
        <v>0</v>
      </c>
    </row>
    <row r="298" spans="1:8">
      <c r="A298" s="457"/>
      <c r="B298" s="728" t="s">
        <v>50</v>
      </c>
      <c r="C298" s="729">
        <v>11731826</v>
      </c>
      <c r="D298" s="730">
        <f>SUM(D299,D302)</f>
        <v>0</v>
      </c>
      <c r="E298" s="692"/>
      <c r="F298" s="709" t="s">
        <v>817</v>
      </c>
      <c r="G298" s="707">
        <v>20631000</v>
      </c>
      <c r="H298" s="710">
        <f>SUM(H299:H300)</f>
        <v>0</v>
      </c>
    </row>
    <row r="299" spans="1:8">
      <c r="A299" s="457"/>
      <c r="B299" s="950" t="s">
        <v>796</v>
      </c>
      <c r="C299" s="729"/>
      <c r="D299" s="730">
        <f>SUM(D300:D301)</f>
        <v>0</v>
      </c>
      <c r="E299" s="692"/>
      <c r="F299" s="718" t="s">
        <v>714</v>
      </c>
      <c r="G299" s="707">
        <v>20631100</v>
      </c>
      <c r="H299" s="831"/>
    </row>
    <row r="300" spans="1:8">
      <c r="A300" s="457"/>
      <c r="B300" s="951" t="s">
        <v>797</v>
      </c>
      <c r="C300" s="729"/>
      <c r="D300" s="945"/>
      <c r="E300" s="692"/>
      <c r="F300" s="718" t="s">
        <v>83</v>
      </c>
      <c r="G300" s="707">
        <v>20631200</v>
      </c>
      <c r="H300" s="831"/>
    </row>
    <row r="301" spans="1:8">
      <c r="A301" s="457"/>
      <c r="B301" s="951" t="s">
        <v>53</v>
      </c>
      <c r="C301" s="729"/>
      <c r="D301" s="945"/>
      <c r="E301" s="692"/>
      <c r="F301" s="709" t="s">
        <v>818</v>
      </c>
      <c r="G301" s="707">
        <v>20632000</v>
      </c>
      <c r="H301" s="710">
        <f>SUM(H302:H303)</f>
        <v>0</v>
      </c>
    </row>
    <row r="302" spans="1:8">
      <c r="A302" s="457"/>
      <c r="B302" s="950" t="s">
        <v>799</v>
      </c>
      <c r="C302" s="729"/>
      <c r="D302" s="730">
        <f>SUM(D303:D304)</f>
        <v>0</v>
      </c>
      <c r="E302" s="692"/>
      <c r="F302" s="718" t="s">
        <v>714</v>
      </c>
      <c r="G302" s="707">
        <v>20632100</v>
      </c>
      <c r="H302" s="831"/>
    </row>
    <row r="303" spans="1:8">
      <c r="A303" s="457"/>
      <c r="B303" s="951" t="s">
        <v>52</v>
      </c>
      <c r="C303" s="729"/>
      <c r="D303" s="945"/>
      <c r="E303" s="692"/>
      <c r="F303" s="718" t="s">
        <v>83</v>
      </c>
      <c r="G303" s="707">
        <v>20632200</v>
      </c>
      <c r="H303" s="831"/>
    </row>
    <row r="304" spans="1:8">
      <c r="A304" s="457"/>
      <c r="B304" s="951" t="s">
        <v>801</v>
      </c>
      <c r="C304" s="729"/>
      <c r="D304" s="945"/>
      <c r="E304" s="692"/>
      <c r="F304" s="709" t="s">
        <v>820</v>
      </c>
      <c r="G304" s="707">
        <v>20633000</v>
      </c>
      <c r="H304" s="710">
        <f>SUM(H305:H306)</f>
        <v>0</v>
      </c>
    </row>
    <row r="305" spans="1:8">
      <c r="A305" s="457"/>
      <c r="B305" s="455" t="s">
        <v>819</v>
      </c>
      <c r="C305" s="719">
        <v>11732000</v>
      </c>
      <c r="D305" s="717">
        <f>SUM(D306,D310,D314,D337,D344,D350,D373,D400)</f>
        <v>0</v>
      </c>
      <c r="E305" s="692"/>
      <c r="F305" s="718" t="s">
        <v>714</v>
      </c>
      <c r="G305" s="707">
        <v>20633100</v>
      </c>
      <c r="H305" s="831"/>
    </row>
    <row r="306" spans="1:8">
      <c r="A306" s="457"/>
      <c r="B306" s="480" t="s">
        <v>47</v>
      </c>
      <c r="C306" s="711">
        <v>11732100</v>
      </c>
      <c r="D306" s="712">
        <f>SUM(D307:D309)</f>
        <v>0</v>
      </c>
      <c r="E306" s="692"/>
      <c r="F306" s="718" t="s">
        <v>83</v>
      </c>
      <c r="G306" s="707">
        <v>20633200</v>
      </c>
      <c r="H306" s="831"/>
    </row>
    <row r="307" spans="1:8">
      <c r="A307" s="457"/>
      <c r="B307" s="709" t="s">
        <v>769</v>
      </c>
      <c r="C307" s="711">
        <v>11732110</v>
      </c>
      <c r="D307" s="826"/>
      <c r="E307" s="692"/>
      <c r="F307" s="709" t="s">
        <v>821</v>
      </c>
      <c r="G307" s="707">
        <v>20634000</v>
      </c>
      <c r="H307" s="710">
        <f>SUM(H308:H309)</f>
        <v>0</v>
      </c>
    </row>
    <row r="308" spans="1:8">
      <c r="A308" s="457"/>
      <c r="B308" s="709" t="s">
        <v>770</v>
      </c>
      <c r="C308" s="711">
        <v>11732120</v>
      </c>
      <c r="D308" s="826"/>
      <c r="E308" s="692"/>
      <c r="F308" s="718" t="s">
        <v>714</v>
      </c>
      <c r="G308" s="707">
        <v>20634100</v>
      </c>
      <c r="H308" s="831"/>
    </row>
    <row r="309" spans="1:8">
      <c r="A309" s="457"/>
      <c r="B309" s="709" t="s">
        <v>771</v>
      </c>
      <c r="C309" s="711">
        <v>11732130</v>
      </c>
      <c r="D309" s="826"/>
      <c r="E309" s="692"/>
      <c r="F309" s="718" t="s">
        <v>83</v>
      </c>
      <c r="G309" s="707">
        <v>20634200</v>
      </c>
      <c r="H309" s="831"/>
    </row>
    <row r="310" spans="1:8">
      <c r="A310" s="457"/>
      <c r="B310" s="480" t="s">
        <v>745</v>
      </c>
      <c r="C310" s="711">
        <v>11732200</v>
      </c>
      <c r="D310" s="712">
        <f>SUM(D311:D313)</f>
        <v>0</v>
      </c>
      <c r="E310" s="692"/>
      <c r="F310" s="709" t="s">
        <v>55</v>
      </c>
      <c r="G310" s="707">
        <v>20635000</v>
      </c>
      <c r="H310" s="710">
        <f>SUM(H311:H312)</f>
        <v>0</v>
      </c>
    </row>
    <row r="311" spans="1:8">
      <c r="A311" s="457"/>
      <c r="B311" s="709" t="s">
        <v>769</v>
      </c>
      <c r="C311" s="711">
        <v>11732210</v>
      </c>
      <c r="D311" s="826"/>
      <c r="E311" s="692"/>
      <c r="F311" s="718" t="s">
        <v>714</v>
      </c>
      <c r="G311" s="707">
        <v>20635100</v>
      </c>
      <c r="H311" s="831"/>
    </row>
    <row r="312" spans="1:8">
      <c r="A312" s="457"/>
      <c r="B312" s="709" t="s">
        <v>770</v>
      </c>
      <c r="C312" s="711">
        <v>11732220</v>
      </c>
      <c r="D312" s="826"/>
      <c r="E312" s="692"/>
      <c r="F312" s="718" t="s">
        <v>83</v>
      </c>
      <c r="G312" s="707">
        <v>20635200</v>
      </c>
      <c r="H312" s="831"/>
    </row>
    <row r="313" spans="1:8">
      <c r="A313" s="457"/>
      <c r="B313" s="709" t="s">
        <v>771</v>
      </c>
      <c r="C313" s="711">
        <v>11732230</v>
      </c>
      <c r="D313" s="826"/>
      <c r="E313" s="692"/>
      <c r="F313" s="693" t="s">
        <v>1449</v>
      </c>
      <c r="G313" s="694">
        <v>21000000</v>
      </c>
      <c r="H313" s="695">
        <f>SUM(H314,H326,H338,H350,H362)</f>
        <v>0</v>
      </c>
    </row>
    <row r="314" spans="1:8">
      <c r="A314" s="457"/>
      <c r="B314" s="480" t="s">
        <v>795</v>
      </c>
      <c r="C314" s="711">
        <v>11732300</v>
      </c>
      <c r="D314" s="712">
        <f>SUM(D315,D326)</f>
        <v>0</v>
      </c>
      <c r="E314" s="692"/>
      <c r="F314" s="699" t="s">
        <v>822</v>
      </c>
      <c r="G314" s="700">
        <v>21100000</v>
      </c>
      <c r="H314" s="701">
        <f>SUM(H315:H317,H320,H323:H325)</f>
        <v>0</v>
      </c>
    </row>
    <row r="315" spans="1:8">
      <c r="A315" s="457"/>
      <c r="B315" s="709" t="s">
        <v>796</v>
      </c>
      <c r="C315" s="711">
        <v>11732310</v>
      </c>
      <c r="D315" s="712">
        <f>SUM(D316,D321)</f>
        <v>0</v>
      </c>
      <c r="E315" s="692"/>
      <c r="F315" s="480" t="s">
        <v>824</v>
      </c>
      <c r="G315" s="707">
        <v>21110000</v>
      </c>
      <c r="H315" s="831"/>
    </row>
    <row r="316" spans="1:8">
      <c r="A316" s="457"/>
      <c r="B316" s="718" t="s">
        <v>797</v>
      </c>
      <c r="C316" s="711">
        <v>11732311</v>
      </c>
      <c r="D316" s="712">
        <f>SUM(D317:D320)</f>
        <v>0</v>
      </c>
      <c r="E316" s="692"/>
      <c r="F316" s="480" t="s">
        <v>825</v>
      </c>
      <c r="G316" s="707">
        <v>21120000</v>
      </c>
      <c r="H316" s="831"/>
    </row>
    <row r="317" spans="1:8">
      <c r="A317" s="457"/>
      <c r="B317" s="759" t="s">
        <v>823</v>
      </c>
      <c r="C317" s="711"/>
      <c r="D317" s="826"/>
      <c r="E317" s="692"/>
      <c r="F317" s="480" t="s">
        <v>796</v>
      </c>
      <c r="G317" s="707">
        <v>21130000</v>
      </c>
      <c r="H317" s="710">
        <f>SUM(H318:H319)</f>
        <v>0</v>
      </c>
    </row>
    <row r="318" spans="1:8">
      <c r="A318" s="457"/>
      <c r="B318" s="759" t="s">
        <v>769</v>
      </c>
      <c r="C318" s="711"/>
      <c r="D318" s="826"/>
      <c r="E318" s="692"/>
      <c r="F318" s="709" t="s">
        <v>797</v>
      </c>
      <c r="G318" s="707">
        <v>21131000</v>
      </c>
      <c r="H318" s="831"/>
    </row>
    <row r="319" spans="1:8">
      <c r="A319" s="457"/>
      <c r="B319" s="759" t="s">
        <v>770</v>
      </c>
      <c r="C319" s="711"/>
      <c r="D319" s="826"/>
      <c r="E319" s="692"/>
      <c r="F319" s="709" t="s">
        <v>53</v>
      </c>
      <c r="G319" s="707">
        <v>21132000</v>
      </c>
      <c r="H319" s="831"/>
    </row>
    <row r="320" spans="1:8">
      <c r="A320" s="457"/>
      <c r="B320" s="759" t="s">
        <v>771</v>
      </c>
      <c r="C320" s="711"/>
      <c r="D320" s="826"/>
      <c r="E320" s="692"/>
      <c r="F320" s="480" t="s">
        <v>799</v>
      </c>
      <c r="G320" s="707">
        <v>21140000</v>
      </c>
      <c r="H320" s="710">
        <f>SUM(H321:H322)</f>
        <v>0</v>
      </c>
    </row>
    <row r="321" spans="1:8">
      <c r="A321" s="457"/>
      <c r="B321" s="718" t="s">
        <v>53</v>
      </c>
      <c r="C321" s="711">
        <v>11732312</v>
      </c>
      <c r="D321" s="712">
        <f>SUM(D322:D325)</f>
        <v>0</v>
      </c>
      <c r="E321" s="692"/>
      <c r="F321" s="709" t="s">
        <v>52</v>
      </c>
      <c r="G321" s="707">
        <v>21141000</v>
      </c>
      <c r="H321" s="831"/>
    </row>
    <row r="322" spans="1:8">
      <c r="A322" s="457"/>
      <c r="B322" s="759" t="s">
        <v>823</v>
      </c>
      <c r="C322" s="711"/>
      <c r="D322" s="826"/>
      <c r="E322" s="692"/>
      <c r="F322" s="709" t="s">
        <v>801</v>
      </c>
      <c r="G322" s="707">
        <v>21142000</v>
      </c>
      <c r="H322" s="831"/>
    </row>
    <row r="323" spans="1:8">
      <c r="A323" s="457"/>
      <c r="B323" s="759" t="s">
        <v>769</v>
      </c>
      <c r="C323" s="711"/>
      <c r="D323" s="826"/>
      <c r="E323" s="692"/>
      <c r="F323" s="480" t="s">
        <v>54</v>
      </c>
      <c r="G323" s="707">
        <v>21150000</v>
      </c>
      <c r="H323" s="831"/>
    </row>
    <row r="324" spans="1:8" ht="25.5">
      <c r="A324" s="457"/>
      <c r="B324" s="759" t="s">
        <v>770</v>
      </c>
      <c r="C324" s="711"/>
      <c r="D324" s="826"/>
      <c r="E324" s="692"/>
      <c r="F324" s="480" t="s">
        <v>1445</v>
      </c>
      <c r="G324" s="707">
        <v>21160000</v>
      </c>
      <c r="H324" s="831"/>
    </row>
    <row r="325" spans="1:8">
      <c r="A325" s="457"/>
      <c r="B325" s="759" t="s">
        <v>771</v>
      </c>
      <c r="C325" s="711"/>
      <c r="D325" s="826"/>
      <c r="E325" s="692"/>
      <c r="F325" s="480" t="s">
        <v>827</v>
      </c>
      <c r="G325" s="707">
        <v>21170000</v>
      </c>
      <c r="H325" s="831"/>
    </row>
    <row r="326" spans="1:8">
      <c r="A326" s="457"/>
      <c r="B326" s="709" t="s">
        <v>799</v>
      </c>
      <c r="C326" s="711">
        <v>11732313</v>
      </c>
      <c r="D326" s="712">
        <f>SUM(D327,D332)</f>
        <v>0</v>
      </c>
      <c r="E326" s="692"/>
      <c r="F326" s="699" t="s">
        <v>828</v>
      </c>
      <c r="G326" s="700">
        <v>21200000</v>
      </c>
      <c r="H326" s="701">
        <f>SUM(H327:H329,H332,H335:H337)</f>
        <v>0</v>
      </c>
    </row>
    <row r="327" spans="1:8">
      <c r="A327" s="457"/>
      <c r="B327" s="718" t="s">
        <v>52</v>
      </c>
      <c r="C327" s="711"/>
      <c r="D327" s="712">
        <f>SUM(D328:D331)</f>
        <v>0</v>
      </c>
      <c r="E327" s="692"/>
      <c r="F327" s="480" t="s">
        <v>824</v>
      </c>
      <c r="G327" s="707">
        <v>21210000</v>
      </c>
      <c r="H327" s="831"/>
    </row>
    <row r="328" spans="1:8">
      <c r="A328" s="457"/>
      <c r="B328" s="759" t="s">
        <v>823</v>
      </c>
      <c r="C328" s="711"/>
      <c r="D328" s="826"/>
      <c r="E328" s="692"/>
      <c r="F328" s="480" t="s">
        <v>825</v>
      </c>
      <c r="G328" s="707">
        <v>21220000</v>
      </c>
      <c r="H328" s="831"/>
    </row>
    <row r="329" spans="1:8">
      <c r="A329" s="457"/>
      <c r="B329" s="759" t="s">
        <v>769</v>
      </c>
      <c r="C329" s="711"/>
      <c r="D329" s="826"/>
      <c r="E329" s="692"/>
      <c r="F329" s="480" t="s">
        <v>796</v>
      </c>
      <c r="G329" s="707">
        <v>21230000</v>
      </c>
      <c r="H329" s="710">
        <f>SUM(H330:H331)</f>
        <v>0</v>
      </c>
    </row>
    <row r="330" spans="1:8">
      <c r="A330" s="457"/>
      <c r="B330" s="759" t="s">
        <v>770</v>
      </c>
      <c r="C330" s="711"/>
      <c r="D330" s="826"/>
      <c r="E330" s="692"/>
      <c r="F330" s="709" t="s">
        <v>797</v>
      </c>
      <c r="G330" s="707">
        <v>21231000</v>
      </c>
      <c r="H330" s="831"/>
    </row>
    <row r="331" spans="1:8">
      <c r="A331" s="457"/>
      <c r="B331" s="759" t="s">
        <v>771</v>
      </c>
      <c r="C331" s="711"/>
      <c r="D331" s="826"/>
      <c r="E331" s="692"/>
      <c r="F331" s="709" t="s">
        <v>53</v>
      </c>
      <c r="G331" s="707">
        <v>21232000</v>
      </c>
      <c r="H331" s="831"/>
    </row>
    <row r="332" spans="1:8">
      <c r="A332" s="457"/>
      <c r="B332" s="718" t="s">
        <v>801</v>
      </c>
      <c r="C332" s="711">
        <v>11732314</v>
      </c>
      <c r="D332" s="712">
        <f>SUM(D333:D336)</f>
        <v>0</v>
      </c>
      <c r="E332" s="692"/>
      <c r="F332" s="480" t="s">
        <v>799</v>
      </c>
      <c r="G332" s="707">
        <v>21240000</v>
      </c>
      <c r="H332" s="710">
        <f>SUM(H333:H334)</f>
        <v>0</v>
      </c>
    </row>
    <row r="333" spans="1:8">
      <c r="A333" s="457"/>
      <c r="B333" s="759" t="s">
        <v>823</v>
      </c>
      <c r="C333" s="711"/>
      <c r="D333" s="826"/>
      <c r="E333" s="692"/>
      <c r="F333" s="709" t="s">
        <v>52</v>
      </c>
      <c r="G333" s="707">
        <v>21241000</v>
      </c>
      <c r="H333" s="831"/>
    </row>
    <row r="334" spans="1:8">
      <c r="A334" s="457"/>
      <c r="B334" s="759" t="s">
        <v>769</v>
      </c>
      <c r="C334" s="711"/>
      <c r="D334" s="826"/>
      <c r="E334" s="692"/>
      <c r="F334" s="709" t="s">
        <v>801</v>
      </c>
      <c r="G334" s="707">
        <v>21242000</v>
      </c>
      <c r="H334" s="831"/>
    </row>
    <row r="335" spans="1:8">
      <c r="A335" s="457"/>
      <c r="B335" s="759" t="s">
        <v>770</v>
      </c>
      <c r="C335" s="711"/>
      <c r="D335" s="826"/>
      <c r="E335" s="692"/>
      <c r="F335" s="480" t="s">
        <v>54</v>
      </c>
      <c r="G335" s="707">
        <v>21210000</v>
      </c>
      <c r="H335" s="831"/>
    </row>
    <row r="336" spans="1:8" ht="25.5">
      <c r="A336" s="457"/>
      <c r="B336" s="759" t="s">
        <v>771</v>
      </c>
      <c r="C336" s="711"/>
      <c r="D336" s="826"/>
      <c r="E336" s="692"/>
      <c r="F336" s="480" t="s">
        <v>1445</v>
      </c>
      <c r="G336" s="707">
        <v>21260000</v>
      </c>
      <c r="H336" s="831"/>
    </row>
    <row r="337" spans="1:8">
      <c r="A337" s="457"/>
      <c r="B337" s="480" t="s">
        <v>49</v>
      </c>
      <c r="C337" s="711">
        <v>11732400</v>
      </c>
      <c r="D337" s="712">
        <f>SUM(D338,D341)</f>
        <v>0</v>
      </c>
      <c r="E337" s="692"/>
      <c r="F337" s="480" t="s">
        <v>827</v>
      </c>
      <c r="G337" s="707">
        <v>21270000</v>
      </c>
      <c r="H337" s="831"/>
    </row>
    <row r="338" spans="1:8">
      <c r="A338" s="457"/>
      <c r="B338" s="709" t="s">
        <v>796</v>
      </c>
      <c r="C338" s="711">
        <v>11732410</v>
      </c>
      <c r="D338" s="712">
        <f>SUM(D339:D340)</f>
        <v>0</v>
      </c>
      <c r="E338" s="692"/>
      <c r="F338" s="699" t="s">
        <v>829</v>
      </c>
      <c r="G338" s="700">
        <v>21300000</v>
      </c>
      <c r="H338" s="701">
        <f>SUM(H339:H341,H344,H347:H349)</f>
        <v>0</v>
      </c>
    </row>
    <row r="339" spans="1:8">
      <c r="A339" s="457"/>
      <c r="B339" s="718" t="s">
        <v>797</v>
      </c>
      <c r="C339" s="711">
        <v>11732411</v>
      </c>
      <c r="D339" s="826"/>
      <c r="E339" s="692"/>
      <c r="F339" s="480" t="s">
        <v>824</v>
      </c>
      <c r="G339" s="707">
        <v>21310000</v>
      </c>
      <c r="H339" s="831"/>
    </row>
    <row r="340" spans="1:8">
      <c r="A340" s="457"/>
      <c r="B340" s="718" t="s">
        <v>53</v>
      </c>
      <c r="C340" s="711">
        <v>11732412</v>
      </c>
      <c r="D340" s="826"/>
      <c r="E340" s="692"/>
      <c r="F340" s="480" t="s">
        <v>825</v>
      </c>
      <c r="G340" s="707">
        <v>21320000</v>
      </c>
      <c r="H340" s="831"/>
    </row>
    <row r="341" spans="1:8">
      <c r="A341" s="457"/>
      <c r="B341" s="709" t="s">
        <v>799</v>
      </c>
      <c r="C341" s="711">
        <v>11732420</v>
      </c>
      <c r="D341" s="712">
        <f>SUM(D342:D343)</f>
        <v>0</v>
      </c>
      <c r="E341" s="692"/>
      <c r="F341" s="480" t="s">
        <v>796</v>
      </c>
      <c r="G341" s="707">
        <v>21330000</v>
      </c>
      <c r="H341" s="710">
        <f>SUM(H342:H343)</f>
        <v>0</v>
      </c>
    </row>
    <row r="342" spans="1:8">
      <c r="A342" s="457"/>
      <c r="B342" s="718" t="s">
        <v>52</v>
      </c>
      <c r="C342" s="711">
        <v>11732421</v>
      </c>
      <c r="D342" s="826"/>
      <c r="E342" s="692"/>
      <c r="F342" s="709" t="s">
        <v>797</v>
      </c>
      <c r="G342" s="707">
        <v>21331000</v>
      </c>
      <c r="H342" s="831"/>
    </row>
    <row r="343" spans="1:8">
      <c r="A343" s="457"/>
      <c r="B343" s="718" t="s">
        <v>801</v>
      </c>
      <c r="C343" s="711">
        <v>11732422</v>
      </c>
      <c r="D343" s="826"/>
      <c r="E343" s="692"/>
      <c r="F343" s="709" t="s">
        <v>53</v>
      </c>
      <c r="G343" s="707">
        <v>21332000</v>
      </c>
      <c r="H343" s="831"/>
    </row>
    <row r="344" spans="1:8">
      <c r="A344" s="457"/>
      <c r="B344" s="480" t="s">
        <v>804</v>
      </c>
      <c r="C344" s="711">
        <v>11732500</v>
      </c>
      <c r="D344" s="712">
        <f>SUM(D345:D349)</f>
        <v>0</v>
      </c>
      <c r="E344" s="692"/>
      <c r="F344" s="480" t="s">
        <v>799</v>
      </c>
      <c r="G344" s="707">
        <v>21340000</v>
      </c>
      <c r="H344" s="710">
        <f>SUM(H345:H346)</f>
        <v>0</v>
      </c>
    </row>
    <row r="345" spans="1:8">
      <c r="A345" s="457"/>
      <c r="B345" s="709" t="s">
        <v>267</v>
      </c>
      <c r="C345" s="711">
        <v>11732510</v>
      </c>
      <c r="D345" s="826"/>
      <c r="E345" s="692"/>
      <c r="F345" s="709" t="s">
        <v>52</v>
      </c>
      <c r="G345" s="707">
        <v>21341000</v>
      </c>
      <c r="H345" s="831"/>
    </row>
    <row r="346" spans="1:8">
      <c r="A346" s="457"/>
      <c r="B346" s="709" t="s">
        <v>823</v>
      </c>
      <c r="C346" s="711">
        <v>11732520</v>
      </c>
      <c r="D346" s="826"/>
      <c r="E346" s="692"/>
      <c r="F346" s="709" t="s">
        <v>801</v>
      </c>
      <c r="G346" s="707">
        <v>21342000</v>
      </c>
      <c r="H346" s="831"/>
    </row>
    <row r="347" spans="1:8">
      <c r="A347" s="457"/>
      <c r="B347" s="709" t="s">
        <v>769</v>
      </c>
      <c r="C347" s="711">
        <v>11732530</v>
      </c>
      <c r="D347" s="826"/>
      <c r="E347" s="692"/>
      <c r="F347" s="480" t="s">
        <v>54</v>
      </c>
      <c r="G347" s="707">
        <v>21350000</v>
      </c>
      <c r="H347" s="831"/>
    </row>
    <row r="348" spans="1:8" ht="25.5">
      <c r="A348" s="457"/>
      <c r="B348" s="709" t="s">
        <v>770</v>
      </c>
      <c r="C348" s="711">
        <v>11732540</v>
      </c>
      <c r="D348" s="826"/>
      <c r="E348" s="692"/>
      <c r="F348" s="480" t="s">
        <v>1445</v>
      </c>
      <c r="G348" s="707">
        <v>21360000</v>
      </c>
      <c r="H348" s="831"/>
    </row>
    <row r="349" spans="1:8">
      <c r="A349" s="457"/>
      <c r="B349" s="709" t="s">
        <v>771</v>
      </c>
      <c r="C349" s="711">
        <v>11732550</v>
      </c>
      <c r="D349" s="826"/>
      <c r="E349" s="692"/>
      <c r="F349" s="480" t="s">
        <v>827</v>
      </c>
      <c r="G349" s="707">
        <v>21370000</v>
      </c>
      <c r="H349" s="831"/>
    </row>
    <row r="350" spans="1:8">
      <c r="A350" s="457"/>
      <c r="B350" s="480" t="s">
        <v>805</v>
      </c>
      <c r="C350" s="711">
        <v>11732600</v>
      </c>
      <c r="D350" s="712">
        <f>SUM(D351,D362)</f>
        <v>0</v>
      </c>
      <c r="E350" s="692"/>
      <c r="F350" s="699" t="s">
        <v>830</v>
      </c>
      <c r="G350" s="700">
        <v>21400000</v>
      </c>
      <c r="H350" s="701">
        <f>SUM(H351:H353,H356,H359:H361)</f>
        <v>0</v>
      </c>
    </row>
    <row r="351" spans="1:8">
      <c r="A351" s="457"/>
      <c r="B351" s="709" t="s">
        <v>796</v>
      </c>
      <c r="C351" s="711">
        <v>11732610</v>
      </c>
      <c r="D351" s="712">
        <f>SUM(D352,D357)</f>
        <v>0</v>
      </c>
      <c r="E351" s="692"/>
      <c r="F351" s="480" t="s">
        <v>824</v>
      </c>
      <c r="G351" s="707">
        <v>21410000</v>
      </c>
      <c r="H351" s="831"/>
    </row>
    <row r="352" spans="1:8">
      <c r="A352" s="457"/>
      <c r="B352" s="718" t="s">
        <v>797</v>
      </c>
      <c r="C352" s="711">
        <v>11732611</v>
      </c>
      <c r="D352" s="712">
        <f>SUM(D353:D356)</f>
        <v>0</v>
      </c>
      <c r="E352" s="692"/>
      <c r="F352" s="480" t="s">
        <v>825</v>
      </c>
      <c r="G352" s="707">
        <v>21420000</v>
      </c>
      <c r="H352" s="831"/>
    </row>
    <row r="353" spans="1:8">
      <c r="A353" s="457"/>
      <c r="B353" s="759" t="s">
        <v>823</v>
      </c>
      <c r="C353" s="711"/>
      <c r="D353" s="826"/>
      <c r="E353" s="692"/>
      <c r="F353" s="480" t="s">
        <v>796</v>
      </c>
      <c r="G353" s="707">
        <v>21430000</v>
      </c>
      <c r="H353" s="710">
        <f>SUM(H354:H355)</f>
        <v>0</v>
      </c>
    </row>
    <row r="354" spans="1:8">
      <c r="A354" s="457"/>
      <c r="B354" s="759" t="s">
        <v>769</v>
      </c>
      <c r="C354" s="711"/>
      <c r="D354" s="826"/>
      <c r="E354" s="692"/>
      <c r="F354" s="709" t="s">
        <v>797</v>
      </c>
      <c r="G354" s="707">
        <v>21431000</v>
      </c>
      <c r="H354" s="831"/>
    </row>
    <row r="355" spans="1:8">
      <c r="A355" s="457"/>
      <c r="B355" s="759" t="s">
        <v>770</v>
      </c>
      <c r="C355" s="711"/>
      <c r="D355" s="826"/>
      <c r="E355" s="692"/>
      <c r="F355" s="709" t="s">
        <v>53</v>
      </c>
      <c r="G355" s="707">
        <v>21432000</v>
      </c>
      <c r="H355" s="831"/>
    </row>
    <row r="356" spans="1:8">
      <c r="A356" s="457"/>
      <c r="B356" s="759" t="s">
        <v>771</v>
      </c>
      <c r="C356" s="711"/>
      <c r="D356" s="826"/>
      <c r="E356" s="692"/>
      <c r="F356" s="480" t="s">
        <v>799</v>
      </c>
      <c r="G356" s="707">
        <v>21440000</v>
      </c>
      <c r="H356" s="710">
        <f>SUM(H357:H358)</f>
        <v>0</v>
      </c>
    </row>
    <row r="357" spans="1:8">
      <c r="A357" s="457"/>
      <c r="B357" s="718" t="s">
        <v>53</v>
      </c>
      <c r="C357" s="711">
        <v>11732612</v>
      </c>
      <c r="D357" s="712">
        <f>SUM(D358:D361)</f>
        <v>0</v>
      </c>
      <c r="E357" s="692"/>
      <c r="F357" s="709" t="s">
        <v>52</v>
      </c>
      <c r="G357" s="707">
        <v>21441000</v>
      </c>
      <c r="H357" s="831"/>
    </row>
    <row r="358" spans="1:8">
      <c r="A358" s="457"/>
      <c r="B358" s="759" t="s">
        <v>823</v>
      </c>
      <c r="C358" s="711"/>
      <c r="D358" s="826"/>
      <c r="E358" s="692"/>
      <c r="F358" s="709" t="s">
        <v>801</v>
      </c>
      <c r="G358" s="707">
        <v>21442000</v>
      </c>
      <c r="H358" s="831"/>
    </row>
    <row r="359" spans="1:8">
      <c r="A359" s="457"/>
      <c r="B359" s="759" t="s">
        <v>769</v>
      </c>
      <c r="C359" s="711"/>
      <c r="D359" s="826"/>
      <c r="E359" s="692"/>
      <c r="F359" s="480" t="s">
        <v>54</v>
      </c>
      <c r="G359" s="707">
        <v>21450000</v>
      </c>
      <c r="H359" s="831"/>
    </row>
    <row r="360" spans="1:8" ht="25.5">
      <c r="A360" s="457"/>
      <c r="B360" s="759" t="s">
        <v>770</v>
      </c>
      <c r="C360" s="711"/>
      <c r="D360" s="826"/>
      <c r="E360" s="692"/>
      <c r="F360" s="480" t="s">
        <v>1445</v>
      </c>
      <c r="G360" s="707">
        <v>21460000</v>
      </c>
      <c r="H360" s="831"/>
    </row>
    <row r="361" spans="1:8">
      <c r="A361" s="457"/>
      <c r="B361" s="759" t="s">
        <v>771</v>
      </c>
      <c r="C361" s="711"/>
      <c r="D361" s="826"/>
      <c r="E361" s="692"/>
      <c r="F361" s="480" t="s">
        <v>827</v>
      </c>
      <c r="G361" s="707">
        <v>21470000</v>
      </c>
      <c r="H361" s="831"/>
    </row>
    <row r="362" spans="1:8">
      <c r="A362" s="457"/>
      <c r="B362" s="709" t="s">
        <v>799</v>
      </c>
      <c r="C362" s="711">
        <v>11732620</v>
      </c>
      <c r="D362" s="712">
        <f>SUM(D363,D368)</f>
        <v>0</v>
      </c>
      <c r="E362" s="692"/>
      <c r="F362" s="699" t="s">
        <v>831</v>
      </c>
      <c r="G362" s="700">
        <v>21500000</v>
      </c>
      <c r="H362" s="701">
        <f>SUM(H363:H365,H368,H371:H373)</f>
        <v>0</v>
      </c>
    </row>
    <row r="363" spans="1:8">
      <c r="A363" s="457"/>
      <c r="B363" s="718" t="s">
        <v>52</v>
      </c>
      <c r="C363" s="711">
        <v>11732621</v>
      </c>
      <c r="D363" s="712">
        <f>SUM(D364:D367)</f>
        <v>0</v>
      </c>
      <c r="E363" s="692"/>
      <c r="F363" s="480" t="s">
        <v>824</v>
      </c>
      <c r="G363" s="707">
        <v>21510000</v>
      </c>
      <c r="H363" s="831"/>
    </row>
    <row r="364" spans="1:8">
      <c r="A364" s="457"/>
      <c r="B364" s="759" t="s">
        <v>823</v>
      </c>
      <c r="C364" s="711"/>
      <c r="D364" s="826"/>
      <c r="E364" s="692"/>
      <c r="F364" s="480" t="s">
        <v>825</v>
      </c>
      <c r="G364" s="707">
        <v>21520000</v>
      </c>
      <c r="H364" s="831"/>
    </row>
    <row r="365" spans="1:8">
      <c r="A365" s="457"/>
      <c r="B365" s="759" t="s">
        <v>769</v>
      </c>
      <c r="C365" s="711"/>
      <c r="D365" s="826"/>
      <c r="E365" s="692"/>
      <c r="F365" s="480" t="s">
        <v>796</v>
      </c>
      <c r="G365" s="707">
        <v>21530000</v>
      </c>
      <c r="H365" s="710">
        <f>SUM(H366:H367)</f>
        <v>0</v>
      </c>
    </row>
    <row r="366" spans="1:8">
      <c r="A366" s="457"/>
      <c r="B366" s="759" t="s">
        <v>770</v>
      </c>
      <c r="C366" s="711"/>
      <c r="D366" s="826"/>
      <c r="E366" s="692"/>
      <c r="F366" s="709" t="s">
        <v>797</v>
      </c>
      <c r="G366" s="707">
        <v>21531000</v>
      </c>
      <c r="H366" s="831"/>
    </row>
    <row r="367" spans="1:8">
      <c r="A367" s="457"/>
      <c r="B367" s="759" t="s">
        <v>771</v>
      </c>
      <c r="C367" s="711"/>
      <c r="D367" s="826"/>
      <c r="E367" s="692"/>
      <c r="F367" s="709" t="s">
        <v>53</v>
      </c>
      <c r="G367" s="707">
        <v>21532000</v>
      </c>
      <c r="H367" s="831"/>
    </row>
    <row r="368" spans="1:8">
      <c r="A368" s="457"/>
      <c r="B368" s="718" t="s">
        <v>801</v>
      </c>
      <c r="C368" s="711">
        <v>11732622</v>
      </c>
      <c r="D368" s="712">
        <f>SUM(D369:D372)</f>
        <v>0</v>
      </c>
      <c r="E368" s="692"/>
      <c r="F368" s="480" t="s">
        <v>799</v>
      </c>
      <c r="G368" s="707">
        <v>21540000</v>
      </c>
      <c r="H368" s="710">
        <f>SUM(H369:H370)</f>
        <v>0</v>
      </c>
    </row>
    <row r="369" spans="1:8">
      <c r="A369" s="457"/>
      <c r="B369" s="759" t="s">
        <v>823</v>
      </c>
      <c r="C369" s="711"/>
      <c r="D369" s="826"/>
      <c r="E369" s="692"/>
      <c r="F369" s="709" t="s">
        <v>52</v>
      </c>
      <c r="G369" s="707">
        <v>21541000</v>
      </c>
      <c r="H369" s="831"/>
    </row>
    <row r="370" spans="1:8">
      <c r="A370" s="457"/>
      <c r="B370" s="759" t="s">
        <v>769</v>
      </c>
      <c r="C370" s="711"/>
      <c r="D370" s="826"/>
      <c r="E370" s="692"/>
      <c r="F370" s="709" t="s">
        <v>801</v>
      </c>
      <c r="G370" s="707">
        <v>21542000</v>
      </c>
      <c r="H370" s="831"/>
    </row>
    <row r="371" spans="1:8">
      <c r="A371" s="457"/>
      <c r="B371" s="759" t="s">
        <v>770</v>
      </c>
      <c r="C371" s="711"/>
      <c r="D371" s="826"/>
      <c r="E371" s="692"/>
      <c r="F371" s="480" t="s">
        <v>54</v>
      </c>
      <c r="G371" s="707">
        <v>21550000</v>
      </c>
      <c r="H371" s="831"/>
    </row>
    <row r="372" spans="1:8" ht="25.5">
      <c r="A372" s="457"/>
      <c r="B372" s="759" t="s">
        <v>771</v>
      </c>
      <c r="C372" s="711"/>
      <c r="D372" s="826"/>
      <c r="E372" s="692"/>
      <c r="F372" s="480" t="s">
        <v>1445</v>
      </c>
      <c r="G372" s="707">
        <v>21560000</v>
      </c>
      <c r="H372" s="831"/>
    </row>
    <row r="373" spans="1:8">
      <c r="A373" s="457"/>
      <c r="B373" s="480" t="s">
        <v>50</v>
      </c>
      <c r="C373" s="711">
        <v>11732700</v>
      </c>
      <c r="D373" s="712">
        <f>SUM(D374,D387)</f>
        <v>0</v>
      </c>
      <c r="E373" s="692"/>
      <c r="F373" s="480" t="s">
        <v>827</v>
      </c>
      <c r="G373" s="707">
        <v>21570000</v>
      </c>
      <c r="H373" s="831"/>
    </row>
    <row r="374" spans="1:8">
      <c r="A374" s="457"/>
      <c r="B374" s="480" t="s">
        <v>796</v>
      </c>
      <c r="C374" s="711">
        <v>11732710</v>
      </c>
      <c r="D374" s="712">
        <f>SUM(D375,D381)</f>
        <v>0</v>
      </c>
      <c r="E374" s="692"/>
      <c r="F374" s="760" t="s">
        <v>1450</v>
      </c>
      <c r="G374" s="761">
        <v>22000000</v>
      </c>
      <c r="H374" s="762">
        <f>SUM(H375:H383)</f>
        <v>0</v>
      </c>
    </row>
    <row r="375" spans="1:8">
      <c r="A375" s="457"/>
      <c r="B375" s="709" t="s">
        <v>797</v>
      </c>
      <c r="C375" s="711">
        <v>11732711</v>
      </c>
      <c r="D375" s="712">
        <f>SUM(D376:D380)</f>
        <v>0</v>
      </c>
      <c r="E375" s="692"/>
      <c r="F375" s="480" t="s">
        <v>833</v>
      </c>
      <c r="G375" s="707">
        <v>22100000</v>
      </c>
      <c r="H375" s="832"/>
    </row>
    <row r="376" spans="1:8">
      <c r="A376" s="457"/>
      <c r="B376" s="718" t="s">
        <v>267</v>
      </c>
      <c r="C376" s="711"/>
      <c r="D376" s="826"/>
      <c r="E376" s="692"/>
      <c r="F376" s="480" t="s">
        <v>834</v>
      </c>
      <c r="G376" s="707">
        <v>22200000</v>
      </c>
      <c r="H376" s="831"/>
    </row>
    <row r="377" spans="1:8">
      <c r="A377" s="457"/>
      <c r="B377" s="718" t="s">
        <v>823</v>
      </c>
      <c r="C377" s="711"/>
      <c r="D377" s="826"/>
      <c r="E377" s="692"/>
      <c r="F377" s="480" t="s">
        <v>835</v>
      </c>
      <c r="G377" s="707">
        <v>22300000</v>
      </c>
      <c r="H377" s="831"/>
    </row>
    <row r="378" spans="1:8">
      <c r="A378" s="457"/>
      <c r="B378" s="718" t="s">
        <v>769</v>
      </c>
      <c r="C378" s="711"/>
      <c r="D378" s="826"/>
      <c r="E378" s="692"/>
      <c r="F378" s="480" t="s">
        <v>836</v>
      </c>
      <c r="G378" s="707">
        <v>22400000</v>
      </c>
      <c r="H378" s="831"/>
    </row>
    <row r="379" spans="1:8" ht="25.5">
      <c r="A379" s="457"/>
      <c r="B379" s="718" t="s">
        <v>770</v>
      </c>
      <c r="C379" s="711"/>
      <c r="D379" s="826"/>
      <c r="E379" s="692"/>
      <c r="F379" s="480" t="s">
        <v>837</v>
      </c>
      <c r="G379" s="707">
        <v>22500000</v>
      </c>
      <c r="H379" s="831"/>
    </row>
    <row r="380" spans="1:8">
      <c r="A380" s="457"/>
      <c r="B380" s="718" t="s">
        <v>771</v>
      </c>
      <c r="C380" s="711"/>
      <c r="D380" s="826"/>
      <c r="E380" s="692"/>
      <c r="F380" s="480" t="s">
        <v>838</v>
      </c>
      <c r="G380" s="707">
        <v>22600000</v>
      </c>
      <c r="H380" s="831"/>
    </row>
    <row r="381" spans="1:8">
      <c r="A381" s="457"/>
      <c r="B381" s="709" t="s">
        <v>53</v>
      </c>
      <c r="C381" s="711">
        <v>11732712</v>
      </c>
      <c r="D381" s="712">
        <f>SUM(D382:D386)</f>
        <v>0</v>
      </c>
      <c r="E381" s="692"/>
      <c r="F381" s="480" t="s">
        <v>839</v>
      </c>
      <c r="G381" s="707">
        <v>22700000</v>
      </c>
      <c r="H381" s="831"/>
    </row>
    <row r="382" spans="1:8">
      <c r="A382" s="457"/>
      <c r="B382" s="718" t="s">
        <v>267</v>
      </c>
      <c r="C382" s="711"/>
      <c r="D382" s="826"/>
      <c r="E382" s="692"/>
      <c r="F382" s="480" t="s">
        <v>840</v>
      </c>
      <c r="G382" s="707">
        <v>22800000</v>
      </c>
      <c r="H382" s="831"/>
    </row>
    <row r="383" spans="1:8">
      <c r="A383" s="457"/>
      <c r="B383" s="718" t="s">
        <v>823</v>
      </c>
      <c r="C383" s="711"/>
      <c r="D383" s="826"/>
      <c r="E383" s="692"/>
      <c r="F383" s="480" t="s">
        <v>1493</v>
      </c>
      <c r="G383" s="707">
        <v>22900000</v>
      </c>
      <c r="H383" s="831"/>
    </row>
    <row r="384" spans="1:8">
      <c r="A384" s="457"/>
      <c r="B384" s="718" t="s">
        <v>769</v>
      </c>
      <c r="C384" s="711"/>
      <c r="D384" s="826"/>
      <c r="E384" s="692"/>
      <c r="F384" s="693" t="s">
        <v>1451</v>
      </c>
      <c r="G384" s="694">
        <v>23000000</v>
      </c>
      <c r="H384" s="695">
        <f>SUM(H385,H388,H391,-H398)</f>
        <v>0</v>
      </c>
    </row>
    <row r="385" spans="1:8">
      <c r="A385" s="457"/>
      <c r="B385" s="718" t="s">
        <v>770</v>
      </c>
      <c r="C385" s="711"/>
      <c r="D385" s="826"/>
      <c r="E385" s="692"/>
      <c r="F385" s="704" t="s">
        <v>852</v>
      </c>
      <c r="G385" s="748">
        <v>23100000</v>
      </c>
      <c r="H385" s="750">
        <f>SUM(H386:H387)</f>
        <v>0</v>
      </c>
    </row>
    <row r="386" spans="1:8">
      <c r="A386" s="457"/>
      <c r="B386" s="718" t="s">
        <v>771</v>
      </c>
      <c r="C386" s="711"/>
      <c r="D386" s="826"/>
      <c r="E386" s="692"/>
      <c r="F386" s="709" t="s">
        <v>714</v>
      </c>
      <c r="G386" s="707">
        <v>23110000</v>
      </c>
      <c r="H386" s="831"/>
    </row>
    <row r="387" spans="1:8">
      <c r="A387" s="457"/>
      <c r="B387" s="480" t="s">
        <v>799</v>
      </c>
      <c r="C387" s="711">
        <v>11732720</v>
      </c>
      <c r="D387" s="712">
        <f>SUM(D388,D394)</f>
        <v>0</v>
      </c>
      <c r="E387" s="692"/>
      <c r="F387" s="709" t="s">
        <v>83</v>
      </c>
      <c r="G387" s="707">
        <v>23120000</v>
      </c>
      <c r="H387" s="831"/>
    </row>
    <row r="388" spans="1:8">
      <c r="A388" s="457"/>
      <c r="B388" s="709" t="s">
        <v>52</v>
      </c>
      <c r="C388" s="711">
        <v>11732721</v>
      </c>
      <c r="D388" s="712">
        <f>SUM(D389:D393)</f>
        <v>0</v>
      </c>
      <c r="E388" s="692"/>
      <c r="F388" s="704" t="s">
        <v>853</v>
      </c>
      <c r="G388" s="748">
        <v>23200000</v>
      </c>
      <c r="H388" s="750">
        <f>SUM(H389:H390)</f>
        <v>0</v>
      </c>
    </row>
    <row r="389" spans="1:8">
      <c r="A389" s="457"/>
      <c r="B389" s="718" t="s">
        <v>267</v>
      </c>
      <c r="C389" s="711"/>
      <c r="D389" s="826"/>
      <c r="E389" s="692"/>
      <c r="F389" s="709" t="s">
        <v>714</v>
      </c>
      <c r="G389" s="707">
        <v>23210000</v>
      </c>
      <c r="H389" s="831"/>
    </row>
    <row r="390" spans="1:8">
      <c r="A390" s="457"/>
      <c r="B390" s="718" t="s">
        <v>823</v>
      </c>
      <c r="C390" s="711"/>
      <c r="D390" s="826"/>
      <c r="E390" s="692"/>
      <c r="F390" s="709" t="s">
        <v>83</v>
      </c>
      <c r="G390" s="707">
        <v>23220000</v>
      </c>
      <c r="H390" s="831"/>
    </row>
    <row r="391" spans="1:8">
      <c r="A391" s="457"/>
      <c r="B391" s="718" t="s">
        <v>769</v>
      </c>
      <c r="C391" s="711"/>
      <c r="D391" s="826"/>
      <c r="E391" s="692"/>
      <c r="F391" s="723" t="s">
        <v>782</v>
      </c>
      <c r="G391" s="724">
        <v>23300000</v>
      </c>
      <c r="H391" s="956">
        <f>SUM(H392,-H395)</f>
        <v>0</v>
      </c>
    </row>
    <row r="392" spans="1:8">
      <c r="A392" s="457"/>
      <c r="B392" s="718" t="s">
        <v>770</v>
      </c>
      <c r="C392" s="711"/>
      <c r="D392" s="826"/>
      <c r="E392" s="692"/>
      <c r="F392" s="726" t="s">
        <v>783</v>
      </c>
      <c r="G392" s="786">
        <v>23310000</v>
      </c>
      <c r="H392" s="957">
        <f>SUM(H393:H394)</f>
        <v>0</v>
      </c>
    </row>
    <row r="393" spans="1:8">
      <c r="A393" s="457"/>
      <c r="B393" s="718" t="s">
        <v>771</v>
      </c>
      <c r="C393" s="711"/>
      <c r="D393" s="826"/>
      <c r="E393" s="692"/>
      <c r="F393" s="728" t="s">
        <v>714</v>
      </c>
      <c r="G393" s="786">
        <v>23311000</v>
      </c>
      <c r="H393" s="958"/>
    </row>
    <row r="394" spans="1:8">
      <c r="A394" s="457"/>
      <c r="B394" s="709" t="s">
        <v>801</v>
      </c>
      <c r="C394" s="711">
        <v>11732722</v>
      </c>
      <c r="D394" s="712">
        <f>SUM(D395:D399)</f>
        <v>0</v>
      </c>
      <c r="E394" s="692"/>
      <c r="F394" s="728" t="s">
        <v>83</v>
      </c>
      <c r="G394" s="786">
        <v>23312000</v>
      </c>
      <c r="H394" s="958"/>
    </row>
    <row r="395" spans="1:8">
      <c r="A395" s="457"/>
      <c r="B395" s="718" t="s">
        <v>267</v>
      </c>
      <c r="C395" s="711"/>
      <c r="D395" s="826"/>
      <c r="E395" s="692"/>
      <c r="F395" s="726" t="s">
        <v>786</v>
      </c>
      <c r="G395" s="786">
        <v>23320000</v>
      </c>
      <c r="H395" s="957">
        <f>SUM(H396:H397)</f>
        <v>0</v>
      </c>
    </row>
    <row r="396" spans="1:8">
      <c r="A396" s="457"/>
      <c r="B396" s="718" t="s">
        <v>823</v>
      </c>
      <c r="C396" s="711"/>
      <c r="D396" s="826"/>
      <c r="E396" s="692"/>
      <c r="F396" s="728" t="s">
        <v>714</v>
      </c>
      <c r="G396" s="786">
        <v>23321000</v>
      </c>
      <c r="H396" s="958"/>
    </row>
    <row r="397" spans="1:8">
      <c r="A397" s="457"/>
      <c r="B397" s="718" t="s">
        <v>769</v>
      </c>
      <c r="C397" s="711"/>
      <c r="D397" s="826"/>
      <c r="E397" s="692"/>
      <c r="F397" s="728" t="s">
        <v>83</v>
      </c>
      <c r="G397" s="786">
        <v>23322000</v>
      </c>
      <c r="H397" s="958"/>
    </row>
    <row r="398" spans="1:8">
      <c r="A398" s="457"/>
      <c r="B398" s="718" t="s">
        <v>770</v>
      </c>
      <c r="C398" s="711"/>
      <c r="D398" s="826"/>
      <c r="E398" s="734"/>
      <c r="F398" s="723" t="s">
        <v>854</v>
      </c>
      <c r="G398" s="724">
        <v>23400000</v>
      </c>
      <c r="H398" s="956">
        <f>SUM(H399:H400)</f>
        <v>0</v>
      </c>
    </row>
    <row r="399" spans="1:8">
      <c r="A399" s="457"/>
      <c r="B399" s="718" t="s">
        <v>771</v>
      </c>
      <c r="C399" s="711"/>
      <c r="D399" s="826"/>
      <c r="E399" s="734"/>
      <c r="F399" s="709" t="s">
        <v>714</v>
      </c>
      <c r="G399" s="707">
        <v>23410000</v>
      </c>
      <c r="H399" s="831"/>
    </row>
    <row r="400" spans="1:8">
      <c r="A400" s="468"/>
      <c r="B400" s="723" t="s">
        <v>809</v>
      </c>
      <c r="C400" s="716">
        <v>11732800</v>
      </c>
      <c r="D400" s="946">
        <f>SUM(D401,-D426)</f>
        <v>0</v>
      </c>
      <c r="E400" s="692"/>
      <c r="F400" s="709" t="s">
        <v>83</v>
      </c>
      <c r="G400" s="707">
        <v>23420000</v>
      </c>
      <c r="H400" s="831"/>
    </row>
    <row r="401" spans="1:8">
      <c r="A401" s="468"/>
      <c r="B401" s="949" t="s">
        <v>743</v>
      </c>
      <c r="C401" s="729">
        <v>11732810</v>
      </c>
      <c r="D401" s="730">
        <f>SUM(D402:D404,D411,D412,D419)</f>
        <v>0</v>
      </c>
      <c r="E401" s="692"/>
      <c r="F401" s="760" t="s">
        <v>1452</v>
      </c>
      <c r="G401" s="761">
        <v>24000000</v>
      </c>
      <c r="H401" s="833"/>
    </row>
    <row r="402" spans="1:8">
      <c r="A402" s="468"/>
      <c r="B402" s="728" t="s">
        <v>47</v>
      </c>
      <c r="C402" s="729">
        <v>11732811</v>
      </c>
      <c r="D402" s="945"/>
      <c r="E402" s="685"/>
      <c r="F402" s="686" t="s">
        <v>1212</v>
      </c>
      <c r="G402" s="687">
        <v>25000000</v>
      </c>
      <c r="H402" s="688">
        <f>SUM(H403:H412)</f>
        <v>0</v>
      </c>
    </row>
    <row r="403" spans="1:8">
      <c r="A403" s="468"/>
      <c r="B403" s="728" t="s">
        <v>745</v>
      </c>
      <c r="C403" s="729">
        <v>11732812</v>
      </c>
      <c r="D403" s="945"/>
      <c r="E403" s="692"/>
      <c r="F403" s="480" t="s">
        <v>841</v>
      </c>
      <c r="G403" s="707">
        <v>25010000</v>
      </c>
      <c r="H403" s="831"/>
    </row>
    <row r="404" spans="1:8">
      <c r="A404" s="468"/>
      <c r="B404" s="728" t="s">
        <v>795</v>
      </c>
      <c r="C404" s="729">
        <v>11732813</v>
      </c>
      <c r="D404" s="730">
        <f>SUM(D405,D408)</f>
        <v>0</v>
      </c>
      <c r="E404" s="692"/>
      <c r="F404" s="480" t="s">
        <v>842</v>
      </c>
      <c r="G404" s="707">
        <v>25020000</v>
      </c>
      <c r="H404" s="831"/>
    </row>
    <row r="405" spans="1:8">
      <c r="A405" s="457"/>
      <c r="B405" s="950" t="s">
        <v>796</v>
      </c>
      <c r="C405" s="729"/>
      <c r="D405" s="730">
        <f>SUM(D406:D407)</f>
        <v>0</v>
      </c>
      <c r="E405" s="692"/>
      <c r="F405" s="480" t="s">
        <v>843</v>
      </c>
      <c r="G405" s="707">
        <v>25030000</v>
      </c>
      <c r="H405" s="831"/>
    </row>
    <row r="406" spans="1:8">
      <c r="A406" s="457"/>
      <c r="B406" s="951" t="s">
        <v>797</v>
      </c>
      <c r="C406" s="729"/>
      <c r="D406" s="945"/>
      <c r="E406" s="692"/>
      <c r="F406" s="480" t="s">
        <v>844</v>
      </c>
      <c r="G406" s="707">
        <v>25040000</v>
      </c>
      <c r="H406" s="831"/>
    </row>
    <row r="407" spans="1:8">
      <c r="A407" s="457"/>
      <c r="B407" s="951" t="s">
        <v>53</v>
      </c>
      <c r="C407" s="729"/>
      <c r="D407" s="945"/>
      <c r="E407" s="692"/>
      <c r="F407" s="480" t="s">
        <v>845</v>
      </c>
      <c r="G407" s="707">
        <v>25050000</v>
      </c>
      <c r="H407" s="831"/>
    </row>
    <row r="408" spans="1:8">
      <c r="A408" s="457"/>
      <c r="B408" s="950" t="s">
        <v>799</v>
      </c>
      <c r="C408" s="729"/>
      <c r="D408" s="730">
        <f>SUM(D409:D410)</f>
        <v>0</v>
      </c>
      <c r="E408" s="692"/>
      <c r="F408" s="480" t="s">
        <v>848</v>
      </c>
      <c r="G408" s="707">
        <v>25060000</v>
      </c>
      <c r="H408" s="831"/>
    </row>
    <row r="409" spans="1:8">
      <c r="A409" s="457"/>
      <c r="B409" s="951" t="s">
        <v>52</v>
      </c>
      <c r="C409" s="729"/>
      <c r="D409" s="945"/>
      <c r="E409" s="692"/>
      <c r="F409" s="765" t="s">
        <v>849</v>
      </c>
      <c r="G409" s="707">
        <v>25070000</v>
      </c>
      <c r="H409" s="831"/>
    </row>
    <row r="410" spans="1:8">
      <c r="A410" s="457"/>
      <c r="B410" s="951" t="s">
        <v>801</v>
      </c>
      <c r="C410" s="729"/>
      <c r="D410" s="945"/>
      <c r="E410" s="692"/>
      <c r="F410" s="480" t="s">
        <v>850</v>
      </c>
      <c r="G410" s="707">
        <v>25080000</v>
      </c>
      <c r="H410" s="831"/>
    </row>
    <row r="411" spans="1:8">
      <c r="A411" s="468"/>
      <c r="B411" s="728" t="s">
        <v>804</v>
      </c>
      <c r="C411" s="729">
        <v>11732814</v>
      </c>
      <c r="D411" s="945"/>
      <c r="E411" s="692"/>
      <c r="F411" s="480" t="s">
        <v>56</v>
      </c>
      <c r="G411" s="707">
        <v>25090000</v>
      </c>
      <c r="H411" s="831"/>
    </row>
    <row r="412" spans="1:8">
      <c r="A412" s="468"/>
      <c r="B412" s="728" t="s">
        <v>805</v>
      </c>
      <c r="C412" s="729">
        <v>11732815</v>
      </c>
      <c r="D412" s="730">
        <f>SUM(D413,D416)</f>
        <v>0</v>
      </c>
      <c r="E412" s="692"/>
      <c r="F412" s="699" t="s">
        <v>1213</v>
      </c>
      <c r="G412" s="702">
        <v>26000000</v>
      </c>
      <c r="H412" s="701">
        <f>SUM(H413:H415)</f>
        <v>0</v>
      </c>
    </row>
    <row r="413" spans="1:8" ht="25.5">
      <c r="A413" s="457"/>
      <c r="B413" s="950" t="s">
        <v>796</v>
      </c>
      <c r="C413" s="729"/>
      <c r="D413" s="730">
        <f>SUM(D414:D415)</f>
        <v>0</v>
      </c>
      <c r="E413" s="692"/>
      <c r="F413" s="480" t="s">
        <v>846</v>
      </c>
      <c r="G413" s="707">
        <v>26100000</v>
      </c>
      <c r="H413" s="831"/>
    </row>
    <row r="414" spans="1:8">
      <c r="A414" s="457"/>
      <c r="B414" s="951" t="s">
        <v>797</v>
      </c>
      <c r="C414" s="729"/>
      <c r="D414" s="945"/>
      <c r="E414" s="692"/>
      <c r="F414" s="480" t="s">
        <v>847</v>
      </c>
      <c r="G414" s="707">
        <v>26200000</v>
      </c>
      <c r="H414" s="831"/>
    </row>
    <row r="415" spans="1:8">
      <c r="A415" s="457"/>
      <c r="B415" s="951" t="s">
        <v>53</v>
      </c>
      <c r="C415" s="729"/>
      <c r="D415" s="945"/>
      <c r="E415" s="692"/>
      <c r="F415" s="480" t="s">
        <v>851</v>
      </c>
      <c r="G415" s="705">
        <v>26300000</v>
      </c>
      <c r="H415" s="834"/>
    </row>
    <row r="416" spans="1:8">
      <c r="A416" s="457"/>
      <c r="B416" s="950" t="s">
        <v>799</v>
      </c>
      <c r="C416" s="729"/>
      <c r="D416" s="730">
        <f>SUM(D417:D418)</f>
        <v>0</v>
      </c>
      <c r="E416" s="692"/>
      <c r="F416" s="760" t="s">
        <v>856</v>
      </c>
      <c r="G416" s="761">
        <v>30000000</v>
      </c>
      <c r="H416" s="762">
        <f>SUM(H417,H421:H422,H423,-H426,H429,H430,H433)</f>
        <v>0</v>
      </c>
    </row>
    <row r="417" spans="1:8">
      <c r="A417" s="457"/>
      <c r="B417" s="951" t="s">
        <v>52</v>
      </c>
      <c r="C417" s="729"/>
      <c r="D417" s="945"/>
      <c r="E417" s="692"/>
      <c r="F417" s="699" t="s">
        <v>857</v>
      </c>
      <c r="G417" s="700">
        <v>31000000</v>
      </c>
      <c r="H417" s="701">
        <f>SUM(H418:H420)</f>
        <v>0</v>
      </c>
    </row>
    <row r="418" spans="1:8">
      <c r="A418" s="457"/>
      <c r="B418" s="951" t="s">
        <v>801</v>
      </c>
      <c r="C418" s="729"/>
      <c r="D418" s="945"/>
      <c r="E418" s="692"/>
      <c r="F418" s="480" t="s">
        <v>858</v>
      </c>
      <c r="G418" s="707">
        <v>31100000</v>
      </c>
      <c r="H418" s="831"/>
    </row>
    <row r="419" spans="1:8">
      <c r="A419" s="468"/>
      <c r="B419" s="728" t="s">
        <v>50</v>
      </c>
      <c r="C419" s="729">
        <v>11732816</v>
      </c>
      <c r="D419" s="730">
        <f>SUM(D420,D423)</f>
        <v>0</v>
      </c>
      <c r="E419" s="692"/>
      <c r="F419" s="480" t="s">
        <v>859</v>
      </c>
      <c r="G419" s="707">
        <v>31200000</v>
      </c>
      <c r="H419" s="831"/>
    </row>
    <row r="420" spans="1:8">
      <c r="A420" s="457"/>
      <c r="B420" s="950" t="s">
        <v>796</v>
      </c>
      <c r="C420" s="729"/>
      <c r="D420" s="730">
        <f>SUM(D421:D422)</f>
        <v>0</v>
      </c>
      <c r="E420" s="692"/>
      <c r="F420" s="480" t="s">
        <v>860</v>
      </c>
      <c r="G420" s="707">
        <v>31300000</v>
      </c>
      <c r="H420" s="831"/>
    </row>
    <row r="421" spans="1:8">
      <c r="A421" s="457"/>
      <c r="B421" s="951" t="s">
        <v>797</v>
      </c>
      <c r="C421" s="729"/>
      <c r="D421" s="945"/>
      <c r="E421" s="692"/>
      <c r="F421" s="789" t="s">
        <v>861</v>
      </c>
      <c r="G421" s="707">
        <v>31400000</v>
      </c>
      <c r="H421" s="831"/>
    </row>
    <row r="422" spans="1:8">
      <c r="A422" s="457"/>
      <c r="B422" s="951" t="s">
        <v>53</v>
      </c>
      <c r="C422" s="729"/>
      <c r="D422" s="945"/>
      <c r="E422" s="692"/>
      <c r="F422" s="789" t="s">
        <v>862</v>
      </c>
      <c r="G422" s="707">
        <v>31500000</v>
      </c>
      <c r="H422" s="831"/>
    </row>
    <row r="423" spans="1:8">
      <c r="A423" s="457"/>
      <c r="B423" s="950" t="s">
        <v>799</v>
      </c>
      <c r="C423" s="729"/>
      <c r="D423" s="730">
        <f>SUM(D424:D425)</f>
        <v>0</v>
      </c>
      <c r="E423" s="692"/>
      <c r="F423" s="699" t="s">
        <v>863</v>
      </c>
      <c r="G423" s="700">
        <v>32000000</v>
      </c>
      <c r="H423" s="701">
        <f>SUM(H424:H425)</f>
        <v>0</v>
      </c>
    </row>
    <row r="424" spans="1:8">
      <c r="A424" s="457"/>
      <c r="B424" s="951" t="s">
        <v>52</v>
      </c>
      <c r="C424" s="729"/>
      <c r="D424" s="945"/>
      <c r="E424" s="734"/>
      <c r="F424" s="480" t="s">
        <v>864</v>
      </c>
      <c r="G424" s="707">
        <v>32100000</v>
      </c>
      <c r="H424" s="831"/>
    </row>
    <row r="425" spans="1:8">
      <c r="A425" s="457"/>
      <c r="B425" s="951" t="s">
        <v>801</v>
      </c>
      <c r="C425" s="729"/>
      <c r="D425" s="945"/>
      <c r="E425" s="692"/>
      <c r="F425" s="480" t="s">
        <v>58</v>
      </c>
      <c r="G425" s="707">
        <v>32200000</v>
      </c>
      <c r="H425" s="831"/>
    </row>
    <row r="426" spans="1:8">
      <c r="A426" s="468"/>
      <c r="B426" s="949" t="s">
        <v>51</v>
      </c>
      <c r="C426" s="729">
        <v>11732820</v>
      </c>
      <c r="D426" s="730">
        <f>SUM(D427:D429,D436,D437,D444)</f>
        <v>0</v>
      </c>
      <c r="E426" s="692"/>
      <c r="F426" s="699" t="s">
        <v>865</v>
      </c>
      <c r="G426" s="700">
        <v>33000000</v>
      </c>
      <c r="H426" s="701">
        <f>SUM(H427:H428)</f>
        <v>0</v>
      </c>
    </row>
    <row r="427" spans="1:8">
      <c r="A427" s="468"/>
      <c r="B427" s="728" t="s">
        <v>47</v>
      </c>
      <c r="C427" s="729">
        <v>11732821</v>
      </c>
      <c r="D427" s="945"/>
      <c r="E427" s="692"/>
      <c r="F427" s="480" t="s">
        <v>864</v>
      </c>
      <c r="G427" s="707">
        <v>33100000</v>
      </c>
      <c r="H427" s="831"/>
    </row>
    <row r="428" spans="1:8">
      <c r="A428" s="468"/>
      <c r="B428" s="728" t="s">
        <v>745</v>
      </c>
      <c r="C428" s="729">
        <v>11732822</v>
      </c>
      <c r="D428" s="945"/>
      <c r="E428" s="692"/>
      <c r="F428" s="480" t="s">
        <v>58</v>
      </c>
      <c r="G428" s="707">
        <v>33200000</v>
      </c>
      <c r="H428" s="831"/>
    </row>
    <row r="429" spans="1:8">
      <c r="A429" s="468"/>
      <c r="B429" s="728" t="s">
        <v>795</v>
      </c>
      <c r="C429" s="729">
        <v>11732823</v>
      </c>
      <c r="D429" s="730">
        <f>SUM(D430,D433)</f>
        <v>0</v>
      </c>
      <c r="E429" s="692"/>
      <c r="F429" s="699" t="s">
        <v>866</v>
      </c>
      <c r="G429" s="700">
        <v>34000000</v>
      </c>
      <c r="H429" s="835"/>
    </row>
    <row r="430" spans="1:8">
      <c r="A430" s="457"/>
      <c r="B430" s="950" t="s">
        <v>796</v>
      </c>
      <c r="C430" s="729"/>
      <c r="D430" s="730">
        <f>SUM(D431:D432)</f>
        <v>0</v>
      </c>
      <c r="E430" s="692"/>
      <c r="F430" s="699" t="s">
        <v>867</v>
      </c>
      <c r="G430" s="700">
        <v>35000000</v>
      </c>
      <c r="H430" s="701">
        <f>SUM(H431:H432)</f>
        <v>0</v>
      </c>
    </row>
    <row r="431" spans="1:8">
      <c r="A431" s="457"/>
      <c r="B431" s="951" t="s">
        <v>797</v>
      </c>
      <c r="C431" s="729"/>
      <c r="D431" s="945"/>
      <c r="E431" s="692"/>
      <c r="F431" s="480" t="s">
        <v>105</v>
      </c>
      <c r="G431" s="707">
        <v>35100000</v>
      </c>
      <c r="H431" s="710"/>
    </row>
    <row r="432" spans="1:8">
      <c r="A432" s="457"/>
      <c r="B432" s="951" t="s">
        <v>53</v>
      </c>
      <c r="C432" s="729"/>
      <c r="D432" s="945"/>
      <c r="E432" s="692"/>
      <c r="F432" s="480" t="s">
        <v>868</v>
      </c>
      <c r="G432" s="707">
        <v>35200000</v>
      </c>
      <c r="H432" s="831"/>
    </row>
    <row r="433" spans="1:8">
      <c r="A433" s="457"/>
      <c r="B433" s="950" t="s">
        <v>799</v>
      </c>
      <c r="C433" s="729"/>
      <c r="D433" s="730">
        <f>SUM(D434:D435)</f>
        <v>0</v>
      </c>
      <c r="E433" s="692"/>
      <c r="F433" s="699" t="s">
        <v>869</v>
      </c>
      <c r="G433" s="700">
        <v>36000000</v>
      </c>
      <c r="H433" s="701">
        <f>SUM(H434:H436,H449:H454)</f>
        <v>0</v>
      </c>
    </row>
    <row r="434" spans="1:8">
      <c r="A434" s="457"/>
      <c r="B434" s="951" t="s">
        <v>52</v>
      </c>
      <c r="C434" s="729"/>
      <c r="D434" s="945"/>
      <c r="E434" s="692"/>
      <c r="F434" s="704" t="s">
        <v>64</v>
      </c>
      <c r="G434" s="748">
        <v>36100000</v>
      </c>
      <c r="H434" s="836"/>
    </row>
    <row r="435" spans="1:8">
      <c r="A435" s="457"/>
      <c r="B435" s="951" t="s">
        <v>801</v>
      </c>
      <c r="C435" s="729"/>
      <c r="D435" s="945"/>
      <c r="E435" s="692"/>
      <c r="F435" s="704" t="s">
        <v>870</v>
      </c>
      <c r="G435" s="748">
        <v>36200000</v>
      </c>
      <c r="H435" s="836"/>
    </row>
    <row r="436" spans="1:8">
      <c r="A436" s="468"/>
      <c r="B436" s="728" t="s">
        <v>804</v>
      </c>
      <c r="C436" s="729">
        <v>11732824</v>
      </c>
      <c r="D436" s="945"/>
      <c r="E436" s="692"/>
      <c r="F436" s="704" t="s">
        <v>871</v>
      </c>
      <c r="G436" s="748">
        <v>36300000</v>
      </c>
      <c r="H436" s="750">
        <f>SUM(H437,H440:H441,H448)</f>
        <v>0</v>
      </c>
    </row>
    <row r="437" spans="1:8">
      <c r="A437" s="468"/>
      <c r="B437" s="728" t="s">
        <v>805</v>
      </c>
      <c r="C437" s="729">
        <v>11732825</v>
      </c>
      <c r="D437" s="730">
        <f>SUM(D438,D441)</f>
        <v>0</v>
      </c>
      <c r="E437" s="692"/>
      <c r="F437" s="709" t="s">
        <v>872</v>
      </c>
      <c r="G437" s="707">
        <v>36310000</v>
      </c>
      <c r="H437" s="710">
        <f>SUM(H438:H439)</f>
        <v>0</v>
      </c>
    </row>
    <row r="438" spans="1:8">
      <c r="A438" s="457"/>
      <c r="B438" s="950" t="s">
        <v>796</v>
      </c>
      <c r="C438" s="729"/>
      <c r="D438" s="730">
        <f>SUM(D439:D440)</f>
        <v>0</v>
      </c>
      <c r="E438" s="692"/>
      <c r="F438" s="718" t="s">
        <v>714</v>
      </c>
      <c r="G438" s="707">
        <v>36311000</v>
      </c>
      <c r="H438" s="831"/>
    </row>
    <row r="439" spans="1:8">
      <c r="A439" s="457"/>
      <c r="B439" s="951" t="s">
        <v>797</v>
      </c>
      <c r="C439" s="729"/>
      <c r="D439" s="945"/>
      <c r="E439" s="692"/>
      <c r="F439" s="718" t="s">
        <v>83</v>
      </c>
      <c r="G439" s="707">
        <v>36312000</v>
      </c>
      <c r="H439" s="831"/>
    </row>
    <row r="440" spans="1:8">
      <c r="A440" s="457"/>
      <c r="B440" s="951" t="s">
        <v>53</v>
      </c>
      <c r="C440" s="729"/>
      <c r="D440" s="945"/>
      <c r="E440" s="692"/>
      <c r="F440" s="709" t="s">
        <v>1162</v>
      </c>
      <c r="G440" s="707">
        <v>36320000</v>
      </c>
      <c r="H440" s="831"/>
    </row>
    <row r="441" spans="1:8">
      <c r="A441" s="457"/>
      <c r="B441" s="950" t="s">
        <v>799</v>
      </c>
      <c r="C441" s="729"/>
      <c r="D441" s="730">
        <f>SUM(D442:D443)</f>
        <v>0</v>
      </c>
      <c r="E441" s="692"/>
      <c r="F441" s="709" t="s">
        <v>1163</v>
      </c>
      <c r="G441" s="707">
        <v>36330000</v>
      </c>
      <c r="H441" s="710">
        <f>SUM(H442,H445)</f>
        <v>0</v>
      </c>
    </row>
    <row r="442" spans="1:8">
      <c r="A442" s="457"/>
      <c r="B442" s="951" t="s">
        <v>52</v>
      </c>
      <c r="C442" s="729"/>
      <c r="D442" s="945"/>
      <c r="E442" s="692"/>
      <c r="F442" s="718" t="s">
        <v>873</v>
      </c>
      <c r="G442" s="707">
        <v>36331000</v>
      </c>
      <c r="H442" s="710">
        <f>SUM(H443:H444)</f>
        <v>0</v>
      </c>
    </row>
    <row r="443" spans="1:8">
      <c r="A443" s="457"/>
      <c r="B443" s="951" t="s">
        <v>801</v>
      </c>
      <c r="C443" s="729"/>
      <c r="D443" s="945"/>
      <c r="E443" s="692"/>
      <c r="F443" s="759" t="s">
        <v>714</v>
      </c>
      <c r="G443" s="707">
        <v>36331100</v>
      </c>
      <c r="H443" s="831"/>
    </row>
    <row r="444" spans="1:8">
      <c r="A444" s="468"/>
      <c r="B444" s="728" t="s">
        <v>50</v>
      </c>
      <c r="C444" s="729">
        <v>11732826</v>
      </c>
      <c r="D444" s="730">
        <f>SUM(D445,D448)</f>
        <v>0</v>
      </c>
      <c r="E444" s="692"/>
      <c r="F444" s="759" t="s">
        <v>83</v>
      </c>
      <c r="G444" s="707">
        <v>36331200</v>
      </c>
      <c r="H444" s="831"/>
    </row>
    <row r="445" spans="1:8">
      <c r="A445" s="457"/>
      <c r="B445" s="950" t="s">
        <v>796</v>
      </c>
      <c r="C445" s="729"/>
      <c r="D445" s="730">
        <f>SUM(D446:D447)</f>
        <v>0</v>
      </c>
      <c r="E445" s="692"/>
      <c r="F445" s="718" t="s">
        <v>874</v>
      </c>
      <c r="G445" s="707">
        <v>36332000</v>
      </c>
      <c r="H445" s="710">
        <f>SUM(H446:H447)</f>
        <v>0</v>
      </c>
    </row>
    <row r="446" spans="1:8">
      <c r="A446" s="457"/>
      <c r="B446" s="951" t="s">
        <v>797</v>
      </c>
      <c r="C446" s="729"/>
      <c r="D446" s="945"/>
      <c r="E446" s="692"/>
      <c r="F446" s="759" t="s">
        <v>714</v>
      </c>
      <c r="G446" s="707">
        <v>36332100</v>
      </c>
      <c r="H446" s="831"/>
    </row>
    <row r="447" spans="1:8">
      <c r="A447" s="457"/>
      <c r="B447" s="951" t="s">
        <v>53</v>
      </c>
      <c r="C447" s="729"/>
      <c r="D447" s="945"/>
      <c r="E447" s="692"/>
      <c r="F447" s="759" t="s">
        <v>83</v>
      </c>
      <c r="G447" s="707">
        <v>36332200</v>
      </c>
      <c r="H447" s="831"/>
    </row>
    <row r="448" spans="1:8">
      <c r="A448" s="457"/>
      <c r="B448" s="950" t="s">
        <v>799</v>
      </c>
      <c r="C448" s="729"/>
      <c r="D448" s="730">
        <f>SUM(D449:D450)</f>
        <v>0</v>
      </c>
      <c r="E448" s="692"/>
      <c r="F448" s="709" t="s">
        <v>875</v>
      </c>
      <c r="G448" s="707">
        <v>36340000</v>
      </c>
      <c r="H448" s="831"/>
    </row>
    <row r="449" spans="1:8">
      <c r="A449" s="457"/>
      <c r="B449" s="951" t="s">
        <v>52</v>
      </c>
      <c r="C449" s="729"/>
      <c r="D449" s="945"/>
      <c r="E449" s="692"/>
      <c r="F449" s="704" t="s">
        <v>877</v>
      </c>
      <c r="G449" s="748">
        <v>36400000</v>
      </c>
      <c r="H449" s="836"/>
    </row>
    <row r="450" spans="1:8">
      <c r="A450" s="457"/>
      <c r="B450" s="951" t="s">
        <v>801</v>
      </c>
      <c r="C450" s="729"/>
      <c r="D450" s="945"/>
      <c r="E450" s="692"/>
      <c r="F450" s="704" t="s">
        <v>878</v>
      </c>
      <c r="G450" s="748">
        <v>36500000</v>
      </c>
      <c r="H450" s="836"/>
    </row>
    <row r="451" spans="1:8" ht="25.5">
      <c r="A451" s="457"/>
      <c r="B451" s="455" t="s">
        <v>876</v>
      </c>
      <c r="C451" s="758">
        <v>11733000</v>
      </c>
      <c r="D451" s="717">
        <f>+SUM(D452,D456,D460,D483,D488,D511,D534)</f>
        <v>0</v>
      </c>
      <c r="E451" s="692"/>
      <c r="F451" s="704" t="s">
        <v>879</v>
      </c>
      <c r="G451" s="748">
        <v>36600000</v>
      </c>
      <c r="H451" s="836"/>
    </row>
    <row r="452" spans="1:8" ht="25.5">
      <c r="A452" s="457"/>
      <c r="B452" s="480" t="s">
        <v>47</v>
      </c>
      <c r="C452" s="705">
        <v>11733100</v>
      </c>
      <c r="D452" s="712">
        <f>SUM(D453:D455)</f>
        <v>0</v>
      </c>
      <c r="E452" s="692"/>
      <c r="F452" s="704" t="s">
        <v>880</v>
      </c>
      <c r="G452" s="748">
        <v>36700000</v>
      </c>
      <c r="H452" s="836"/>
    </row>
    <row r="453" spans="1:8">
      <c r="A453" s="457"/>
      <c r="B453" s="709" t="s">
        <v>769</v>
      </c>
      <c r="C453" s="707">
        <v>11733110</v>
      </c>
      <c r="D453" s="826"/>
      <c r="E453" s="692"/>
      <c r="F453" s="704" t="s">
        <v>881</v>
      </c>
      <c r="G453" s="748">
        <v>36800000</v>
      </c>
      <c r="H453" s="836"/>
    </row>
    <row r="454" spans="1:8">
      <c r="A454" s="457"/>
      <c r="B454" s="709" t="s">
        <v>770</v>
      </c>
      <c r="C454" s="707">
        <v>11733120</v>
      </c>
      <c r="D454" s="826"/>
      <c r="E454" s="692"/>
      <c r="F454" s="704" t="s">
        <v>55</v>
      </c>
      <c r="G454" s="748">
        <v>36900000</v>
      </c>
      <c r="H454" s="836"/>
    </row>
    <row r="455" spans="1:8">
      <c r="A455" s="457"/>
      <c r="B455" s="709" t="s">
        <v>771</v>
      </c>
      <c r="C455" s="707">
        <v>11733130</v>
      </c>
      <c r="D455" s="826"/>
      <c r="E455" s="692"/>
      <c r="F455" s="546" t="s">
        <v>882</v>
      </c>
      <c r="G455" s="766">
        <v>40000000</v>
      </c>
      <c r="H455" s="767">
        <f>SUM(H456,H491,H515)</f>
        <v>0</v>
      </c>
    </row>
    <row r="456" spans="1:8">
      <c r="A456" s="457"/>
      <c r="B456" s="480" t="s">
        <v>745</v>
      </c>
      <c r="C456" s="705">
        <v>11733200</v>
      </c>
      <c r="D456" s="755">
        <f>SUM(D457:D459)</f>
        <v>0</v>
      </c>
      <c r="E456" s="692"/>
      <c r="F456" s="768" t="s">
        <v>883</v>
      </c>
      <c r="G456" s="769">
        <v>41000000</v>
      </c>
      <c r="H456" s="770">
        <f>SUM(H457,H460,H463,H470,H485,-H490)</f>
        <v>0</v>
      </c>
    </row>
    <row r="457" spans="1:8">
      <c r="A457" s="457"/>
      <c r="B457" s="709" t="s">
        <v>769</v>
      </c>
      <c r="C457" s="707">
        <v>11733210</v>
      </c>
      <c r="D457" s="826"/>
      <c r="E457" s="692"/>
      <c r="F457" s="699" t="s">
        <v>884</v>
      </c>
      <c r="G457" s="771">
        <v>41100000</v>
      </c>
      <c r="H457" s="772">
        <f>SUM(H458:H459)</f>
        <v>0</v>
      </c>
    </row>
    <row r="458" spans="1:8">
      <c r="A458" s="457"/>
      <c r="B458" s="709" t="s">
        <v>770</v>
      </c>
      <c r="C458" s="707">
        <v>11733220</v>
      </c>
      <c r="D458" s="826"/>
      <c r="E458" s="692"/>
      <c r="F458" s="480" t="s">
        <v>885</v>
      </c>
      <c r="G458" s="773">
        <v>41110000</v>
      </c>
      <c r="H458" s="837"/>
    </row>
    <row r="459" spans="1:8">
      <c r="A459" s="457"/>
      <c r="B459" s="709" t="s">
        <v>771</v>
      </c>
      <c r="C459" s="707">
        <v>11733230</v>
      </c>
      <c r="D459" s="826"/>
      <c r="E459" s="692"/>
      <c r="F459" s="480" t="s">
        <v>886</v>
      </c>
      <c r="G459" s="773">
        <v>41120000</v>
      </c>
      <c r="H459" s="837"/>
    </row>
    <row r="460" spans="1:8">
      <c r="A460" s="457"/>
      <c r="B460" s="480" t="s">
        <v>795</v>
      </c>
      <c r="C460" s="705">
        <v>11733300</v>
      </c>
      <c r="D460" s="712">
        <f>SUM(D461,D472)</f>
        <v>0</v>
      </c>
      <c r="E460" s="692"/>
      <c r="F460" s="699" t="s">
        <v>887</v>
      </c>
      <c r="G460" s="771">
        <v>41200000</v>
      </c>
      <c r="H460" s="772">
        <f>SUM(H461:H462)</f>
        <v>0</v>
      </c>
    </row>
    <row r="461" spans="1:8">
      <c r="A461" s="457"/>
      <c r="B461" s="709" t="s">
        <v>796</v>
      </c>
      <c r="C461" s="707">
        <v>11733310</v>
      </c>
      <c r="D461" s="712">
        <f>SUM(D462,D467)</f>
        <v>0</v>
      </c>
      <c r="E461" s="692"/>
      <c r="F461" s="480" t="s">
        <v>888</v>
      </c>
      <c r="G461" s="773">
        <v>41210000</v>
      </c>
      <c r="H461" s="837"/>
    </row>
    <row r="462" spans="1:8">
      <c r="A462" s="457"/>
      <c r="B462" s="718" t="s">
        <v>797</v>
      </c>
      <c r="C462" s="707">
        <v>11733311</v>
      </c>
      <c r="D462" s="712">
        <f>SUM(D463:D466)</f>
        <v>0</v>
      </c>
      <c r="E462" s="692"/>
      <c r="F462" s="480" t="s">
        <v>889</v>
      </c>
      <c r="G462" s="773">
        <v>41220000</v>
      </c>
      <c r="H462" s="837"/>
    </row>
    <row r="463" spans="1:8">
      <c r="A463" s="457"/>
      <c r="B463" s="759" t="s">
        <v>823</v>
      </c>
      <c r="C463" s="707"/>
      <c r="D463" s="826"/>
      <c r="E463" s="692"/>
      <c r="F463" s="699" t="s">
        <v>84</v>
      </c>
      <c r="G463" s="771">
        <v>41300000</v>
      </c>
      <c r="H463" s="772">
        <f>SUM(H464:H469)</f>
        <v>0</v>
      </c>
    </row>
    <row r="464" spans="1:8">
      <c r="A464" s="457"/>
      <c r="B464" s="759" t="s">
        <v>769</v>
      </c>
      <c r="C464" s="707"/>
      <c r="D464" s="826"/>
      <c r="E464" s="692"/>
      <c r="F464" s="480" t="s">
        <v>47</v>
      </c>
      <c r="G464" s="773">
        <v>41310000</v>
      </c>
      <c r="H464" s="837"/>
    </row>
    <row r="465" spans="1:8">
      <c r="A465" s="457"/>
      <c r="B465" s="759" t="s">
        <v>770</v>
      </c>
      <c r="C465" s="707"/>
      <c r="D465" s="826"/>
      <c r="E465" s="692"/>
      <c r="F465" s="480" t="s">
        <v>745</v>
      </c>
      <c r="G465" s="773">
        <v>41320000</v>
      </c>
      <c r="H465" s="837"/>
    </row>
    <row r="466" spans="1:8">
      <c r="A466" s="457"/>
      <c r="B466" s="759" t="s">
        <v>771</v>
      </c>
      <c r="C466" s="707"/>
      <c r="D466" s="826"/>
      <c r="E466" s="692"/>
      <c r="F466" s="480" t="s">
        <v>795</v>
      </c>
      <c r="G466" s="773">
        <v>41330000</v>
      </c>
      <c r="H466" s="837"/>
    </row>
    <row r="467" spans="1:8">
      <c r="A467" s="457"/>
      <c r="B467" s="718" t="s">
        <v>53</v>
      </c>
      <c r="C467" s="707">
        <v>11733312</v>
      </c>
      <c r="D467" s="712">
        <f>SUM(D468:D471)</f>
        <v>0</v>
      </c>
      <c r="E467" s="692"/>
      <c r="F467" s="480" t="s">
        <v>804</v>
      </c>
      <c r="G467" s="773">
        <v>41340000</v>
      </c>
      <c r="H467" s="837"/>
    </row>
    <row r="468" spans="1:8">
      <c r="A468" s="457"/>
      <c r="B468" s="759" t="s">
        <v>823</v>
      </c>
      <c r="C468" s="707"/>
      <c r="D468" s="826"/>
      <c r="E468" s="692"/>
      <c r="F468" s="480" t="s">
        <v>805</v>
      </c>
      <c r="G468" s="773">
        <v>41350000</v>
      </c>
      <c r="H468" s="837"/>
    </row>
    <row r="469" spans="1:8">
      <c r="A469" s="457"/>
      <c r="B469" s="759" t="s">
        <v>769</v>
      </c>
      <c r="C469" s="707"/>
      <c r="D469" s="826"/>
      <c r="E469" s="692"/>
      <c r="F469" s="480" t="s">
        <v>50</v>
      </c>
      <c r="G469" s="773">
        <v>41360000</v>
      </c>
      <c r="H469" s="837"/>
    </row>
    <row r="470" spans="1:8">
      <c r="A470" s="457"/>
      <c r="B470" s="759" t="s">
        <v>770</v>
      </c>
      <c r="C470" s="707"/>
      <c r="D470" s="826"/>
      <c r="E470" s="692"/>
      <c r="F470" s="699" t="s">
        <v>890</v>
      </c>
      <c r="G470" s="771">
        <v>41400000</v>
      </c>
      <c r="H470" s="772">
        <f>SUM(H471,H478,H481:H484)</f>
        <v>0</v>
      </c>
    </row>
    <row r="471" spans="1:8">
      <c r="A471" s="457"/>
      <c r="B471" s="759" t="s">
        <v>771</v>
      </c>
      <c r="C471" s="707"/>
      <c r="D471" s="826"/>
      <c r="E471" s="692"/>
      <c r="F471" s="704" t="s">
        <v>891</v>
      </c>
      <c r="G471" s="774">
        <v>41410000</v>
      </c>
      <c r="H471" s="775">
        <f>SUM(H472:H477)</f>
        <v>0</v>
      </c>
    </row>
    <row r="472" spans="1:8">
      <c r="A472" s="457"/>
      <c r="B472" s="709" t="s">
        <v>799</v>
      </c>
      <c r="C472" s="707">
        <v>11733320</v>
      </c>
      <c r="D472" s="712">
        <f>SUM(D473,D478)</f>
        <v>0</v>
      </c>
      <c r="E472" s="692"/>
      <c r="F472" s="709" t="s">
        <v>746</v>
      </c>
      <c r="G472" s="773">
        <v>41411000</v>
      </c>
      <c r="H472" s="837"/>
    </row>
    <row r="473" spans="1:8">
      <c r="A473" s="457"/>
      <c r="B473" s="718" t="s">
        <v>52</v>
      </c>
      <c r="C473" s="707">
        <v>11733321</v>
      </c>
      <c r="D473" s="712">
        <f>SUM(D474:D477)</f>
        <v>0</v>
      </c>
      <c r="E473" s="692"/>
      <c r="F473" s="709" t="s">
        <v>892</v>
      </c>
      <c r="G473" s="773">
        <v>41412000</v>
      </c>
      <c r="H473" s="837"/>
    </row>
    <row r="474" spans="1:8">
      <c r="A474" s="457"/>
      <c r="B474" s="759" t="s">
        <v>823</v>
      </c>
      <c r="C474" s="707"/>
      <c r="D474" s="826"/>
      <c r="E474" s="692"/>
      <c r="F474" s="709" t="s">
        <v>893</v>
      </c>
      <c r="G474" s="773">
        <v>41413000</v>
      </c>
      <c r="H474" s="837"/>
    </row>
    <row r="475" spans="1:8">
      <c r="A475" s="457"/>
      <c r="B475" s="759" t="s">
        <v>769</v>
      </c>
      <c r="C475" s="707"/>
      <c r="D475" s="826"/>
      <c r="E475" s="692"/>
      <c r="F475" s="709" t="s">
        <v>894</v>
      </c>
      <c r="G475" s="773">
        <v>41414000</v>
      </c>
      <c r="H475" s="837"/>
    </row>
    <row r="476" spans="1:8">
      <c r="A476" s="457"/>
      <c r="B476" s="759" t="s">
        <v>770</v>
      </c>
      <c r="C476" s="707"/>
      <c r="D476" s="826"/>
      <c r="E476" s="692"/>
      <c r="F476" s="709" t="s">
        <v>752</v>
      </c>
      <c r="G476" s="773">
        <v>41415000</v>
      </c>
      <c r="H476" s="837"/>
    </row>
    <row r="477" spans="1:8">
      <c r="A477" s="457"/>
      <c r="B477" s="759" t="s">
        <v>771</v>
      </c>
      <c r="C477" s="707"/>
      <c r="D477" s="826"/>
      <c r="E477" s="692"/>
      <c r="F477" s="709" t="s">
        <v>53</v>
      </c>
      <c r="G477" s="773">
        <v>41416000</v>
      </c>
      <c r="H477" s="837"/>
    </row>
    <row r="478" spans="1:8">
      <c r="A478" s="457"/>
      <c r="B478" s="718" t="s">
        <v>801</v>
      </c>
      <c r="C478" s="707">
        <v>11733322</v>
      </c>
      <c r="D478" s="712">
        <f>SUM(D479:D482)</f>
        <v>0</v>
      </c>
      <c r="E478" s="692"/>
      <c r="F478" s="704" t="s">
        <v>895</v>
      </c>
      <c r="G478" s="774">
        <v>41420000</v>
      </c>
      <c r="H478" s="775">
        <f>SUM(H479:H480)</f>
        <v>0</v>
      </c>
    </row>
    <row r="479" spans="1:8">
      <c r="A479" s="457"/>
      <c r="B479" s="759" t="s">
        <v>823</v>
      </c>
      <c r="C479" s="707"/>
      <c r="D479" s="826"/>
      <c r="E479" s="692"/>
      <c r="F479" s="709" t="s">
        <v>896</v>
      </c>
      <c r="G479" s="773">
        <v>41421000</v>
      </c>
      <c r="H479" s="837"/>
    </row>
    <row r="480" spans="1:8">
      <c r="A480" s="457"/>
      <c r="B480" s="759" t="s">
        <v>769</v>
      </c>
      <c r="C480" s="707"/>
      <c r="D480" s="826"/>
      <c r="E480" s="692"/>
      <c r="F480" s="709" t="s">
        <v>897</v>
      </c>
      <c r="G480" s="773">
        <v>41422000</v>
      </c>
      <c r="H480" s="837"/>
    </row>
    <row r="481" spans="1:8">
      <c r="A481" s="457"/>
      <c r="B481" s="759" t="s">
        <v>770</v>
      </c>
      <c r="C481" s="707"/>
      <c r="D481" s="826"/>
      <c r="E481" s="692"/>
      <c r="F481" s="704" t="s">
        <v>898</v>
      </c>
      <c r="G481" s="773">
        <v>41430000</v>
      </c>
      <c r="H481" s="837"/>
    </row>
    <row r="482" spans="1:8" ht="25.5">
      <c r="A482" s="457"/>
      <c r="B482" s="759" t="s">
        <v>771</v>
      </c>
      <c r="C482" s="707"/>
      <c r="D482" s="826"/>
      <c r="E482" s="692"/>
      <c r="F482" s="704" t="s">
        <v>1445</v>
      </c>
      <c r="G482" s="773">
        <v>41440000</v>
      </c>
      <c r="H482" s="837"/>
    </row>
    <row r="483" spans="1:8">
      <c r="A483" s="457"/>
      <c r="B483" s="480" t="s">
        <v>804</v>
      </c>
      <c r="C483" s="705">
        <v>11733400</v>
      </c>
      <c r="D483" s="712">
        <f>SUM(D484:D487)</f>
        <v>0</v>
      </c>
      <c r="E483" s="692"/>
      <c r="F483" s="704" t="s">
        <v>899</v>
      </c>
      <c r="G483" s="773">
        <v>41450000</v>
      </c>
      <c r="H483" s="837"/>
    </row>
    <row r="484" spans="1:8">
      <c r="A484" s="457"/>
      <c r="B484" s="709" t="s">
        <v>823</v>
      </c>
      <c r="C484" s="707">
        <v>11733410</v>
      </c>
      <c r="D484" s="826"/>
      <c r="E484" s="692"/>
      <c r="F484" s="704" t="s">
        <v>900</v>
      </c>
      <c r="G484" s="773">
        <v>41460000</v>
      </c>
      <c r="H484" s="837"/>
    </row>
    <row r="485" spans="1:8">
      <c r="A485" s="457"/>
      <c r="B485" s="709" t="s">
        <v>769</v>
      </c>
      <c r="C485" s="707">
        <v>11733420</v>
      </c>
      <c r="D485" s="826"/>
      <c r="E485" s="692"/>
      <c r="F485" s="699" t="s">
        <v>901</v>
      </c>
      <c r="G485" s="771">
        <v>41500000</v>
      </c>
      <c r="H485" s="772">
        <f>SUM(H486:H489)</f>
        <v>0</v>
      </c>
    </row>
    <row r="486" spans="1:8">
      <c r="A486" s="457"/>
      <c r="B486" s="709" t="s">
        <v>770</v>
      </c>
      <c r="C486" s="707">
        <v>11733430</v>
      </c>
      <c r="D486" s="826"/>
      <c r="E486" s="692"/>
      <c r="F486" s="480" t="s">
        <v>902</v>
      </c>
      <c r="G486" s="773">
        <v>41510000</v>
      </c>
      <c r="H486" s="837"/>
    </row>
    <row r="487" spans="1:8">
      <c r="A487" s="457"/>
      <c r="B487" s="709" t="s">
        <v>771</v>
      </c>
      <c r="C487" s="707">
        <v>11733440</v>
      </c>
      <c r="D487" s="826"/>
      <c r="E487" s="692"/>
      <c r="F487" s="480" t="s">
        <v>903</v>
      </c>
      <c r="G487" s="773">
        <v>41520000</v>
      </c>
      <c r="H487" s="837"/>
    </row>
    <row r="488" spans="1:8">
      <c r="A488" s="457"/>
      <c r="B488" s="480" t="s">
        <v>805</v>
      </c>
      <c r="C488" s="705">
        <v>11733500</v>
      </c>
      <c r="D488" s="712">
        <f>SUM(D489,D500)</f>
        <v>0</v>
      </c>
      <c r="E488" s="692"/>
      <c r="F488" s="480" t="s">
        <v>904</v>
      </c>
      <c r="G488" s="773">
        <v>41530000</v>
      </c>
      <c r="H488" s="837"/>
    </row>
    <row r="489" spans="1:8">
      <c r="A489" s="457"/>
      <c r="B489" s="709" t="s">
        <v>796</v>
      </c>
      <c r="C489" s="707">
        <v>11733510</v>
      </c>
      <c r="D489" s="712">
        <f>SUM(D490,D495)</f>
        <v>0</v>
      </c>
      <c r="E489" s="692"/>
      <c r="F489" s="480" t="s">
        <v>901</v>
      </c>
      <c r="G489" s="773">
        <v>41540000</v>
      </c>
      <c r="H489" s="837"/>
    </row>
    <row r="490" spans="1:8">
      <c r="A490" s="457"/>
      <c r="B490" s="718" t="s">
        <v>797</v>
      </c>
      <c r="C490" s="707">
        <v>11733511</v>
      </c>
      <c r="D490" s="712">
        <f>SUM(D491:D494)</f>
        <v>0</v>
      </c>
      <c r="E490" s="692"/>
      <c r="F490" s="784" t="s">
        <v>72</v>
      </c>
      <c r="G490" s="959">
        <v>41600000</v>
      </c>
      <c r="H490" s="960"/>
    </row>
    <row r="491" spans="1:8">
      <c r="A491" s="457"/>
      <c r="B491" s="759" t="s">
        <v>823</v>
      </c>
      <c r="C491" s="707"/>
      <c r="D491" s="826"/>
      <c r="E491" s="692"/>
      <c r="F491" s="810" t="s">
        <v>905</v>
      </c>
      <c r="G491" s="812">
        <v>42000000</v>
      </c>
      <c r="H491" s="961">
        <f>SUM(H492,H496,H501,H512)</f>
        <v>0</v>
      </c>
    </row>
    <row r="492" spans="1:8">
      <c r="A492" s="457"/>
      <c r="B492" s="759" t="s">
        <v>769</v>
      </c>
      <c r="C492" s="707"/>
      <c r="D492" s="826"/>
      <c r="E492" s="692"/>
      <c r="F492" s="699" t="s">
        <v>906</v>
      </c>
      <c r="G492" s="771">
        <v>42100000</v>
      </c>
      <c r="H492" s="772">
        <f>SUM(H493:H495)</f>
        <v>0</v>
      </c>
    </row>
    <row r="493" spans="1:8">
      <c r="A493" s="457"/>
      <c r="B493" s="759" t="s">
        <v>770</v>
      </c>
      <c r="C493" s="707"/>
      <c r="D493" s="826"/>
      <c r="E493" s="692"/>
      <c r="F493" s="480" t="s">
        <v>73</v>
      </c>
      <c r="G493" s="773">
        <v>42110000</v>
      </c>
      <c r="H493" s="837"/>
    </row>
    <row r="494" spans="1:8">
      <c r="A494" s="457"/>
      <c r="B494" s="759" t="s">
        <v>771</v>
      </c>
      <c r="C494" s="707"/>
      <c r="D494" s="826"/>
      <c r="E494" s="692"/>
      <c r="F494" s="480" t="s">
        <v>74</v>
      </c>
      <c r="G494" s="773">
        <v>42120000</v>
      </c>
      <c r="H494" s="837"/>
    </row>
    <row r="495" spans="1:8">
      <c r="A495" s="457"/>
      <c r="B495" s="718" t="s">
        <v>53</v>
      </c>
      <c r="C495" s="707">
        <v>11733512</v>
      </c>
      <c r="D495" s="712">
        <f>SUM(D496:D499)</f>
        <v>0</v>
      </c>
      <c r="E495" s="692"/>
      <c r="F495" s="480" t="s">
        <v>907</v>
      </c>
      <c r="G495" s="773">
        <v>42130000</v>
      </c>
      <c r="H495" s="837"/>
    </row>
    <row r="496" spans="1:8">
      <c r="A496" s="457"/>
      <c r="B496" s="759" t="s">
        <v>823</v>
      </c>
      <c r="C496" s="707"/>
      <c r="D496" s="826"/>
      <c r="E496" s="692"/>
      <c r="F496" s="699" t="s">
        <v>908</v>
      </c>
      <c r="G496" s="771">
        <v>42200000</v>
      </c>
      <c r="H496" s="772">
        <f>SUM(H497:H500)</f>
        <v>0</v>
      </c>
    </row>
    <row r="497" spans="1:8">
      <c r="A497" s="457"/>
      <c r="B497" s="759" t="s">
        <v>769</v>
      </c>
      <c r="C497" s="707"/>
      <c r="D497" s="826"/>
      <c r="E497" s="692"/>
      <c r="F497" s="480" t="s">
        <v>75</v>
      </c>
      <c r="G497" s="773">
        <v>42210000</v>
      </c>
      <c r="H497" s="837"/>
    </row>
    <row r="498" spans="1:8">
      <c r="A498" s="457"/>
      <c r="B498" s="759" t="s">
        <v>770</v>
      </c>
      <c r="C498" s="707"/>
      <c r="D498" s="826"/>
      <c r="E498" s="692"/>
      <c r="F498" s="480" t="s">
        <v>76</v>
      </c>
      <c r="G498" s="773">
        <v>42220000</v>
      </c>
      <c r="H498" s="837"/>
    </row>
    <row r="499" spans="1:8" ht="25.5">
      <c r="A499" s="457"/>
      <c r="B499" s="759" t="s">
        <v>771</v>
      </c>
      <c r="C499" s="707"/>
      <c r="D499" s="826"/>
      <c r="E499" s="692"/>
      <c r="F499" s="480" t="s">
        <v>909</v>
      </c>
      <c r="G499" s="773">
        <v>42230000</v>
      </c>
      <c r="H499" s="837"/>
    </row>
    <row r="500" spans="1:8">
      <c r="A500" s="457"/>
      <c r="B500" s="709" t="s">
        <v>799</v>
      </c>
      <c r="C500" s="707">
        <v>11733520</v>
      </c>
      <c r="D500" s="712">
        <f>SUM(D501,D506)</f>
        <v>0</v>
      </c>
      <c r="E500" s="692"/>
      <c r="F500" s="480" t="s">
        <v>910</v>
      </c>
      <c r="G500" s="773">
        <v>42240000</v>
      </c>
      <c r="H500" s="837"/>
    </row>
    <row r="501" spans="1:8">
      <c r="A501" s="457"/>
      <c r="B501" s="718" t="s">
        <v>52</v>
      </c>
      <c r="C501" s="707">
        <v>11733521</v>
      </c>
      <c r="D501" s="712">
        <f>SUM(D502:D505)</f>
        <v>0</v>
      </c>
      <c r="E501" s="692"/>
      <c r="F501" s="699" t="s">
        <v>911</v>
      </c>
      <c r="G501" s="771">
        <v>42300000</v>
      </c>
      <c r="H501" s="772">
        <f>SUM(H502:H511)</f>
        <v>0</v>
      </c>
    </row>
    <row r="502" spans="1:8">
      <c r="A502" s="457"/>
      <c r="B502" s="759" t="s">
        <v>823</v>
      </c>
      <c r="C502" s="707"/>
      <c r="D502" s="826"/>
      <c r="E502" s="692"/>
      <c r="F502" s="480" t="s">
        <v>29</v>
      </c>
      <c r="G502" s="773">
        <v>42310000</v>
      </c>
      <c r="H502" s="837"/>
    </row>
    <row r="503" spans="1:8">
      <c r="A503" s="457"/>
      <c r="B503" s="759" t="s">
        <v>769</v>
      </c>
      <c r="C503" s="707"/>
      <c r="D503" s="826"/>
      <c r="E503" s="692"/>
      <c r="F503" s="480" t="s">
        <v>912</v>
      </c>
      <c r="G503" s="773">
        <v>42320000</v>
      </c>
      <c r="H503" s="837"/>
    </row>
    <row r="504" spans="1:8">
      <c r="A504" s="457"/>
      <c r="B504" s="759" t="s">
        <v>770</v>
      </c>
      <c r="C504" s="707"/>
      <c r="D504" s="826"/>
      <c r="E504" s="692"/>
      <c r="F504" s="480" t="s">
        <v>913</v>
      </c>
      <c r="G504" s="773">
        <v>42330000</v>
      </c>
      <c r="H504" s="837"/>
    </row>
    <row r="505" spans="1:8">
      <c r="A505" s="457"/>
      <c r="B505" s="759" t="s">
        <v>771</v>
      </c>
      <c r="C505" s="707"/>
      <c r="D505" s="826"/>
      <c r="E505" s="692"/>
      <c r="F505" s="480" t="s">
        <v>914</v>
      </c>
      <c r="G505" s="773">
        <v>42340000</v>
      </c>
      <c r="H505" s="837"/>
    </row>
    <row r="506" spans="1:8">
      <c r="A506" s="457"/>
      <c r="B506" s="718" t="s">
        <v>801</v>
      </c>
      <c r="C506" s="707">
        <v>11733522</v>
      </c>
      <c r="D506" s="712">
        <f>SUM(D507:D510)</f>
        <v>0</v>
      </c>
      <c r="E506" s="692"/>
      <c r="F506" s="480" t="s">
        <v>805</v>
      </c>
      <c r="G506" s="773">
        <v>42350000</v>
      </c>
      <c r="H506" s="837"/>
    </row>
    <row r="507" spans="1:8">
      <c r="A507" s="457"/>
      <c r="B507" s="759" t="s">
        <v>823</v>
      </c>
      <c r="C507" s="707"/>
      <c r="D507" s="826"/>
      <c r="E507" s="692"/>
      <c r="F507" s="480" t="s">
        <v>915</v>
      </c>
      <c r="G507" s="773">
        <v>42360000</v>
      </c>
      <c r="H507" s="837"/>
    </row>
    <row r="508" spans="1:8">
      <c r="A508" s="457"/>
      <c r="B508" s="759" t="s">
        <v>769</v>
      </c>
      <c r="C508" s="707"/>
      <c r="D508" s="826"/>
      <c r="E508" s="692"/>
      <c r="F508" s="480" t="s">
        <v>916</v>
      </c>
      <c r="G508" s="773">
        <v>42370000</v>
      </c>
      <c r="H508" s="837"/>
    </row>
    <row r="509" spans="1:8">
      <c r="A509" s="457"/>
      <c r="B509" s="759" t="s">
        <v>770</v>
      </c>
      <c r="C509" s="707"/>
      <c r="D509" s="826"/>
      <c r="E509" s="692"/>
      <c r="F509" s="480" t="s">
        <v>917</v>
      </c>
      <c r="G509" s="773">
        <v>42380000</v>
      </c>
      <c r="H509" s="837"/>
    </row>
    <row r="510" spans="1:8">
      <c r="A510" s="457"/>
      <c r="B510" s="759" t="s">
        <v>771</v>
      </c>
      <c r="C510" s="707"/>
      <c r="D510" s="826"/>
      <c r="E510" s="692"/>
      <c r="F510" s="480" t="s">
        <v>918</v>
      </c>
      <c r="G510" s="773">
        <v>42390000</v>
      </c>
      <c r="H510" s="837"/>
    </row>
    <row r="511" spans="1:8">
      <c r="A511" s="457"/>
      <c r="B511" s="480" t="s">
        <v>50</v>
      </c>
      <c r="C511" s="705">
        <v>11733600</v>
      </c>
      <c r="D511" s="712">
        <f>SUM(D512,D523)</f>
        <v>0</v>
      </c>
      <c r="E511" s="692"/>
      <c r="F511" s="480" t="s">
        <v>919</v>
      </c>
      <c r="G511" s="773">
        <v>42400000</v>
      </c>
      <c r="H511" s="837"/>
    </row>
    <row r="512" spans="1:8">
      <c r="A512" s="457"/>
      <c r="B512" s="709" t="s">
        <v>796</v>
      </c>
      <c r="C512" s="707">
        <v>11733610</v>
      </c>
      <c r="D512" s="712">
        <f>SUM(D513,D518)</f>
        <v>0</v>
      </c>
      <c r="E512" s="692"/>
      <c r="F512" s="699" t="s">
        <v>920</v>
      </c>
      <c r="G512" s="771">
        <v>42500000</v>
      </c>
      <c r="H512" s="772">
        <f>SUM(H513:H514)</f>
        <v>0</v>
      </c>
    </row>
    <row r="513" spans="1:8">
      <c r="A513" s="457"/>
      <c r="B513" s="718" t="s">
        <v>797</v>
      </c>
      <c r="C513" s="707">
        <v>11733611</v>
      </c>
      <c r="D513" s="712">
        <f>SUM(D514:D517)</f>
        <v>0</v>
      </c>
      <c r="E513" s="692"/>
      <c r="F513" s="480" t="s">
        <v>921</v>
      </c>
      <c r="G513" s="773">
        <v>42510000</v>
      </c>
      <c r="H513" s="837"/>
    </row>
    <row r="514" spans="1:8">
      <c r="A514" s="457"/>
      <c r="B514" s="759" t="s">
        <v>823</v>
      </c>
      <c r="C514" s="707"/>
      <c r="D514" s="826"/>
      <c r="E514" s="692"/>
      <c r="F514" s="480" t="s">
        <v>922</v>
      </c>
      <c r="G514" s="773">
        <v>42520000</v>
      </c>
      <c r="H514" s="837"/>
    </row>
    <row r="515" spans="1:8">
      <c r="A515" s="457"/>
      <c r="B515" s="759" t="s">
        <v>769</v>
      </c>
      <c r="C515" s="707"/>
      <c r="D515" s="826"/>
      <c r="E515" s="692"/>
      <c r="F515" s="768" t="s">
        <v>923</v>
      </c>
      <c r="G515" s="769" t="s">
        <v>924</v>
      </c>
      <c r="H515" s="770">
        <f>SUM(H516:H527)</f>
        <v>0</v>
      </c>
    </row>
    <row r="516" spans="1:8">
      <c r="A516" s="457"/>
      <c r="B516" s="759" t="s">
        <v>770</v>
      </c>
      <c r="C516" s="707"/>
      <c r="D516" s="826"/>
      <c r="E516" s="692"/>
      <c r="F516" s="480" t="s">
        <v>925</v>
      </c>
      <c r="G516" s="773">
        <v>43010000</v>
      </c>
      <c r="H516" s="837"/>
    </row>
    <row r="517" spans="1:8">
      <c r="A517" s="457"/>
      <c r="B517" s="759" t="s">
        <v>771</v>
      </c>
      <c r="C517" s="707"/>
      <c r="D517" s="826"/>
      <c r="E517" s="692"/>
      <c r="F517" s="480" t="s">
        <v>926</v>
      </c>
      <c r="G517" s="773">
        <v>43020000</v>
      </c>
      <c r="H517" s="837"/>
    </row>
    <row r="518" spans="1:8" ht="25.5">
      <c r="A518" s="457"/>
      <c r="B518" s="718" t="s">
        <v>53</v>
      </c>
      <c r="C518" s="707">
        <v>11733612</v>
      </c>
      <c r="D518" s="712">
        <f>SUM(D519:D522)</f>
        <v>0</v>
      </c>
      <c r="E518" s="692"/>
      <c r="F518" s="480" t="s">
        <v>927</v>
      </c>
      <c r="G518" s="773">
        <v>43030000</v>
      </c>
      <c r="H518" s="837"/>
    </row>
    <row r="519" spans="1:8">
      <c r="A519" s="457"/>
      <c r="B519" s="759" t="s">
        <v>823</v>
      </c>
      <c r="C519" s="707"/>
      <c r="D519" s="826"/>
      <c r="E519" s="692"/>
      <c r="F519" s="480" t="s">
        <v>928</v>
      </c>
      <c r="G519" s="773">
        <v>43040000</v>
      </c>
      <c r="H519" s="837"/>
    </row>
    <row r="520" spans="1:8">
      <c r="A520" s="457"/>
      <c r="B520" s="759" t="s">
        <v>769</v>
      </c>
      <c r="C520" s="707"/>
      <c r="D520" s="826"/>
      <c r="E520" s="692"/>
      <c r="F520" s="480" t="s">
        <v>929</v>
      </c>
      <c r="G520" s="773">
        <v>43050000</v>
      </c>
      <c r="H520" s="837"/>
    </row>
    <row r="521" spans="1:8">
      <c r="A521" s="457"/>
      <c r="B521" s="759" t="s">
        <v>770</v>
      </c>
      <c r="C521" s="707"/>
      <c r="D521" s="826"/>
      <c r="E521" s="692"/>
      <c r="F521" s="480" t="s">
        <v>930</v>
      </c>
      <c r="G521" s="773">
        <v>43060000</v>
      </c>
      <c r="H521" s="837"/>
    </row>
    <row r="522" spans="1:8">
      <c r="A522" s="457"/>
      <c r="B522" s="759" t="s">
        <v>771</v>
      </c>
      <c r="C522" s="707"/>
      <c r="D522" s="826"/>
      <c r="E522" s="692"/>
      <c r="F522" s="480" t="s">
        <v>77</v>
      </c>
      <c r="G522" s="773">
        <v>43070000</v>
      </c>
      <c r="H522" s="837"/>
    </row>
    <row r="523" spans="1:8">
      <c r="A523" s="457"/>
      <c r="B523" s="709" t="s">
        <v>799</v>
      </c>
      <c r="C523" s="707">
        <v>11733620</v>
      </c>
      <c r="D523" s="712">
        <f>SUM(D524,D529)</f>
        <v>0</v>
      </c>
      <c r="E523" s="692"/>
      <c r="F523" s="480" t="s">
        <v>1495</v>
      </c>
      <c r="G523" s="773">
        <v>43080000</v>
      </c>
      <c r="H523" s="837"/>
    </row>
    <row r="524" spans="1:8" ht="25.5">
      <c r="A524" s="457"/>
      <c r="B524" s="718" t="s">
        <v>52</v>
      </c>
      <c r="C524" s="707">
        <v>11733621</v>
      </c>
      <c r="D524" s="712">
        <f>SUM(D525:D528)</f>
        <v>0</v>
      </c>
      <c r="E524" s="692"/>
      <c r="F524" s="480" t="s">
        <v>932</v>
      </c>
      <c r="G524" s="773">
        <v>43090000</v>
      </c>
      <c r="H524" s="837"/>
    </row>
    <row r="525" spans="1:8" ht="25.5">
      <c r="A525" s="457"/>
      <c r="B525" s="759" t="s">
        <v>823</v>
      </c>
      <c r="C525" s="707"/>
      <c r="D525" s="826"/>
      <c r="E525" s="692"/>
      <c r="F525" s="480" t="s">
        <v>933</v>
      </c>
      <c r="G525" s="773">
        <v>43100000</v>
      </c>
      <c r="H525" s="837"/>
    </row>
    <row r="526" spans="1:8">
      <c r="A526" s="457"/>
      <c r="B526" s="759" t="s">
        <v>769</v>
      </c>
      <c r="C526" s="707"/>
      <c r="D526" s="826"/>
      <c r="E526" s="692"/>
      <c r="F526" s="480" t="s">
        <v>934</v>
      </c>
      <c r="G526" s="773">
        <v>43110000</v>
      </c>
      <c r="H526" s="837"/>
    </row>
    <row r="527" spans="1:8">
      <c r="A527" s="457"/>
      <c r="B527" s="759" t="s">
        <v>770</v>
      </c>
      <c r="C527" s="707"/>
      <c r="D527" s="826"/>
      <c r="E527" s="692"/>
      <c r="F527" s="480" t="s">
        <v>55</v>
      </c>
      <c r="G527" s="773">
        <v>43120000</v>
      </c>
      <c r="H527" s="837"/>
    </row>
    <row r="528" spans="1:8">
      <c r="A528" s="457"/>
      <c r="B528" s="759" t="s">
        <v>771</v>
      </c>
      <c r="C528" s="707"/>
      <c r="D528" s="826"/>
      <c r="E528" s="692"/>
      <c r="F528" s="777"/>
      <c r="G528" s="778"/>
      <c r="H528" s="779"/>
    </row>
    <row r="529" spans="1:8">
      <c r="A529" s="457"/>
      <c r="B529" s="718" t="s">
        <v>801</v>
      </c>
      <c r="C529" s="707">
        <v>11733622</v>
      </c>
      <c r="D529" s="712">
        <f>SUM(D530:D533)</f>
        <v>0</v>
      </c>
      <c r="E529" s="692"/>
      <c r="F529" s="777"/>
      <c r="G529" s="778"/>
      <c r="H529" s="779"/>
    </row>
    <row r="530" spans="1:8">
      <c r="A530" s="457"/>
      <c r="B530" s="759" t="s">
        <v>823</v>
      </c>
      <c r="C530" s="707"/>
      <c r="D530" s="826"/>
      <c r="E530" s="692"/>
      <c r="F530" s="692"/>
      <c r="G530" s="778"/>
      <c r="H530" s="779"/>
    </row>
    <row r="531" spans="1:8">
      <c r="A531" s="457"/>
      <c r="B531" s="759" t="s">
        <v>769</v>
      </c>
      <c r="C531" s="707"/>
      <c r="D531" s="826"/>
      <c r="E531" s="692"/>
      <c r="F531" s="777"/>
      <c r="G531" s="778"/>
      <c r="H531" s="779"/>
    </row>
    <row r="532" spans="1:8">
      <c r="A532" s="457"/>
      <c r="B532" s="759" t="s">
        <v>770</v>
      </c>
      <c r="C532" s="707"/>
      <c r="D532" s="826"/>
      <c r="E532" s="734"/>
      <c r="F532" s="777"/>
      <c r="G532" s="778"/>
      <c r="H532" s="779"/>
    </row>
    <row r="533" spans="1:8">
      <c r="A533" s="457"/>
      <c r="B533" s="759" t="s">
        <v>771</v>
      </c>
      <c r="C533" s="707"/>
      <c r="D533" s="826"/>
      <c r="E533" s="734"/>
      <c r="F533" s="692"/>
      <c r="G533" s="778"/>
      <c r="H533" s="779"/>
    </row>
    <row r="534" spans="1:8">
      <c r="A534" s="468"/>
      <c r="B534" s="723" t="s">
        <v>809</v>
      </c>
      <c r="C534" s="724">
        <v>11733700</v>
      </c>
      <c r="D534" s="946">
        <f>SUM(D535,-D560)</f>
        <v>0</v>
      </c>
      <c r="E534" s="692"/>
      <c r="F534" s="777"/>
      <c r="G534" s="778"/>
      <c r="H534" s="779"/>
    </row>
    <row r="535" spans="1:8">
      <c r="A535" s="468"/>
      <c r="B535" s="949" t="s">
        <v>743</v>
      </c>
      <c r="C535" s="786">
        <v>11733710</v>
      </c>
      <c r="D535" s="730">
        <f>SUM(D536:D538,D545:D546,D553)</f>
        <v>0</v>
      </c>
      <c r="E535" s="692"/>
      <c r="F535" s="777"/>
      <c r="G535" s="778"/>
      <c r="H535" s="779"/>
    </row>
    <row r="536" spans="1:8">
      <c r="A536" s="457"/>
      <c r="B536" s="728" t="s">
        <v>47</v>
      </c>
      <c r="C536" s="786">
        <v>11733711</v>
      </c>
      <c r="D536" s="945"/>
      <c r="E536" s="692"/>
      <c r="F536" s="777"/>
      <c r="G536" s="778"/>
      <c r="H536" s="779"/>
    </row>
    <row r="537" spans="1:8">
      <c r="A537" s="457"/>
      <c r="B537" s="728" t="s">
        <v>745</v>
      </c>
      <c r="C537" s="786">
        <v>11733712</v>
      </c>
      <c r="D537" s="945"/>
      <c r="E537" s="692"/>
      <c r="F537" s="777"/>
      <c r="G537" s="778"/>
      <c r="H537" s="779"/>
    </row>
    <row r="538" spans="1:8">
      <c r="A538" s="457"/>
      <c r="B538" s="728" t="s">
        <v>795</v>
      </c>
      <c r="C538" s="786">
        <v>11733713</v>
      </c>
      <c r="D538" s="730">
        <f>SUM(D539,D542)</f>
        <v>0</v>
      </c>
      <c r="E538" s="692"/>
      <c r="F538" s="777"/>
      <c r="G538" s="778"/>
      <c r="H538" s="779"/>
    </row>
    <row r="539" spans="1:8">
      <c r="A539" s="457"/>
      <c r="B539" s="950" t="s">
        <v>796</v>
      </c>
      <c r="C539" s="786"/>
      <c r="D539" s="730">
        <f>SUM(D540:D541)</f>
        <v>0</v>
      </c>
      <c r="E539" s="692"/>
      <c r="F539" s="777"/>
      <c r="G539" s="778"/>
      <c r="H539" s="779"/>
    </row>
    <row r="540" spans="1:8">
      <c r="A540" s="457"/>
      <c r="B540" s="951" t="s">
        <v>797</v>
      </c>
      <c r="C540" s="786"/>
      <c r="D540" s="945"/>
      <c r="E540" s="692"/>
      <c r="F540" s="777"/>
      <c r="G540" s="778"/>
      <c r="H540" s="779"/>
    </row>
    <row r="541" spans="1:8">
      <c r="A541" s="457"/>
      <c r="B541" s="951" t="s">
        <v>53</v>
      </c>
      <c r="C541" s="786"/>
      <c r="D541" s="945"/>
      <c r="E541" s="692"/>
      <c r="F541" s="777"/>
      <c r="G541" s="778"/>
      <c r="H541" s="779"/>
    </row>
    <row r="542" spans="1:8">
      <c r="A542" s="457"/>
      <c r="B542" s="950" t="s">
        <v>799</v>
      </c>
      <c r="C542" s="786"/>
      <c r="D542" s="730">
        <f>SUM(D543:D544)</f>
        <v>0</v>
      </c>
      <c r="E542" s="692"/>
      <c r="F542" s="777"/>
      <c r="G542" s="778"/>
      <c r="H542" s="779"/>
    </row>
    <row r="543" spans="1:8">
      <c r="A543" s="457"/>
      <c r="B543" s="951" t="s">
        <v>52</v>
      </c>
      <c r="C543" s="786"/>
      <c r="D543" s="945"/>
      <c r="E543" s="692"/>
      <c r="F543" s="777"/>
      <c r="G543" s="778"/>
      <c r="H543" s="779"/>
    </row>
    <row r="544" spans="1:8">
      <c r="A544" s="457"/>
      <c r="B544" s="951" t="s">
        <v>801</v>
      </c>
      <c r="C544" s="786"/>
      <c r="D544" s="945"/>
      <c r="E544" s="692"/>
      <c r="F544" s="777"/>
      <c r="G544" s="778"/>
      <c r="H544" s="779"/>
    </row>
    <row r="545" spans="1:8">
      <c r="A545" s="457"/>
      <c r="B545" s="728" t="s">
        <v>804</v>
      </c>
      <c r="C545" s="786">
        <v>11733714</v>
      </c>
      <c r="D545" s="945"/>
      <c r="E545" s="692"/>
      <c r="F545" s="777"/>
      <c r="G545" s="778"/>
      <c r="H545" s="779"/>
    </row>
    <row r="546" spans="1:8">
      <c r="A546" s="457"/>
      <c r="B546" s="728" t="s">
        <v>805</v>
      </c>
      <c r="C546" s="786">
        <v>11733715</v>
      </c>
      <c r="D546" s="730">
        <f>SUM(D547,D550)</f>
        <v>0</v>
      </c>
      <c r="E546" s="692"/>
      <c r="F546" s="777"/>
      <c r="G546" s="778"/>
      <c r="H546" s="780"/>
    </row>
    <row r="547" spans="1:8">
      <c r="A547" s="457"/>
      <c r="B547" s="950" t="s">
        <v>796</v>
      </c>
      <c r="C547" s="786"/>
      <c r="D547" s="730">
        <f>SUM(D548:D549)</f>
        <v>0</v>
      </c>
      <c r="E547" s="692"/>
      <c r="G547" s="781"/>
      <c r="H547" s="782"/>
    </row>
    <row r="548" spans="1:8">
      <c r="A548" s="457"/>
      <c r="B548" s="951" t="s">
        <v>797</v>
      </c>
      <c r="C548" s="786"/>
      <c r="D548" s="945"/>
      <c r="E548" s="692"/>
      <c r="G548" s="781"/>
      <c r="H548" s="782"/>
    </row>
    <row r="549" spans="1:8">
      <c r="A549" s="457"/>
      <c r="B549" s="951" t="s">
        <v>53</v>
      </c>
      <c r="C549" s="786"/>
      <c r="D549" s="945"/>
      <c r="E549" s="692"/>
      <c r="G549" s="781"/>
      <c r="H549" s="782"/>
    </row>
    <row r="550" spans="1:8">
      <c r="A550" s="457"/>
      <c r="B550" s="950" t="s">
        <v>799</v>
      </c>
      <c r="C550" s="786"/>
      <c r="D550" s="730">
        <f>SUM(D551:D552)</f>
        <v>0</v>
      </c>
      <c r="E550" s="692"/>
      <c r="G550" s="781"/>
      <c r="H550" s="782"/>
    </row>
    <row r="551" spans="1:8">
      <c r="A551" s="457"/>
      <c r="B551" s="951" t="s">
        <v>52</v>
      </c>
      <c r="C551" s="786"/>
      <c r="D551" s="945"/>
      <c r="E551" s="692"/>
      <c r="G551" s="781"/>
      <c r="H551" s="782"/>
    </row>
    <row r="552" spans="1:8">
      <c r="A552" s="457"/>
      <c r="B552" s="951" t="s">
        <v>801</v>
      </c>
      <c r="C552" s="786"/>
      <c r="D552" s="945"/>
      <c r="E552" s="692"/>
      <c r="G552" s="781"/>
      <c r="H552" s="782"/>
    </row>
    <row r="553" spans="1:8">
      <c r="A553" s="457"/>
      <c r="B553" s="728" t="s">
        <v>50</v>
      </c>
      <c r="C553" s="786">
        <v>11733716</v>
      </c>
      <c r="D553" s="730">
        <f>SUM(D554,D557)</f>
        <v>0</v>
      </c>
      <c r="E553" s="692"/>
      <c r="G553" s="781"/>
      <c r="H553" s="782"/>
    </row>
    <row r="554" spans="1:8">
      <c r="A554" s="457"/>
      <c r="B554" s="950" t="s">
        <v>796</v>
      </c>
      <c r="C554" s="786"/>
      <c r="D554" s="730">
        <f>SUM(D555:D556)</f>
        <v>0</v>
      </c>
      <c r="E554" s="692"/>
      <c r="G554" s="781"/>
      <c r="H554" s="782"/>
    </row>
    <row r="555" spans="1:8">
      <c r="A555" s="457"/>
      <c r="B555" s="951" t="s">
        <v>797</v>
      </c>
      <c r="C555" s="786"/>
      <c r="D555" s="945"/>
      <c r="E555" s="692"/>
      <c r="G555" s="781"/>
      <c r="H555" s="782"/>
    </row>
    <row r="556" spans="1:8">
      <c r="A556" s="457"/>
      <c r="B556" s="951" t="s">
        <v>53</v>
      </c>
      <c r="C556" s="786"/>
      <c r="D556" s="945"/>
      <c r="E556" s="692"/>
      <c r="G556" s="781"/>
      <c r="H556" s="782"/>
    </row>
    <row r="557" spans="1:8">
      <c r="A557" s="457"/>
      <c r="B557" s="950" t="s">
        <v>799</v>
      </c>
      <c r="C557" s="786"/>
      <c r="D557" s="730">
        <f>SUM(D558:D559)</f>
        <v>0</v>
      </c>
      <c r="E557" s="692"/>
      <c r="G557" s="781"/>
      <c r="H557" s="782"/>
    </row>
    <row r="558" spans="1:8">
      <c r="A558" s="457"/>
      <c r="B558" s="951" t="s">
        <v>52</v>
      </c>
      <c r="C558" s="786"/>
      <c r="D558" s="945"/>
      <c r="E558" s="734"/>
      <c r="G558" s="781"/>
      <c r="H558" s="782"/>
    </row>
    <row r="559" spans="1:8">
      <c r="A559" s="457"/>
      <c r="B559" s="951" t="s">
        <v>801</v>
      </c>
      <c r="C559" s="786"/>
      <c r="D559" s="945"/>
      <c r="E559" s="692"/>
      <c r="G559" s="781"/>
      <c r="H559" s="782"/>
    </row>
    <row r="560" spans="1:8">
      <c r="A560" s="468"/>
      <c r="B560" s="949" t="s">
        <v>51</v>
      </c>
      <c r="C560" s="786">
        <v>11733720</v>
      </c>
      <c r="D560" s="730">
        <f>SUM(D561:D563,D570:D571,D578)</f>
        <v>0</v>
      </c>
      <c r="E560" s="692"/>
      <c r="G560" s="781"/>
      <c r="H560" s="782"/>
    </row>
    <row r="561" spans="1:8">
      <c r="A561" s="457"/>
      <c r="B561" s="728" t="s">
        <v>47</v>
      </c>
      <c r="C561" s="786">
        <v>11733721</v>
      </c>
      <c r="D561" s="945"/>
      <c r="E561" s="692"/>
      <c r="G561" s="781"/>
      <c r="H561" s="782"/>
    </row>
    <row r="562" spans="1:8">
      <c r="A562" s="457"/>
      <c r="B562" s="728" t="s">
        <v>745</v>
      </c>
      <c r="C562" s="786">
        <v>11733722</v>
      </c>
      <c r="D562" s="945"/>
      <c r="E562" s="692"/>
      <c r="G562" s="781"/>
      <c r="H562" s="782"/>
    </row>
    <row r="563" spans="1:8">
      <c r="A563" s="457"/>
      <c r="B563" s="728" t="s">
        <v>795</v>
      </c>
      <c r="C563" s="786">
        <v>11733723</v>
      </c>
      <c r="D563" s="730">
        <f>SUM(D564,D567)</f>
        <v>0</v>
      </c>
      <c r="E563" s="692"/>
      <c r="G563" s="781"/>
      <c r="H563" s="782"/>
    </row>
    <row r="564" spans="1:8">
      <c r="A564" s="457"/>
      <c r="B564" s="950" t="s">
        <v>796</v>
      </c>
      <c r="C564" s="786"/>
      <c r="D564" s="730">
        <f>SUM(D565:D566)</f>
        <v>0</v>
      </c>
      <c r="E564" s="692"/>
      <c r="G564" s="781"/>
      <c r="H564" s="782"/>
    </row>
    <row r="565" spans="1:8">
      <c r="A565" s="457"/>
      <c r="B565" s="951" t="s">
        <v>797</v>
      </c>
      <c r="C565" s="786"/>
      <c r="D565" s="945"/>
      <c r="E565" s="692"/>
      <c r="G565" s="781"/>
      <c r="H565" s="782"/>
    </row>
    <row r="566" spans="1:8">
      <c r="A566" s="457"/>
      <c r="B566" s="951" t="s">
        <v>53</v>
      </c>
      <c r="C566" s="786"/>
      <c r="D566" s="945"/>
      <c r="E566" s="692"/>
      <c r="G566" s="781"/>
      <c r="H566" s="782"/>
    </row>
    <row r="567" spans="1:8">
      <c r="A567" s="457"/>
      <c r="B567" s="950" t="s">
        <v>799</v>
      </c>
      <c r="C567" s="786"/>
      <c r="D567" s="730">
        <f>SUM(D568:D569)</f>
        <v>0</v>
      </c>
      <c r="E567" s="692"/>
      <c r="G567" s="781"/>
      <c r="H567" s="782"/>
    </row>
    <row r="568" spans="1:8">
      <c r="A568" s="457"/>
      <c r="B568" s="951" t="s">
        <v>52</v>
      </c>
      <c r="C568" s="786"/>
      <c r="D568" s="945"/>
      <c r="E568" s="692"/>
      <c r="G568" s="781"/>
      <c r="H568" s="782"/>
    </row>
    <row r="569" spans="1:8">
      <c r="A569" s="457"/>
      <c r="B569" s="951" t="s">
        <v>801</v>
      </c>
      <c r="C569" s="786"/>
      <c r="D569" s="945"/>
      <c r="E569" s="692"/>
      <c r="G569" s="781"/>
      <c r="H569" s="782"/>
    </row>
    <row r="570" spans="1:8">
      <c r="A570" s="457"/>
      <c r="B570" s="728" t="s">
        <v>804</v>
      </c>
      <c r="C570" s="786">
        <v>11733724</v>
      </c>
      <c r="D570" s="945"/>
      <c r="E570" s="692"/>
      <c r="G570" s="781"/>
      <c r="H570" s="782"/>
    </row>
    <row r="571" spans="1:8">
      <c r="A571" s="457"/>
      <c r="B571" s="728" t="s">
        <v>805</v>
      </c>
      <c r="C571" s="786">
        <v>11733725</v>
      </c>
      <c r="D571" s="730">
        <f>SUM(D572,D575)</f>
        <v>0</v>
      </c>
      <c r="E571" s="692"/>
      <c r="G571" s="781"/>
      <c r="H571" s="782"/>
    </row>
    <row r="572" spans="1:8">
      <c r="A572" s="457"/>
      <c r="B572" s="950" t="s">
        <v>796</v>
      </c>
      <c r="C572" s="786"/>
      <c r="D572" s="730">
        <f>SUM(D573:D574)</f>
        <v>0</v>
      </c>
      <c r="E572" s="692"/>
      <c r="G572" s="781"/>
      <c r="H572" s="782"/>
    </row>
    <row r="573" spans="1:8">
      <c r="A573" s="457"/>
      <c r="B573" s="951" t="s">
        <v>797</v>
      </c>
      <c r="C573" s="786"/>
      <c r="D573" s="945"/>
      <c r="E573" s="692"/>
      <c r="G573" s="781"/>
      <c r="H573" s="782"/>
    </row>
    <row r="574" spans="1:8">
      <c r="A574" s="457"/>
      <c r="B574" s="951" t="s">
        <v>53</v>
      </c>
      <c r="C574" s="786"/>
      <c r="D574" s="945"/>
      <c r="E574" s="692"/>
      <c r="G574" s="781"/>
      <c r="H574" s="782"/>
    </row>
    <row r="575" spans="1:8">
      <c r="A575" s="457"/>
      <c r="B575" s="950" t="s">
        <v>799</v>
      </c>
      <c r="C575" s="786"/>
      <c r="D575" s="730">
        <f>SUM(D576:D577)</f>
        <v>0</v>
      </c>
      <c r="E575" s="692"/>
      <c r="G575" s="781"/>
      <c r="H575" s="782"/>
    </row>
    <row r="576" spans="1:8">
      <c r="A576" s="457"/>
      <c r="B576" s="951" t="s">
        <v>52</v>
      </c>
      <c r="C576" s="786"/>
      <c r="D576" s="945"/>
      <c r="E576" s="692"/>
      <c r="G576" s="781"/>
      <c r="H576" s="782"/>
    </row>
    <row r="577" spans="1:8">
      <c r="A577" s="457"/>
      <c r="B577" s="951" t="s">
        <v>801</v>
      </c>
      <c r="C577" s="786"/>
      <c r="D577" s="945"/>
      <c r="E577" s="692"/>
      <c r="G577" s="781"/>
      <c r="H577" s="782"/>
    </row>
    <row r="578" spans="1:8">
      <c r="A578" s="457"/>
      <c r="B578" s="728" t="s">
        <v>50</v>
      </c>
      <c r="C578" s="786">
        <v>11733726</v>
      </c>
      <c r="D578" s="730">
        <f>SUM(D579,D582)</f>
        <v>0</v>
      </c>
      <c r="E578" s="692"/>
      <c r="G578" s="781"/>
      <c r="H578" s="782"/>
    </row>
    <row r="579" spans="1:8">
      <c r="A579" s="457"/>
      <c r="B579" s="950" t="s">
        <v>796</v>
      </c>
      <c r="C579" s="786"/>
      <c r="D579" s="730">
        <f>SUM(D580:D581)</f>
        <v>0</v>
      </c>
      <c r="E579" s="692"/>
      <c r="G579" s="781"/>
      <c r="H579" s="782"/>
    </row>
    <row r="580" spans="1:8">
      <c r="A580" s="457"/>
      <c r="B580" s="951" t="s">
        <v>797</v>
      </c>
      <c r="C580" s="786"/>
      <c r="D580" s="945"/>
      <c r="E580" s="692"/>
      <c r="G580" s="781"/>
      <c r="H580" s="782"/>
    </row>
    <row r="581" spans="1:8">
      <c r="A581" s="457"/>
      <c r="B581" s="951" t="s">
        <v>53</v>
      </c>
      <c r="C581" s="786"/>
      <c r="D581" s="945"/>
      <c r="E581" s="692"/>
      <c r="G581" s="781"/>
      <c r="H581" s="782"/>
    </row>
    <row r="582" spans="1:8">
      <c r="A582" s="457"/>
      <c r="B582" s="950" t="s">
        <v>799</v>
      </c>
      <c r="C582" s="786"/>
      <c r="D582" s="730">
        <f>SUM(D583:D584)</f>
        <v>0</v>
      </c>
      <c r="E582" s="692"/>
      <c r="G582" s="781"/>
      <c r="H582" s="782"/>
    </row>
    <row r="583" spans="1:8">
      <c r="A583" s="457"/>
      <c r="B583" s="951" t="s">
        <v>52</v>
      </c>
      <c r="C583" s="786"/>
      <c r="D583" s="945"/>
      <c r="E583" s="692"/>
      <c r="G583" s="781"/>
      <c r="H583" s="782"/>
    </row>
    <row r="584" spans="1:8">
      <c r="A584" s="457"/>
      <c r="B584" s="951" t="s">
        <v>801</v>
      </c>
      <c r="C584" s="786"/>
      <c r="D584" s="945"/>
      <c r="E584" s="692"/>
      <c r="G584" s="781"/>
      <c r="H584" s="782"/>
    </row>
    <row r="585" spans="1:8">
      <c r="A585" s="457"/>
      <c r="B585" s="455" t="s">
        <v>935</v>
      </c>
      <c r="C585" s="758">
        <v>11734000</v>
      </c>
      <c r="D585" s="717">
        <f>SUM(D586:D588,D595,D602:D603,D610,D617)</f>
        <v>0</v>
      </c>
      <c r="E585" s="692"/>
      <c r="G585" s="781"/>
      <c r="H585" s="782"/>
    </row>
    <row r="586" spans="1:8">
      <c r="A586" s="457"/>
      <c r="B586" s="480" t="s">
        <v>47</v>
      </c>
      <c r="C586" s="707">
        <v>11734100</v>
      </c>
      <c r="D586" s="826"/>
      <c r="E586" s="692"/>
      <c r="G586" s="781"/>
      <c r="H586" s="782"/>
    </row>
    <row r="587" spans="1:8">
      <c r="A587" s="457"/>
      <c r="B587" s="480" t="s">
        <v>745</v>
      </c>
      <c r="C587" s="707">
        <v>11734200</v>
      </c>
      <c r="D587" s="826"/>
      <c r="E587" s="692"/>
      <c r="G587" s="781"/>
      <c r="H587" s="782"/>
    </row>
    <row r="588" spans="1:8">
      <c r="A588" s="457"/>
      <c r="B588" s="480" t="s">
        <v>795</v>
      </c>
      <c r="C588" s="707">
        <v>11734300</v>
      </c>
      <c r="D588" s="712">
        <f>SUM(D589,D592)</f>
        <v>0</v>
      </c>
      <c r="E588" s="692"/>
      <c r="G588" s="781"/>
      <c r="H588" s="782"/>
    </row>
    <row r="589" spans="1:8">
      <c r="A589" s="457"/>
      <c r="B589" s="709" t="s">
        <v>796</v>
      </c>
      <c r="C589" s="707">
        <v>11734310</v>
      </c>
      <c r="D589" s="712">
        <f>SUM(D590:D591)</f>
        <v>0</v>
      </c>
      <c r="E589" s="692"/>
      <c r="G589" s="781"/>
      <c r="H589" s="782"/>
    </row>
    <row r="590" spans="1:8">
      <c r="A590" s="457"/>
      <c r="B590" s="718" t="s">
        <v>797</v>
      </c>
      <c r="C590" s="707">
        <v>11734311</v>
      </c>
      <c r="D590" s="826"/>
      <c r="E590" s="692"/>
      <c r="G590" s="781"/>
      <c r="H590" s="782"/>
    </row>
    <row r="591" spans="1:8">
      <c r="A591" s="457"/>
      <c r="B591" s="718" t="s">
        <v>53</v>
      </c>
      <c r="C591" s="707">
        <v>11734312</v>
      </c>
      <c r="D591" s="826"/>
      <c r="E591" s="692"/>
      <c r="G591" s="781"/>
      <c r="H591" s="782"/>
    </row>
    <row r="592" spans="1:8">
      <c r="A592" s="457"/>
      <c r="B592" s="709" t="s">
        <v>799</v>
      </c>
      <c r="C592" s="707">
        <v>11734320</v>
      </c>
      <c r="D592" s="712">
        <f>SUM(D593:D594)</f>
        <v>0</v>
      </c>
      <c r="E592" s="692"/>
      <c r="G592" s="781"/>
      <c r="H592" s="782"/>
    </row>
    <row r="593" spans="1:8">
      <c r="A593" s="457"/>
      <c r="B593" s="718" t="s">
        <v>52</v>
      </c>
      <c r="C593" s="707">
        <v>11734321</v>
      </c>
      <c r="D593" s="826"/>
      <c r="E593" s="692"/>
      <c r="G593" s="781"/>
      <c r="H593" s="782"/>
    </row>
    <row r="594" spans="1:8">
      <c r="A594" s="457"/>
      <c r="B594" s="718" t="s">
        <v>801</v>
      </c>
      <c r="C594" s="707">
        <v>11734322</v>
      </c>
      <c r="D594" s="826"/>
      <c r="E594" s="692"/>
      <c r="G594" s="781"/>
      <c r="H594" s="782"/>
    </row>
    <row r="595" spans="1:8">
      <c r="A595" s="457"/>
      <c r="B595" s="480" t="s">
        <v>49</v>
      </c>
      <c r="C595" s="707">
        <v>11734400</v>
      </c>
      <c r="D595" s="712">
        <f>SUM(D596,D599)</f>
        <v>0</v>
      </c>
      <c r="E595" s="692"/>
      <c r="G595" s="781"/>
      <c r="H595" s="782"/>
    </row>
    <row r="596" spans="1:8">
      <c r="A596" s="457"/>
      <c r="B596" s="709" t="s">
        <v>796</v>
      </c>
      <c r="C596" s="707">
        <v>11734410</v>
      </c>
      <c r="D596" s="712">
        <f>SUM(D597:D598)</f>
        <v>0</v>
      </c>
      <c r="E596" s="692"/>
      <c r="G596" s="781"/>
      <c r="H596" s="782"/>
    </row>
    <row r="597" spans="1:8">
      <c r="A597" s="457"/>
      <c r="B597" s="718" t="s">
        <v>797</v>
      </c>
      <c r="C597" s="707">
        <v>11734411</v>
      </c>
      <c r="D597" s="826"/>
      <c r="E597" s="692"/>
      <c r="G597" s="781"/>
      <c r="H597" s="782"/>
    </row>
    <row r="598" spans="1:8">
      <c r="A598" s="457"/>
      <c r="B598" s="718" t="s">
        <v>53</v>
      </c>
      <c r="C598" s="707">
        <v>11734412</v>
      </c>
      <c r="D598" s="826"/>
      <c r="E598" s="692"/>
      <c r="G598" s="781"/>
      <c r="H598" s="782"/>
    </row>
    <row r="599" spans="1:8">
      <c r="A599" s="457"/>
      <c r="B599" s="709" t="s">
        <v>799</v>
      </c>
      <c r="C599" s="707">
        <v>11734420</v>
      </c>
      <c r="D599" s="712">
        <f>SUM(D600:D601)</f>
        <v>0</v>
      </c>
      <c r="E599" s="692"/>
      <c r="G599" s="781"/>
      <c r="H599" s="782"/>
    </row>
    <row r="600" spans="1:8">
      <c r="A600" s="457"/>
      <c r="B600" s="718" t="s">
        <v>52</v>
      </c>
      <c r="C600" s="707">
        <v>11734421</v>
      </c>
      <c r="D600" s="826"/>
      <c r="E600" s="692"/>
      <c r="G600" s="781"/>
      <c r="H600" s="782"/>
    </row>
    <row r="601" spans="1:8">
      <c r="A601" s="457"/>
      <c r="B601" s="718" t="s">
        <v>801</v>
      </c>
      <c r="C601" s="707">
        <v>11734422</v>
      </c>
      <c r="D601" s="826"/>
      <c r="E601" s="692"/>
      <c r="G601" s="781"/>
      <c r="H601" s="782"/>
    </row>
    <row r="602" spans="1:8">
      <c r="A602" s="457"/>
      <c r="B602" s="480" t="s">
        <v>804</v>
      </c>
      <c r="C602" s="707">
        <v>11734500</v>
      </c>
      <c r="D602" s="826"/>
      <c r="E602" s="692"/>
      <c r="G602" s="781"/>
      <c r="H602" s="782"/>
    </row>
    <row r="603" spans="1:8">
      <c r="A603" s="457"/>
      <c r="B603" s="480" t="s">
        <v>805</v>
      </c>
      <c r="C603" s="707">
        <v>11734600</v>
      </c>
      <c r="D603" s="712">
        <f>SUM(D604,D607)</f>
        <v>0</v>
      </c>
      <c r="E603" s="692"/>
      <c r="G603" s="781"/>
      <c r="H603" s="782"/>
    </row>
    <row r="604" spans="1:8">
      <c r="A604" s="457"/>
      <c r="B604" s="709" t="s">
        <v>796</v>
      </c>
      <c r="C604" s="707">
        <v>11734610</v>
      </c>
      <c r="D604" s="712">
        <f>SUM(D605:D606)</f>
        <v>0</v>
      </c>
      <c r="E604" s="692"/>
      <c r="G604" s="781"/>
      <c r="H604" s="782"/>
    </row>
    <row r="605" spans="1:8">
      <c r="A605" s="457"/>
      <c r="B605" s="718" t="s">
        <v>797</v>
      </c>
      <c r="C605" s="707">
        <v>11734611</v>
      </c>
      <c r="D605" s="826"/>
      <c r="E605" s="692"/>
      <c r="G605" s="781"/>
      <c r="H605" s="782"/>
    </row>
    <row r="606" spans="1:8">
      <c r="A606" s="457"/>
      <c r="B606" s="718" t="s">
        <v>53</v>
      </c>
      <c r="C606" s="707">
        <v>11734612</v>
      </c>
      <c r="D606" s="826"/>
      <c r="E606" s="692"/>
      <c r="G606" s="781"/>
      <c r="H606" s="782"/>
    </row>
    <row r="607" spans="1:8">
      <c r="A607" s="457"/>
      <c r="B607" s="709" t="s">
        <v>799</v>
      </c>
      <c r="C607" s="707">
        <v>11734620</v>
      </c>
      <c r="D607" s="712">
        <f>SUM(D608:D609)</f>
        <v>0</v>
      </c>
      <c r="E607" s="692"/>
      <c r="G607" s="781"/>
      <c r="H607" s="782"/>
    </row>
    <row r="608" spans="1:8">
      <c r="A608" s="457"/>
      <c r="B608" s="718" t="s">
        <v>52</v>
      </c>
      <c r="C608" s="707">
        <v>11734621</v>
      </c>
      <c r="D608" s="826"/>
      <c r="E608" s="692"/>
      <c r="G608" s="781"/>
      <c r="H608" s="782"/>
    </row>
    <row r="609" spans="1:8">
      <c r="A609" s="457"/>
      <c r="B609" s="718" t="s">
        <v>801</v>
      </c>
      <c r="C609" s="707">
        <v>11734622</v>
      </c>
      <c r="D609" s="826"/>
      <c r="E609" s="692"/>
      <c r="G609" s="781"/>
      <c r="H609" s="782"/>
    </row>
    <row r="610" spans="1:8">
      <c r="A610" s="457"/>
      <c r="B610" s="480" t="s">
        <v>50</v>
      </c>
      <c r="C610" s="707">
        <v>11734700</v>
      </c>
      <c r="D610" s="712">
        <f>SUM(D611,D614)</f>
        <v>0</v>
      </c>
      <c r="E610" s="692"/>
      <c r="G610" s="781"/>
      <c r="H610" s="782"/>
    </row>
    <row r="611" spans="1:8">
      <c r="A611" s="457"/>
      <c r="B611" s="709" t="s">
        <v>796</v>
      </c>
      <c r="C611" s="707">
        <v>11734710</v>
      </c>
      <c r="D611" s="712">
        <f>SUM(D612:D613)</f>
        <v>0</v>
      </c>
      <c r="E611" s="692"/>
      <c r="G611" s="781"/>
      <c r="H611" s="782"/>
    </row>
    <row r="612" spans="1:8">
      <c r="A612" s="457"/>
      <c r="B612" s="718" t="s">
        <v>797</v>
      </c>
      <c r="C612" s="707">
        <v>11734711</v>
      </c>
      <c r="D612" s="826"/>
      <c r="E612" s="692"/>
      <c r="G612" s="781"/>
      <c r="H612" s="782"/>
    </row>
    <row r="613" spans="1:8">
      <c r="A613" s="457"/>
      <c r="B613" s="718" t="s">
        <v>53</v>
      </c>
      <c r="C613" s="707">
        <v>11734712</v>
      </c>
      <c r="D613" s="826"/>
      <c r="E613" s="692"/>
      <c r="G613" s="781"/>
      <c r="H613" s="782"/>
    </row>
    <row r="614" spans="1:8">
      <c r="A614" s="457"/>
      <c r="B614" s="709" t="s">
        <v>799</v>
      </c>
      <c r="C614" s="707">
        <v>11734720</v>
      </c>
      <c r="D614" s="712">
        <f>SUM(D615:D616)</f>
        <v>0</v>
      </c>
      <c r="E614" s="692"/>
      <c r="G614" s="781"/>
      <c r="H614" s="782"/>
    </row>
    <row r="615" spans="1:8">
      <c r="A615" s="457"/>
      <c r="B615" s="718" t="s">
        <v>52</v>
      </c>
      <c r="C615" s="707">
        <v>11734721</v>
      </c>
      <c r="D615" s="826"/>
      <c r="E615" s="734"/>
      <c r="G615" s="781"/>
      <c r="H615" s="782"/>
    </row>
    <row r="616" spans="1:8">
      <c r="A616" s="457"/>
      <c r="B616" s="718" t="s">
        <v>801</v>
      </c>
      <c r="C616" s="707">
        <v>11734722</v>
      </c>
      <c r="D616" s="826"/>
      <c r="E616" s="734"/>
      <c r="G616" s="781"/>
      <c r="H616" s="782"/>
    </row>
    <row r="617" spans="1:8">
      <c r="A617" s="468"/>
      <c r="B617" s="723" t="s">
        <v>809</v>
      </c>
      <c r="C617" s="724">
        <v>11734800</v>
      </c>
      <c r="D617" s="946">
        <f>SUM(D618,-D643)</f>
        <v>0</v>
      </c>
      <c r="E617" s="692"/>
      <c r="G617" s="781"/>
      <c r="H617" s="782"/>
    </row>
    <row r="618" spans="1:8">
      <c r="A618" s="468"/>
      <c r="B618" s="726" t="s">
        <v>743</v>
      </c>
      <c r="C618" s="786">
        <v>11734810</v>
      </c>
      <c r="D618" s="730">
        <f>SUM(D619:D621,D628:D629,D636)</f>
        <v>0</v>
      </c>
      <c r="E618" s="692"/>
      <c r="G618" s="781"/>
      <c r="H618" s="782"/>
    </row>
    <row r="619" spans="1:8">
      <c r="A619" s="457"/>
      <c r="B619" s="718" t="s">
        <v>47</v>
      </c>
      <c r="C619" s="707">
        <v>11734811</v>
      </c>
      <c r="D619" s="826"/>
      <c r="E619" s="692"/>
      <c r="G619" s="781"/>
      <c r="H619" s="782"/>
    </row>
    <row r="620" spans="1:8">
      <c r="A620" s="457"/>
      <c r="B620" s="718" t="s">
        <v>745</v>
      </c>
      <c r="C620" s="707">
        <v>11734812</v>
      </c>
      <c r="D620" s="826"/>
      <c r="E620" s="692"/>
      <c r="G620" s="781"/>
      <c r="H620" s="782"/>
    </row>
    <row r="621" spans="1:8">
      <c r="A621" s="457"/>
      <c r="B621" s="718" t="s">
        <v>795</v>
      </c>
      <c r="C621" s="707">
        <v>11734813</v>
      </c>
      <c r="D621" s="712">
        <f>SUM(D622,D625)</f>
        <v>0</v>
      </c>
      <c r="E621" s="692"/>
      <c r="G621" s="781"/>
      <c r="H621" s="782"/>
    </row>
    <row r="622" spans="1:8">
      <c r="A622" s="457"/>
      <c r="B622" s="759" t="s">
        <v>796</v>
      </c>
      <c r="C622" s="707"/>
      <c r="D622" s="712">
        <f>SUM(D623:D624)</f>
        <v>0</v>
      </c>
      <c r="E622" s="692"/>
      <c r="G622" s="781"/>
      <c r="H622" s="782"/>
    </row>
    <row r="623" spans="1:8">
      <c r="A623" s="457"/>
      <c r="B623" s="764" t="s">
        <v>797</v>
      </c>
      <c r="C623" s="707"/>
      <c r="D623" s="826"/>
      <c r="E623" s="692"/>
      <c r="G623" s="781"/>
      <c r="H623" s="782"/>
    </row>
    <row r="624" spans="1:8">
      <c r="A624" s="457"/>
      <c r="B624" s="764" t="s">
        <v>53</v>
      </c>
      <c r="C624" s="707"/>
      <c r="D624" s="826"/>
      <c r="E624" s="692"/>
      <c r="G624" s="781"/>
      <c r="H624" s="782"/>
    </row>
    <row r="625" spans="1:8">
      <c r="A625" s="457"/>
      <c r="B625" s="759" t="s">
        <v>799</v>
      </c>
      <c r="C625" s="707"/>
      <c r="D625" s="712">
        <f>SUM(D626:D627)</f>
        <v>0</v>
      </c>
      <c r="E625" s="692"/>
      <c r="G625" s="781"/>
      <c r="H625" s="782"/>
    </row>
    <row r="626" spans="1:8">
      <c r="A626" s="457"/>
      <c r="B626" s="764" t="s">
        <v>52</v>
      </c>
      <c r="C626" s="707"/>
      <c r="D626" s="826"/>
      <c r="E626" s="692"/>
      <c r="G626" s="781"/>
      <c r="H626" s="782"/>
    </row>
    <row r="627" spans="1:8">
      <c r="A627" s="457"/>
      <c r="B627" s="764" t="s">
        <v>801</v>
      </c>
      <c r="C627" s="707"/>
      <c r="D627" s="826"/>
      <c r="E627" s="692"/>
      <c r="G627" s="781"/>
      <c r="H627" s="782"/>
    </row>
    <row r="628" spans="1:8">
      <c r="A628" s="457"/>
      <c r="B628" s="718" t="s">
        <v>804</v>
      </c>
      <c r="C628" s="707">
        <v>11734814</v>
      </c>
      <c r="D628" s="826"/>
      <c r="E628" s="692"/>
      <c r="G628" s="781"/>
      <c r="H628" s="782"/>
    </row>
    <row r="629" spans="1:8">
      <c r="A629" s="457"/>
      <c r="B629" s="718" t="s">
        <v>805</v>
      </c>
      <c r="C629" s="707">
        <v>11734815</v>
      </c>
      <c r="D629" s="712">
        <f>SUM(D630,D633)</f>
        <v>0</v>
      </c>
      <c r="E629" s="692"/>
      <c r="G629" s="781"/>
      <c r="H629" s="782"/>
    </row>
    <row r="630" spans="1:8">
      <c r="A630" s="457"/>
      <c r="B630" s="759" t="s">
        <v>796</v>
      </c>
      <c r="C630" s="707"/>
      <c r="D630" s="712">
        <f>SUM(D631:D632)</f>
        <v>0</v>
      </c>
      <c r="E630" s="692"/>
      <c r="G630" s="781"/>
      <c r="H630" s="782"/>
    </row>
    <row r="631" spans="1:8">
      <c r="A631" s="457"/>
      <c r="B631" s="764" t="s">
        <v>797</v>
      </c>
      <c r="C631" s="707"/>
      <c r="D631" s="826"/>
      <c r="E631" s="692"/>
      <c r="G631" s="781"/>
      <c r="H631" s="782"/>
    </row>
    <row r="632" spans="1:8">
      <c r="A632" s="457"/>
      <c r="B632" s="764" t="s">
        <v>53</v>
      </c>
      <c r="C632" s="707"/>
      <c r="D632" s="826"/>
      <c r="E632" s="692"/>
      <c r="G632" s="781"/>
      <c r="H632" s="782"/>
    </row>
    <row r="633" spans="1:8">
      <c r="A633" s="457"/>
      <c r="B633" s="759" t="s">
        <v>799</v>
      </c>
      <c r="C633" s="707"/>
      <c r="D633" s="712">
        <f>SUM(D634:D635)</f>
        <v>0</v>
      </c>
      <c r="E633" s="692"/>
      <c r="G633" s="781"/>
      <c r="H633" s="782"/>
    </row>
    <row r="634" spans="1:8">
      <c r="A634" s="457"/>
      <c r="B634" s="764" t="s">
        <v>52</v>
      </c>
      <c r="C634" s="707"/>
      <c r="D634" s="826"/>
      <c r="E634" s="692"/>
      <c r="G634" s="781"/>
      <c r="H634" s="782"/>
    </row>
    <row r="635" spans="1:8">
      <c r="A635" s="457"/>
      <c r="B635" s="764" t="s">
        <v>801</v>
      </c>
      <c r="C635" s="707"/>
      <c r="D635" s="826"/>
      <c r="E635" s="692"/>
      <c r="G635" s="781"/>
      <c r="H635" s="782"/>
    </row>
    <row r="636" spans="1:8">
      <c r="A636" s="457"/>
      <c r="B636" s="718" t="s">
        <v>50</v>
      </c>
      <c r="C636" s="707">
        <v>11734816</v>
      </c>
      <c r="D636" s="712">
        <f>SUM(D637,D640)</f>
        <v>0</v>
      </c>
      <c r="E636" s="692"/>
      <c r="G636" s="781"/>
      <c r="H636" s="782"/>
    </row>
    <row r="637" spans="1:8">
      <c r="A637" s="457"/>
      <c r="B637" s="759" t="s">
        <v>796</v>
      </c>
      <c r="C637" s="707"/>
      <c r="D637" s="712">
        <f>SUM(D638:D639)</f>
        <v>0</v>
      </c>
      <c r="E637" s="692"/>
      <c r="G637" s="781"/>
      <c r="H637" s="782"/>
    </row>
    <row r="638" spans="1:8">
      <c r="A638" s="457"/>
      <c r="B638" s="764" t="s">
        <v>797</v>
      </c>
      <c r="C638" s="707"/>
      <c r="D638" s="826"/>
      <c r="E638" s="692"/>
      <c r="G638" s="781"/>
      <c r="H638" s="782"/>
    </row>
    <row r="639" spans="1:8">
      <c r="A639" s="457"/>
      <c r="B639" s="764" t="s">
        <v>53</v>
      </c>
      <c r="C639" s="707"/>
      <c r="D639" s="826"/>
      <c r="E639" s="692"/>
      <c r="G639" s="781"/>
      <c r="H639" s="782"/>
    </row>
    <row r="640" spans="1:8">
      <c r="A640" s="457"/>
      <c r="B640" s="759" t="s">
        <v>799</v>
      </c>
      <c r="C640" s="707"/>
      <c r="D640" s="712">
        <f>SUM(D641:D642)</f>
        <v>0</v>
      </c>
      <c r="E640" s="692"/>
      <c r="G640" s="781"/>
      <c r="H640" s="782"/>
    </row>
    <row r="641" spans="1:8">
      <c r="A641" s="457"/>
      <c r="B641" s="764" t="s">
        <v>52</v>
      </c>
      <c r="C641" s="707"/>
      <c r="D641" s="826"/>
      <c r="E641" s="734"/>
      <c r="G641" s="781"/>
      <c r="H641" s="782"/>
    </row>
    <row r="642" spans="1:8">
      <c r="A642" s="457"/>
      <c r="B642" s="764" t="s">
        <v>801</v>
      </c>
      <c r="C642" s="707"/>
      <c r="D642" s="826"/>
      <c r="E642" s="692"/>
      <c r="G642" s="781"/>
      <c r="H642" s="782"/>
    </row>
    <row r="643" spans="1:8">
      <c r="A643" s="468"/>
      <c r="B643" s="726" t="s">
        <v>51</v>
      </c>
      <c r="C643" s="786">
        <v>11734820</v>
      </c>
      <c r="D643" s="730">
        <f>SUM(D644:D646,D653:D654,D661)</f>
        <v>0</v>
      </c>
      <c r="E643" s="692"/>
      <c r="G643" s="781"/>
      <c r="H643" s="782"/>
    </row>
    <row r="644" spans="1:8">
      <c r="A644" s="457"/>
      <c r="B644" s="718" t="s">
        <v>47</v>
      </c>
      <c r="C644" s="707">
        <v>11734821</v>
      </c>
      <c r="D644" s="826"/>
      <c r="E644" s="692"/>
      <c r="G644" s="781"/>
      <c r="H644" s="782"/>
    </row>
    <row r="645" spans="1:8">
      <c r="A645" s="457"/>
      <c r="B645" s="718" t="s">
        <v>745</v>
      </c>
      <c r="C645" s="707">
        <v>11734822</v>
      </c>
      <c r="D645" s="826"/>
      <c r="E645" s="692"/>
      <c r="G645" s="781"/>
      <c r="H645" s="782"/>
    </row>
    <row r="646" spans="1:8">
      <c r="A646" s="457"/>
      <c r="B646" s="718" t="s">
        <v>795</v>
      </c>
      <c r="C646" s="707">
        <v>11734823</v>
      </c>
      <c r="D646" s="712">
        <f>SUM(D647,D650)</f>
        <v>0</v>
      </c>
      <c r="E646" s="692"/>
      <c r="G646" s="781"/>
      <c r="H646" s="782"/>
    </row>
    <row r="647" spans="1:8">
      <c r="A647" s="457"/>
      <c r="B647" s="759" t="s">
        <v>796</v>
      </c>
      <c r="C647" s="707"/>
      <c r="D647" s="712">
        <f>SUM(D648:D649)</f>
        <v>0</v>
      </c>
      <c r="E647" s="692"/>
      <c r="G647" s="781"/>
      <c r="H647" s="782"/>
    </row>
    <row r="648" spans="1:8">
      <c r="A648" s="457"/>
      <c r="B648" s="764" t="s">
        <v>797</v>
      </c>
      <c r="C648" s="707"/>
      <c r="D648" s="826"/>
      <c r="E648" s="692"/>
      <c r="G648" s="781"/>
      <c r="H648" s="782"/>
    </row>
    <row r="649" spans="1:8">
      <c r="A649" s="457"/>
      <c r="B649" s="764" t="s">
        <v>53</v>
      </c>
      <c r="C649" s="707"/>
      <c r="D649" s="826"/>
      <c r="E649" s="692"/>
      <c r="G649" s="781"/>
      <c r="H649" s="782"/>
    </row>
    <row r="650" spans="1:8">
      <c r="A650" s="457"/>
      <c r="B650" s="759" t="s">
        <v>799</v>
      </c>
      <c r="C650" s="707"/>
      <c r="D650" s="712">
        <f>SUM(D651:D652)</f>
        <v>0</v>
      </c>
      <c r="E650" s="692"/>
      <c r="G650" s="781"/>
      <c r="H650" s="782"/>
    </row>
    <row r="651" spans="1:8">
      <c r="A651" s="457"/>
      <c r="B651" s="764" t="s">
        <v>52</v>
      </c>
      <c r="C651" s="707"/>
      <c r="D651" s="826"/>
      <c r="E651" s="692"/>
      <c r="G651" s="781"/>
      <c r="H651" s="782"/>
    </row>
    <row r="652" spans="1:8">
      <c r="A652" s="457"/>
      <c r="B652" s="764" t="s">
        <v>801</v>
      </c>
      <c r="C652" s="707"/>
      <c r="D652" s="826"/>
      <c r="E652" s="692"/>
      <c r="G652" s="781"/>
      <c r="H652" s="782"/>
    </row>
    <row r="653" spans="1:8">
      <c r="A653" s="457"/>
      <c r="B653" s="718" t="s">
        <v>804</v>
      </c>
      <c r="C653" s="707">
        <v>11734824</v>
      </c>
      <c r="D653" s="826"/>
      <c r="E653" s="692"/>
      <c r="G653" s="781"/>
      <c r="H653" s="782"/>
    </row>
    <row r="654" spans="1:8">
      <c r="A654" s="457"/>
      <c r="B654" s="718" t="s">
        <v>805</v>
      </c>
      <c r="C654" s="707">
        <v>11734825</v>
      </c>
      <c r="D654" s="712">
        <f>SUM(D655,D658)</f>
        <v>0</v>
      </c>
      <c r="E654" s="692"/>
      <c r="G654" s="781"/>
      <c r="H654" s="782"/>
    </row>
    <row r="655" spans="1:8">
      <c r="A655" s="457"/>
      <c r="B655" s="759" t="s">
        <v>796</v>
      </c>
      <c r="C655" s="707"/>
      <c r="D655" s="712">
        <f>SUM(D656:D657)</f>
        <v>0</v>
      </c>
      <c r="E655" s="692"/>
      <c r="G655" s="781"/>
      <c r="H655" s="782"/>
    </row>
    <row r="656" spans="1:8">
      <c r="A656" s="457"/>
      <c r="B656" s="764" t="s">
        <v>797</v>
      </c>
      <c r="C656" s="707"/>
      <c r="D656" s="826"/>
      <c r="E656" s="692"/>
      <c r="G656" s="781"/>
      <c r="H656" s="782"/>
    </row>
    <row r="657" spans="1:8">
      <c r="A657" s="457"/>
      <c r="B657" s="764" t="s">
        <v>53</v>
      </c>
      <c r="C657" s="707"/>
      <c r="D657" s="826"/>
      <c r="E657" s="692"/>
      <c r="G657" s="781"/>
      <c r="H657" s="782"/>
    </row>
    <row r="658" spans="1:8">
      <c r="A658" s="457"/>
      <c r="B658" s="759" t="s">
        <v>799</v>
      </c>
      <c r="C658" s="707"/>
      <c r="D658" s="712">
        <f>SUM(D659:D660)</f>
        <v>0</v>
      </c>
      <c r="E658" s="692"/>
      <c r="G658" s="781"/>
      <c r="H658" s="782"/>
    </row>
    <row r="659" spans="1:8">
      <c r="A659" s="457"/>
      <c r="B659" s="764" t="s">
        <v>52</v>
      </c>
      <c r="C659" s="707"/>
      <c r="D659" s="826"/>
      <c r="E659" s="692"/>
      <c r="G659" s="781"/>
      <c r="H659" s="782"/>
    </row>
    <row r="660" spans="1:8">
      <c r="A660" s="457"/>
      <c r="B660" s="764" t="s">
        <v>801</v>
      </c>
      <c r="C660" s="707"/>
      <c r="D660" s="826"/>
      <c r="E660" s="692"/>
      <c r="G660" s="781"/>
      <c r="H660" s="782"/>
    </row>
    <row r="661" spans="1:8">
      <c r="A661" s="457"/>
      <c r="B661" s="718" t="s">
        <v>50</v>
      </c>
      <c r="C661" s="707">
        <v>11734826</v>
      </c>
      <c r="D661" s="712">
        <f>SUM(D662,D665)</f>
        <v>0</v>
      </c>
      <c r="E661" s="692"/>
      <c r="G661" s="781"/>
      <c r="H661" s="782"/>
    </row>
    <row r="662" spans="1:8">
      <c r="A662" s="457"/>
      <c r="B662" s="759" t="s">
        <v>796</v>
      </c>
      <c r="C662" s="707"/>
      <c r="D662" s="712">
        <f>SUM(D663:D664)</f>
        <v>0</v>
      </c>
      <c r="E662" s="692"/>
      <c r="G662" s="781"/>
      <c r="H662" s="782"/>
    </row>
    <row r="663" spans="1:8">
      <c r="A663" s="457"/>
      <c r="B663" s="764" t="s">
        <v>797</v>
      </c>
      <c r="C663" s="707"/>
      <c r="D663" s="826"/>
      <c r="E663" s="692"/>
      <c r="G663" s="781"/>
      <c r="H663" s="782"/>
    </row>
    <row r="664" spans="1:8">
      <c r="A664" s="457"/>
      <c r="B664" s="764" t="s">
        <v>53</v>
      </c>
      <c r="C664" s="707"/>
      <c r="D664" s="826"/>
      <c r="E664" s="692"/>
      <c r="G664" s="781"/>
      <c r="H664" s="782"/>
    </row>
    <row r="665" spans="1:8">
      <c r="A665" s="457"/>
      <c r="B665" s="759" t="s">
        <v>799</v>
      </c>
      <c r="C665" s="707"/>
      <c r="D665" s="712">
        <f>SUM(D666:D667)</f>
        <v>0</v>
      </c>
      <c r="E665" s="692"/>
      <c r="G665" s="781"/>
      <c r="H665" s="782"/>
    </row>
    <row r="666" spans="1:8">
      <c r="A666" s="457"/>
      <c r="B666" s="764" t="s">
        <v>52</v>
      </c>
      <c r="C666" s="707"/>
      <c r="D666" s="826"/>
      <c r="E666" s="692"/>
      <c r="G666" s="781"/>
      <c r="H666" s="782"/>
    </row>
    <row r="667" spans="1:8">
      <c r="A667" s="457"/>
      <c r="B667" s="764" t="s">
        <v>801</v>
      </c>
      <c r="C667" s="707"/>
      <c r="D667" s="826"/>
      <c r="E667" s="692"/>
      <c r="G667" s="781"/>
      <c r="H667" s="782"/>
    </row>
    <row r="668" spans="1:8">
      <c r="A668" s="457"/>
      <c r="B668" s="455" t="s">
        <v>936</v>
      </c>
      <c r="C668" s="705">
        <v>11735000</v>
      </c>
      <c r="D668" s="755">
        <f>SUM(D669:D671,D678:D679,D686,-D693)</f>
        <v>0</v>
      </c>
      <c r="E668" s="692"/>
      <c r="G668" s="781"/>
      <c r="H668" s="782"/>
    </row>
    <row r="669" spans="1:8">
      <c r="A669" s="457"/>
      <c r="B669" s="480" t="s">
        <v>47</v>
      </c>
      <c r="C669" s="707">
        <v>11735100</v>
      </c>
      <c r="D669" s="826"/>
      <c r="E669" s="692"/>
      <c r="G669" s="781"/>
      <c r="H669" s="782"/>
    </row>
    <row r="670" spans="1:8">
      <c r="A670" s="457"/>
      <c r="B670" s="480" t="s">
        <v>745</v>
      </c>
      <c r="C670" s="707">
        <v>11735200</v>
      </c>
      <c r="D670" s="826"/>
      <c r="E670" s="692"/>
      <c r="G670" s="781"/>
      <c r="H670" s="782"/>
    </row>
    <row r="671" spans="1:8">
      <c r="A671" s="457"/>
      <c r="B671" s="480" t="s">
        <v>795</v>
      </c>
      <c r="C671" s="707">
        <v>11735300</v>
      </c>
      <c r="D671" s="712">
        <f>SUM(D672,D675)</f>
        <v>0</v>
      </c>
      <c r="E671" s="692"/>
      <c r="G671" s="781"/>
      <c r="H671" s="782"/>
    </row>
    <row r="672" spans="1:8">
      <c r="A672" s="457"/>
      <c r="B672" s="709" t="s">
        <v>796</v>
      </c>
      <c r="C672" s="707">
        <v>11735310</v>
      </c>
      <c r="D672" s="712">
        <f>SUM(D673:D674)</f>
        <v>0</v>
      </c>
      <c r="E672" s="692"/>
      <c r="G672" s="781"/>
      <c r="H672" s="782"/>
    </row>
    <row r="673" spans="1:8">
      <c r="A673" s="457"/>
      <c r="B673" s="718" t="s">
        <v>797</v>
      </c>
      <c r="C673" s="707">
        <v>11735311</v>
      </c>
      <c r="D673" s="826"/>
      <c r="E673" s="692"/>
      <c r="G673" s="781"/>
      <c r="H673" s="782"/>
    </row>
    <row r="674" spans="1:8">
      <c r="A674" s="457"/>
      <c r="B674" s="718" t="s">
        <v>53</v>
      </c>
      <c r="C674" s="707">
        <v>11735312</v>
      </c>
      <c r="D674" s="826"/>
      <c r="E674" s="692"/>
      <c r="G674" s="781"/>
      <c r="H674" s="782"/>
    </row>
    <row r="675" spans="1:8">
      <c r="A675" s="457"/>
      <c r="B675" s="709" t="s">
        <v>799</v>
      </c>
      <c r="C675" s="707">
        <v>11735320</v>
      </c>
      <c r="D675" s="712">
        <f>SUM(D676:D677)</f>
        <v>0</v>
      </c>
      <c r="E675" s="692"/>
      <c r="G675" s="781"/>
      <c r="H675" s="782"/>
    </row>
    <row r="676" spans="1:8">
      <c r="A676" s="457"/>
      <c r="B676" s="718" t="s">
        <v>52</v>
      </c>
      <c r="C676" s="707">
        <v>11735321</v>
      </c>
      <c r="D676" s="826"/>
      <c r="E676" s="692"/>
      <c r="G676" s="781"/>
      <c r="H676" s="782"/>
    </row>
    <row r="677" spans="1:8">
      <c r="A677" s="457"/>
      <c r="B677" s="718" t="s">
        <v>801</v>
      </c>
      <c r="C677" s="707">
        <v>11735322</v>
      </c>
      <c r="D677" s="826"/>
      <c r="E677" s="692"/>
      <c r="G677" s="781"/>
      <c r="H677" s="782"/>
    </row>
    <row r="678" spans="1:8">
      <c r="A678" s="457"/>
      <c r="B678" s="480" t="s">
        <v>804</v>
      </c>
      <c r="C678" s="707">
        <v>11735400</v>
      </c>
      <c r="D678" s="826"/>
      <c r="E678" s="692"/>
      <c r="G678" s="781"/>
      <c r="H678" s="782"/>
    </row>
    <row r="679" spans="1:8">
      <c r="A679" s="457"/>
      <c r="B679" s="480" t="s">
        <v>805</v>
      </c>
      <c r="C679" s="707">
        <v>11735500</v>
      </c>
      <c r="D679" s="712">
        <f>SUM(D680,D683)</f>
        <v>0</v>
      </c>
      <c r="E679" s="692"/>
      <c r="G679" s="781"/>
      <c r="H679" s="782"/>
    </row>
    <row r="680" spans="1:8">
      <c r="A680" s="457"/>
      <c r="B680" s="709" t="s">
        <v>796</v>
      </c>
      <c r="C680" s="707">
        <v>11735510</v>
      </c>
      <c r="D680" s="712">
        <f>SUM(D681:D682)</f>
        <v>0</v>
      </c>
      <c r="E680" s="692"/>
      <c r="G680" s="781"/>
      <c r="H680" s="782"/>
    </row>
    <row r="681" spans="1:8">
      <c r="A681" s="457"/>
      <c r="B681" s="718" t="s">
        <v>797</v>
      </c>
      <c r="C681" s="707">
        <v>11735511</v>
      </c>
      <c r="D681" s="826"/>
      <c r="E681" s="692"/>
      <c r="G681" s="781"/>
      <c r="H681" s="782"/>
    </row>
    <row r="682" spans="1:8">
      <c r="A682" s="457"/>
      <c r="B682" s="718" t="s">
        <v>53</v>
      </c>
      <c r="C682" s="707">
        <v>11735512</v>
      </c>
      <c r="D682" s="826"/>
      <c r="E682" s="692"/>
      <c r="G682" s="781"/>
      <c r="H682" s="782"/>
    </row>
    <row r="683" spans="1:8">
      <c r="A683" s="457"/>
      <c r="B683" s="709" t="s">
        <v>799</v>
      </c>
      <c r="C683" s="707">
        <v>11735520</v>
      </c>
      <c r="D683" s="712">
        <f>SUM(D684:D685)</f>
        <v>0</v>
      </c>
      <c r="E683" s="692"/>
      <c r="G683" s="781"/>
      <c r="H683" s="782"/>
    </row>
    <row r="684" spans="1:8">
      <c r="A684" s="457"/>
      <c r="B684" s="718" t="s">
        <v>52</v>
      </c>
      <c r="C684" s="707">
        <v>11735521</v>
      </c>
      <c r="D684" s="826"/>
      <c r="E684" s="692"/>
      <c r="G684" s="781"/>
      <c r="H684" s="782"/>
    </row>
    <row r="685" spans="1:8">
      <c r="A685" s="457"/>
      <c r="B685" s="718" t="s">
        <v>801</v>
      </c>
      <c r="C685" s="707">
        <v>11735522</v>
      </c>
      <c r="D685" s="826"/>
      <c r="E685" s="692"/>
      <c r="G685" s="781"/>
      <c r="H685" s="782"/>
    </row>
    <row r="686" spans="1:8">
      <c r="A686" s="457"/>
      <c r="B686" s="480" t="s">
        <v>50</v>
      </c>
      <c r="C686" s="707">
        <v>11735600</v>
      </c>
      <c r="D686" s="712">
        <f>SUM(D687,D690)</f>
        <v>0</v>
      </c>
      <c r="E686" s="692"/>
      <c r="G686" s="781"/>
      <c r="H686" s="782"/>
    </row>
    <row r="687" spans="1:8">
      <c r="A687" s="457"/>
      <c r="B687" s="709" t="s">
        <v>796</v>
      </c>
      <c r="C687" s="707">
        <v>11735610</v>
      </c>
      <c r="D687" s="712">
        <f>SUM(D688:D689)</f>
        <v>0</v>
      </c>
      <c r="E687" s="692"/>
      <c r="G687" s="781"/>
      <c r="H687" s="782"/>
    </row>
    <row r="688" spans="1:8">
      <c r="A688" s="457"/>
      <c r="B688" s="718" t="s">
        <v>797</v>
      </c>
      <c r="C688" s="707">
        <v>11735611</v>
      </c>
      <c r="D688" s="826"/>
      <c r="E688" s="692"/>
      <c r="G688" s="781"/>
      <c r="H688" s="782"/>
    </row>
    <row r="689" spans="1:8">
      <c r="A689" s="457"/>
      <c r="B689" s="718" t="s">
        <v>53</v>
      </c>
      <c r="C689" s="707">
        <v>11735612</v>
      </c>
      <c r="D689" s="826"/>
      <c r="E689" s="692"/>
      <c r="G689" s="781"/>
      <c r="H689" s="782"/>
    </row>
    <row r="690" spans="1:8">
      <c r="A690" s="457"/>
      <c r="B690" s="709" t="s">
        <v>799</v>
      </c>
      <c r="C690" s="707">
        <v>11735620</v>
      </c>
      <c r="D690" s="712">
        <f>SUM(D691:D692)</f>
        <v>0</v>
      </c>
      <c r="E690" s="692"/>
      <c r="G690" s="781"/>
      <c r="H690" s="782"/>
    </row>
    <row r="691" spans="1:8">
      <c r="A691" s="457"/>
      <c r="B691" s="718" t="s">
        <v>52</v>
      </c>
      <c r="C691" s="707">
        <v>11735621</v>
      </c>
      <c r="D691" s="826"/>
      <c r="E691" s="734"/>
      <c r="G691" s="781"/>
      <c r="H691" s="782"/>
    </row>
    <row r="692" spans="1:8">
      <c r="A692" s="457"/>
      <c r="B692" s="718" t="s">
        <v>801</v>
      </c>
      <c r="C692" s="707">
        <v>11735622</v>
      </c>
      <c r="D692" s="826"/>
      <c r="E692" s="692"/>
      <c r="G692" s="781"/>
      <c r="H692" s="782"/>
    </row>
    <row r="693" spans="1:8">
      <c r="A693" s="468"/>
      <c r="B693" s="465" t="s">
        <v>937</v>
      </c>
      <c r="C693" s="786">
        <v>11735700</v>
      </c>
      <c r="D693" s="945"/>
      <c r="E693" s="692"/>
      <c r="G693" s="781"/>
      <c r="H693" s="782"/>
    </row>
    <row r="694" spans="1:8">
      <c r="A694" s="689"/>
      <c r="B694" s="689" t="s">
        <v>1433</v>
      </c>
      <c r="C694" s="690">
        <v>12000000</v>
      </c>
      <c r="D694" s="691">
        <f>SUM(D695,D765,D835,D905,D975,-D1045,D1065,-D1085,-D1088)</f>
        <v>0</v>
      </c>
      <c r="E694" s="692"/>
      <c r="G694" s="781"/>
      <c r="H694" s="782"/>
    </row>
    <row r="695" spans="1:8">
      <c r="A695" s="699"/>
      <c r="B695" s="699" t="s">
        <v>938</v>
      </c>
      <c r="C695" s="700">
        <v>12100000</v>
      </c>
      <c r="D695" s="783">
        <f>SUM(D696,D711,D732,D735,D738,D745)</f>
        <v>0</v>
      </c>
      <c r="E695" s="692"/>
      <c r="G695" s="781"/>
      <c r="H695" s="782"/>
    </row>
    <row r="696" spans="1:8">
      <c r="A696" s="457"/>
      <c r="B696" s="704" t="s">
        <v>891</v>
      </c>
      <c r="C696" s="705">
        <v>12110000</v>
      </c>
      <c r="D696" s="712">
        <f>SUM(D697,D704)</f>
        <v>0</v>
      </c>
      <c r="E696" s="692"/>
      <c r="G696" s="781"/>
      <c r="H696" s="782"/>
    </row>
    <row r="697" spans="1:8">
      <c r="A697" s="457"/>
      <c r="B697" s="709" t="s">
        <v>714</v>
      </c>
      <c r="C697" s="707">
        <v>12111000</v>
      </c>
      <c r="D697" s="712">
        <f>SUM(D698:D703)</f>
        <v>0</v>
      </c>
      <c r="E697" s="692"/>
      <c r="G697" s="781"/>
      <c r="H697" s="782"/>
    </row>
    <row r="698" spans="1:8">
      <c r="A698" s="457"/>
      <c r="B698" s="718" t="s">
        <v>746</v>
      </c>
      <c r="C698" s="707">
        <v>12111100</v>
      </c>
      <c r="D698" s="826"/>
      <c r="E698" s="692"/>
      <c r="G698" s="781"/>
      <c r="H698" s="782"/>
    </row>
    <row r="699" spans="1:8">
      <c r="A699" s="457"/>
      <c r="B699" s="718" t="s">
        <v>892</v>
      </c>
      <c r="C699" s="707">
        <v>12111200</v>
      </c>
      <c r="D699" s="826"/>
      <c r="E699" s="692"/>
      <c r="G699" s="781"/>
      <c r="H699" s="782"/>
    </row>
    <row r="700" spans="1:8">
      <c r="A700" s="457"/>
      <c r="B700" s="718" t="s">
        <v>893</v>
      </c>
      <c r="C700" s="707">
        <v>12111300</v>
      </c>
      <c r="D700" s="826"/>
      <c r="E700" s="692"/>
      <c r="G700" s="781"/>
      <c r="H700" s="782"/>
    </row>
    <row r="701" spans="1:8">
      <c r="A701" s="457"/>
      <c r="B701" s="718" t="s">
        <v>751</v>
      </c>
      <c r="C701" s="707">
        <v>12111400</v>
      </c>
      <c r="D701" s="826"/>
      <c r="E701" s="692"/>
      <c r="G701" s="781"/>
      <c r="H701" s="782"/>
    </row>
    <row r="702" spans="1:8">
      <c r="A702" s="457"/>
      <c r="B702" s="718" t="s">
        <v>752</v>
      </c>
      <c r="C702" s="707">
        <v>12111500</v>
      </c>
      <c r="D702" s="826"/>
      <c r="E702" s="692"/>
      <c r="G702" s="781"/>
      <c r="H702" s="782"/>
    </row>
    <row r="703" spans="1:8">
      <c r="A703" s="457"/>
      <c r="B703" s="718" t="s">
        <v>53</v>
      </c>
      <c r="C703" s="707">
        <v>12111600</v>
      </c>
      <c r="D703" s="826"/>
      <c r="E703" s="692"/>
      <c r="G703" s="781"/>
      <c r="H703" s="782"/>
    </row>
    <row r="704" spans="1:8">
      <c r="A704" s="457"/>
      <c r="B704" s="709" t="s">
        <v>83</v>
      </c>
      <c r="C704" s="707">
        <v>12112000</v>
      </c>
      <c r="D704" s="712">
        <f>SUM(D705:D710)</f>
        <v>0</v>
      </c>
      <c r="E704" s="692"/>
      <c r="G704" s="781"/>
      <c r="H704" s="782"/>
    </row>
    <row r="705" spans="1:8">
      <c r="A705" s="457"/>
      <c r="B705" s="718" t="s">
        <v>746</v>
      </c>
      <c r="C705" s="707">
        <v>12112100</v>
      </c>
      <c r="D705" s="826"/>
      <c r="E705" s="692"/>
      <c r="G705" s="781"/>
      <c r="H705" s="782"/>
    </row>
    <row r="706" spans="1:8">
      <c r="A706" s="457"/>
      <c r="B706" s="718" t="s">
        <v>892</v>
      </c>
      <c r="C706" s="707">
        <v>12112200</v>
      </c>
      <c r="D706" s="826"/>
      <c r="E706" s="692"/>
      <c r="G706" s="781"/>
      <c r="H706" s="782"/>
    </row>
    <row r="707" spans="1:8">
      <c r="A707" s="457"/>
      <c r="B707" s="718" t="s">
        <v>893</v>
      </c>
      <c r="C707" s="707">
        <v>12112300</v>
      </c>
      <c r="D707" s="826"/>
      <c r="E707" s="692"/>
      <c r="G707" s="781"/>
      <c r="H707" s="782"/>
    </row>
    <row r="708" spans="1:8">
      <c r="A708" s="457"/>
      <c r="B708" s="718" t="s">
        <v>751</v>
      </c>
      <c r="C708" s="707">
        <v>12112400</v>
      </c>
      <c r="D708" s="826"/>
      <c r="E708" s="692"/>
      <c r="G708" s="781"/>
      <c r="H708" s="782"/>
    </row>
    <row r="709" spans="1:8">
      <c r="A709" s="457"/>
      <c r="B709" s="718" t="s">
        <v>752</v>
      </c>
      <c r="C709" s="707">
        <v>12112500</v>
      </c>
      <c r="D709" s="826"/>
      <c r="E709" s="692"/>
      <c r="G709" s="781"/>
      <c r="H709" s="782"/>
    </row>
    <row r="710" spans="1:8">
      <c r="A710" s="457"/>
      <c r="B710" s="718" t="s">
        <v>53</v>
      </c>
      <c r="C710" s="707">
        <v>12112600</v>
      </c>
      <c r="D710" s="826"/>
      <c r="E710" s="692"/>
      <c r="G710" s="781"/>
      <c r="H710" s="782"/>
    </row>
    <row r="711" spans="1:8">
      <c r="A711" s="457"/>
      <c r="B711" s="704" t="s">
        <v>895</v>
      </c>
      <c r="C711" s="705">
        <v>12120000</v>
      </c>
      <c r="D711" s="712">
        <f>SUM(D712,D721)</f>
        <v>0</v>
      </c>
      <c r="E711" s="692"/>
      <c r="G711" s="781"/>
      <c r="H711" s="782"/>
    </row>
    <row r="712" spans="1:8">
      <c r="A712" s="457"/>
      <c r="B712" s="709" t="s">
        <v>896</v>
      </c>
      <c r="C712" s="705">
        <v>12121000</v>
      </c>
      <c r="D712" s="712">
        <f>SUM(D713,D717)</f>
        <v>0</v>
      </c>
      <c r="E712" s="692"/>
      <c r="G712" s="781"/>
      <c r="H712" s="782"/>
    </row>
    <row r="713" spans="1:8">
      <c r="A713" s="457"/>
      <c r="B713" s="718" t="s">
        <v>714</v>
      </c>
      <c r="C713" s="707">
        <v>12121100</v>
      </c>
      <c r="D713" s="712">
        <f>SUM(D714:D716)</f>
        <v>0</v>
      </c>
      <c r="E713" s="692"/>
      <c r="G713" s="781"/>
      <c r="H713" s="782"/>
    </row>
    <row r="714" spans="1:8">
      <c r="A714" s="457"/>
      <c r="B714" s="759" t="s">
        <v>939</v>
      </c>
      <c r="C714" s="707">
        <v>12121110</v>
      </c>
      <c r="D714" s="826"/>
      <c r="E714" s="692"/>
      <c r="G714" s="781"/>
      <c r="H714" s="782"/>
    </row>
    <row r="715" spans="1:8">
      <c r="A715" s="457"/>
      <c r="B715" s="759" t="s">
        <v>940</v>
      </c>
      <c r="C715" s="707">
        <v>12121120</v>
      </c>
      <c r="D715" s="826"/>
      <c r="E715" s="692"/>
      <c r="G715" s="781"/>
      <c r="H715" s="782"/>
    </row>
    <row r="716" spans="1:8">
      <c r="A716" s="457"/>
      <c r="B716" s="759" t="s">
        <v>55</v>
      </c>
      <c r="C716" s="707">
        <v>12121130</v>
      </c>
      <c r="D716" s="826"/>
      <c r="E716" s="692"/>
      <c r="G716" s="781"/>
      <c r="H716" s="782"/>
    </row>
    <row r="717" spans="1:8">
      <c r="A717" s="457"/>
      <c r="B717" s="718" t="s">
        <v>83</v>
      </c>
      <c r="C717" s="707">
        <v>12121200</v>
      </c>
      <c r="D717" s="712">
        <f>SUM(D718:D720)</f>
        <v>0</v>
      </c>
      <c r="E717" s="692"/>
      <c r="G717" s="781"/>
      <c r="H717" s="782"/>
    </row>
    <row r="718" spans="1:8">
      <c r="A718" s="457"/>
      <c r="B718" s="759" t="s">
        <v>939</v>
      </c>
      <c r="C718" s="707">
        <v>12121210</v>
      </c>
      <c r="D718" s="826"/>
      <c r="E718" s="692"/>
      <c r="G718" s="781"/>
      <c r="H718" s="782"/>
    </row>
    <row r="719" spans="1:8">
      <c r="A719" s="457"/>
      <c r="B719" s="759" t="s">
        <v>940</v>
      </c>
      <c r="C719" s="707">
        <v>12121220</v>
      </c>
      <c r="D719" s="826"/>
      <c r="E719" s="692"/>
      <c r="G719" s="781"/>
      <c r="H719" s="782"/>
    </row>
    <row r="720" spans="1:8">
      <c r="A720" s="457"/>
      <c r="B720" s="759" t="s">
        <v>55</v>
      </c>
      <c r="C720" s="707">
        <v>12121230</v>
      </c>
      <c r="D720" s="826"/>
      <c r="E720" s="692"/>
      <c r="G720" s="781"/>
      <c r="H720" s="782"/>
    </row>
    <row r="721" spans="1:8">
      <c r="A721" s="457"/>
      <c r="B721" s="709" t="s">
        <v>801</v>
      </c>
      <c r="C721" s="705">
        <v>12122000</v>
      </c>
      <c r="D721" s="712">
        <f>SUM(D722,D727)</f>
        <v>0</v>
      </c>
      <c r="E721" s="692"/>
      <c r="G721" s="781"/>
      <c r="H721" s="782"/>
    </row>
    <row r="722" spans="1:8">
      <c r="A722" s="457"/>
      <c r="B722" s="718" t="s">
        <v>714</v>
      </c>
      <c r="C722" s="707">
        <v>12122100</v>
      </c>
      <c r="D722" s="712">
        <f>SUM(D723:D726)</f>
        <v>0</v>
      </c>
      <c r="E722" s="692"/>
      <c r="G722" s="781"/>
      <c r="H722" s="782"/>
    </row>
    <row r="723" spans="1:8">
      <c r="A723" s="457"/>
      <c r="B723" s="759" t="s">
        <v>941</v>
      </c>
      <c r="C723" s="707">
        <v>12122110</v>
      </c>
      <c r="D723" s="826"/>
      <c r="E723" s="692"/>
      <c r="G723" s="781"/>
      <c r="H723" s="782"/>
    </row>
    <row r="724" spans="1:8">
      <c r="A724" s="457"/>
      <c r="B724" s="759" t="s">
        <v>942</v>
      </c>
      <c r="C724" s="707">
        <v>12122120</v>
      </c>
      <c r="D724" s="826"/>
      <c r="E724" s="692"/>
      <c r="G724" s="781"/>
      <c r="H724" s="782"/>
    </row>
    <row r="725" spans="1:8">
      <c r="A725" s="457"/>
      <c r="B725" s="759" t="s">
        <v>943</v>
      </c>
      <c r="C725" s="707">
        <v>12122130</v>
      </c>
      <c r="D725" s="826"/>
      <c r="E725" s="692"/>
      <c r="G725" s="781"/>
      <c r="H725" s="782"/>
    </row>
    <row r="726" spans="1:8">
      <c r="A726" s="457"/>
      <c r="B726" s="759" t="s">
        <v>55</v>
      </c>
      <c r="C726" s="707">
        <v>12122140</v>
      </c>
      <c r="D726" s="826"/>
      <c r="E726" s="692"/>
      <c r="G726" s="781"/>
      <c r="H726" s="782"/>
    </row>
    <row r="727" spans="1:8">
      <c r="A727" s="457"/>
      <c r="B727" s="718" t="s">
        <v>83</v>
      </c>
      <c r="C727" s="707">
        <v>12122200</v>
      </c>
      <c r="D727" s="712">
        <f>SUM(D728:D731)</f>
        <v>0</v>
      </c>
      <c r="E727" s="692"/>
      <c r="G727" s="781"/>
      <c r="H727" s="782"/>
    </row>
    <row r="728" spans="1:8">
      <c r="A728" s="457"/>
      <c r="B728" s="759" t="s">
        <v>941</v>
      </c>
      <c r="C728" s="707">
        <v>12122210</v>
      </c>
      <c r="D728" s="826"/>
      <c r="E728" s="692"/>
      <c r="G728" s="781"/>
      <c r="H728" s="782"/>
    </row>
    <row r="729" spans="1:8">
      <c r="A729" s="457"/>
      <c r="B729" s="759" t="s">
        <v>942</v>
      </c>
      <c r="C729" s="707">
        <v>12122220</v>
      </c>
      <c r="D729" s="826"/>
      <c r="E729" s="692"/>
      <c r="G729" s="781"/>
      <c r="H729" s="782"/>
    </row>
    <row r="730" spans="1:8">
      <c r="A730" s="457"/>
      <c r="B730" s="759" t="s">
        <v>943</v>
      </c>
      <c r="C730" s="707">
        <v>12122230</v>
      </c>
      <c r="D730" s="826"/>
      <c r="E730" s="692"/>
      <c r="G730" s="781"/>
      <c r="H730" s="782"/>
    </row>
    <row r="731" spans="1:8">
      <c r="A731" s="457"/>
      <c r="B731" s="759" t="s">
        <v>55</v>
      </c>
      <c r="C731" s="707">
        <v>12122240</v>
      </c>
      <c r="D731" s="826"/>
      <c r="E731" s="692"/>
      <c r="G731" s="781"/>
      <c r="H731" s="782"/>
    </row>
    <row r="732" spans="1:8">
      <c r="A732" s="457"/>
      <c r="B732" s="704" t="s">
        <v>944</v>
      </c>
      <c r="C732" s="705">
        <v>12130000</v>
      </c>
      <c r="D732" s="712">
        <f>SUM(D733:D734)</f>
        <v>0</v>
      </c>
      <c r="E732" s="692"/>
      <c r="G732" s="781"/>
      <c r="H732" s="782"/>
    </row>
    <row r="733" spans="1:8">
      <c r="A733" s="457"/>
      <c r="B733" s="709" t="s">
        <v>714</v>
      </c>
      <c r="C733" s="707">
        <v>12131000</v>
      </c>
      <c r="D733" s="826"/>
      <c r="E733" s="692"/>
      <c r="G733" s="781"/>
      <c r="H733" s="782"/>
    </row>
    <row r="734" spans="1:8">
      <c r="A734" s="457"/>
      <c r="B734" s="709" t="s">
        <v>83</v>
      </c>
      <c r="C734" s="707">
        <v>12132000</v>
      </c>
      <c r="D734" s="826"/>
      <c r="E734" s="692"/>
      <c r="G734" s="781"/>
      <c r="H734" s="782"/>
    </row>
    <row r="735" spans="1:8" ht="25.5">
      <c r="A735" s="457"/>
      <c r="B735" s="704" t="s">
        <v>945</v>
      </c>
      <c r="C735" s="705">
        <v>12140000</v>
      </c>
      <c r="D735" s="712">
        <f>SUM(D736:D737)</f>
        <v>0</v>
      </c>
      <c r="E735" s="692"/>
      <c r="G735" s="781"/>
      <c r="H735" s="782"/>
    </row>
    <row r="736" spans="1:8">
      <c r="A736" s="457"/>
      <c r="B736" s="709" t="s">
        <v>714</v>
      </c>
      <c r="C736" s="707">
        <v>12141000</v>
      </c>
      <c r="D736" s="826"/>
      <c r="E736" s="692"/>
      <c r="G736" s="781"/>
      <c r="H736" s="782"/>
    </row>
    <row r="737" spans="1:8">
      <c r="A737" s="457"/>
      <c r="B737" s="709" t="s">
        <v>83</v>
      </c>
      <c r="C737" s="707">
        <v>12142000</v>
      </c>
      <c r="D737" s="826"/>
      <c r="E737" s="692"/>
      <c r="G737" s="781"/>
      <c r="H737" s="782"/>
    </row>
    <row r="738" spans="1:8">
      <c r="A738" s="457"/>
      <c r="B738" s="704" t="s">
        <v>827</v>
      </c>
      <c r="C738" s="705">
        <v>12150000</v>
      </c>
      <c r="D738" s="712">
        <f>SUM(D739,D742)</f>
        <v>0</v>
      </c>
      <c r="E738" s="692"/>
      <c r="G738" s="781"/>
      <c r="H738" s="782"/>
    </row>
    <row r="739" spans="1:8">
      <c r="A739" s="457"/>
      <c r="B739" s="709" t="s">
        <v>762</v>
      </c>
      <c r="C739" s="707">
        <v>12151000</v>
      </c>
      <c r="D739" s="712">
        <f>SUM(D740:D741)</f>
        <v>0</v>
      </c>
      <c r="E739" s="692"/>
      <c r="G739" s="781"/>
      <c r="H739" s="782"/>
    </row>
    <row r="740" spans="1:8">
      <c r="A740" s="457"/>
      <c r="B740" s="718" t="s">
        <v>714</v>
      </c>
      <c r="C740" s="707">
        <v>12151100</v>
      </c>
      <c r="D740" s="826"/>
      <c r="E740" s="692"/>
      <c r="G740" s="781"/>
      <c r="H740" s="782"/>
    </row>
    <row r="741" spans="1:8">
      <c r="A741" s="457"/>
      <c r="B741" s="718" t="s">
        <v>83</v>
      </c>
      <c r="C741" s="707">
        <v>12151200</v>
      </c>
      <c r="D741" s="826"/>
      <c r="E741" s="692"/>
      <c r="G741" s="781"/>
      <c r="H741" s="782"/>
    </row>
    <row r="742" spans="1:8">
      <c r="A742" s="457"/>
      <c r="B742" s="709" t="s">
        <v>55</v>
      </c>
      <c r="C742" s="707">
        <v>12152000</v>
      </c>
      <c r="D742" s="712">
        <f>SUM(D743:D744)</f>
        <v>0</v>
      </c>
      <c r="E742" s="692"/>
      <c r="G742" s="781"/>
      <c r="H742" s="782"/>
    </row>
    <row r="743" spans="1:8">
      <c r="A743" s="457"/>
      <c r="B743" s="718" t="s">
        <v>714</v>
      </c>
      <c r="C743" s="707">
        <v>12152100</v>
      </c>
      <c r="D743" s="826"/>
      <c r="E743" s="692"/>
      <c r="G743" s="781"/>
      <c r="H743" s="782"/>
    </row>
    <row r="744" spans="1:8">
      <c r="A744" s="457"/>
      <c r="B744" s="718" t="s">
        <v>83</v>
      </c>
      <c r="C744" s="707">
        <v>12152200</v>
      </c>
      <c r="D744" s="826"/>
      <c r="E744" s="692"/>
      <c r="G744" s="781"/>
      <c r="H744" s="782"/>
    </row>
    <row r="745" spans="1:8">
      <c r="A745" s="457"/>
      <c r="B745" s="704" t="s">
        <v>900</v>
      </c>
      <c r="C745" s="705">
        <v>12160000</v>
      </c>
      <c r="D745" s="712">
        <f>SUM(D746,D749,D756,D759,D762)</f>
        <v>0</v>
      </c>
      <c r="E745" s="692"/>
      <c r="G745" s="781"/>
      <c r="H745" s="782"/>
    </row>
    <row r="746" spans="1:8">
      <c r="A746" s="457"/>
      <c r="B746" s="709" t="s">
        <v>796</v>
      </c>
      <c r="C746" s="707">
        <v>12161000</v>
      </c>
      <c r="D746" s="712">
        <f>SUM(D747:D748)</f>
        <v>0</v>
      </c>
      <c r="E746" s="692"/>
      <c r="G746" s="781"/>
      <c r="H746" s="782"/>
    </row>
    <row r="747" spans="1:8">
      <c r="A747" s="457"/>
      <c r="B747" s="718" t="s">
        <v>714</v>
      </c>
      <c r="C747" s="707">
        <v>12161100</v>
      </c>
      <c r="D747" s="826"/>
      <c r="E747" s="692"/>
      <c r="G747" s="781"/>
      <c r="H747" s="782"/>
    </row>
    <row r="748" spans="1:8">
      <c r="A748" s="457"/>
      <c r="B748" s="718" t="s">
        <v>83</v>
      </c>
      <c r="C748" s="707">
        <v>12161200</v>
      </c>
      <c r="D748" s="826"/>
      <c r="E748" s="692"/>
      <c r="G748" s="781"/>
      <c r="H748" s="782"/>
    </row>
    <row r="749" spans="1:8">
      <c r="A749" s="457"/>
      <c r="B749" s="709" t="s">
        <v>799</v>
      </c>
      <c r="C749" s="707">
        <v>12162000</v>
      </c>
      <c r="D749" s="712">
        <f>SUM(D750,D753)</f>
        <v>0</v>
      </c>
      <c r="E749" s="692"/>
      <c r="G749" s="781"/>
      <c r="H749" s="782"/>
    </row>
    <row r="750" spans="1:8">
      <c r="A750" s="457"/>
      <c r="B750" s="718" t="s">
        <v>714</v>
      </c>
      <c r="C750" s="707">
        <v>12162100</v>
      </c>
      <c r="D750" s="712">
        <f>SUM(D751:D752)</f>
        <v>0</v>
      </c>
      <c r="E750" s="692"/>
      <c r="G750" s="781"/>
      <c r="H750" s="782"/>
    </row>
    <row r="751" spans="1:8">
      <c r="A751" s="457"/>
      <c r="B751" s="759" t="s">
        <v>52</v>
      </c>
      <c r="C751" s="707">
        <v>12162110</v>
      </c>
      <c r="D751" s="826"/>
      <c r="E751" s="692"/>
      <c r="G751" s="781"/>
      <c r="H751" s="782"/>
    </row>
    <row r="752" spans="1:8">
      <c r="A752" s="457"/>
      <c r="B752" s="759" t="s">
        <v>801</v>
      </c>
      <c r="C752" s="707">
        <v>12162120</v>
      </c>
      <c r="D752" s="826"/>
      <c r="E752" s="692"/>
      <c r="G752" s="781"/>
      <c r="H752" s="782"/>
    </row>
    <row r="753" spans="1:8">
      <c r="A753" s="457"/>
      <c r="B753" s="718" t="s">
        <v>83</v>
      </c>
      <c r="C753" s="707">
        <v>12162200</v>
      </c>
      <c r="D753" s="712">
        <f>SUM(D754:D755)</f>
        <v>0</v>
      </c>
      <c r="E753" s="692"/>
      <c r="G753" s="781"/>
      <c r="H753" s="782"/>
    </row>
    <row r="754" spans="1:8">
      <c r="A754" s="457"/>
      <c r="B754" s="759" t="s">
        <v>52</v>
      </c>
      <c r="C754" s="707">
        <v>12162210</v>
      </c>
      <c r="D754" s="826"/>
      <c r="E754" s="692"/>
      <c r="G754" s="781"/>
      <c r="H754" s="782"/>
    </row>
    <row r="755" spans="1:8">
      <c r="A755" s="457"/>
      <c r="B755" s="759" t="s">
        <v>801</v>
      </c>
      <c r="C755" s="707">
        <v>12162220</v>
      </c>
      <c r="D755" s="826"/>
      <c r="E755" s="692"/>
      <c r="G755" s="781"/>
      <c r="H755" s="782"/>
    </row>
    <row r="756" spans="1:8">
      <c r="A756" s="457"/>
      <c r="B756" s="709" t="s">
        <v>54</v>
      </c>
      <c r="C756" s="707">
        <v>12163000</v>
      </c>
      <c r="D756" s="712">
        <f>SUM(D757:D758)</f>
        <v>0</v>
      </c>
      <c r="E756" s="692"/>
      <c r="G756" s="781"/>
      <c r="H756" s="782"/>
    </row>
    <row r="757" spans="1:8">
      <c r="A757" s="457"/>
      <c r="B757" s="718" t="s">
        <v>714</v>
      </c>
      <c r="C757" s="707">
        <v>12163100</v>
      </c>
      <c r="D757" s="826"/>
      <c r="E757" s="692"/>
      <c r="G757" s="781"/>
      <c r="H757" s="782"/>
    </row>
    <row r="758" spans="1:8">
      <c r="A758" s="457"/>
      <c r="B758" s="718" t="s">
        <v>83</v>
      </c>
      <c r="C758" s="707">
        <v>12163200</v>
      </c>
      <c r="D758" s="826"/>
      <c r="E758" s="692"/>
      <c r="G758" s="781"/>
      <c r="H758" s="782"/>
    </row>
    <row r="759" spans="1:8" ht="25.5">
      <c r="A759" s="457"/>
      <c r="B759" s="709" t="s">
        <v>826</v>
      </c>
      <c r="C759" s="707">
        <v>12164000</v>
      </c>
      <c r="D759" s="712">
        <f>SUM(D760:D761)</f>
        <v>0</v>
      </c>
      <c r="E759" s="692"/>
      <c r="G759" s="781"/>
      <c r="H759" s="782"/>
    </row>
    <row r="760" spans="1:8">
      <c r="A760" s="457"/>
      <c r="B760" s="718" t="s">
        <v>714</v>
      </c>
      <c r="C760" s="707">
        <v>12164100</v>
      </c>
      <c r="D760" s="826"/>
      <c r="E760" s="692"/>
      <c r="G760" s="781"/>
      <c r="H760" s="782"/>
    </row>
    <row r="761" spans="1:8">
      <c r="A761" s="457"/>
      <c r="B761" s="718" t="s">
        <v>83</v>
      </c>
      <c r="C761" s="707">
        <v>12164200</v>
      </c>
      <c r="D761" s="826"/>
      <c r="E761" s="692"/>
      <c r="G761" s="781"/>
      <c r="H761" s="782"/>
    </row>
    <row r="762" spans="1:8">
      <c r="A762" s="457"/>
      <c r="B762" s="709" t="s">
        <v>827</v>
      </c>
      <c r="C762" s="707">
        <v>12165000</v>
      </c>
      <c r="D762" s="712">
        <f>SUM(D763:D764)</f>
        <v>0</v>
      </c>
      <c r="E762" s="692"/>
      <c r="G762" s="781"/>
      <c r="H762" s="782"/>
    </row>
    <row r="763" spans="1:8">
      <c r="A763" s="457"/>
      <c r="B763" s="718" t="s">
        <v>714</v>
      </c>
      <c r="C763" s="707">
        <v>12165100</v>
      </c>
      <c r="D763" s="826"/>
      <c r="E763" s="721"/>
      <c r="G763" s="781"/>
      <c r="H763" s="782"/>
    </row>
    <row r="764" spans="1:8">
      <c r="A764" s="457"/>
      <c r="B764" s="718" t="s">
        <v>83</v>
      </c>
      <c r="C764" s="707">
        <v>12165200</v>
      </c>
      <c r="D764" s="826"/>
      <c r="E764" s="721"/>
      <c r="G764" s="781"/>
      <c r="H764" s="782"/>
    </row>
    <row r="765" spans="1:8">
      <c r="A765" s="784"/>
      <c r="B765" s="784" t="s">
        <v>946</v>
      </c>
      <c r="C765" s="785">
        <v>12200000</v>
      </c>
      <c r="D765" s="783">
        <f>SUM(D766,D781,D802,D805,D808,D815)</f>
        <v>0</v>
      </c>
      <c r="E765" s="721"/>
      <c r="G765" s="781"/>
      <c r="H765" s="782"/>
    </row>
    <row r="766" spans="1:8">
      <c r="A766" s="465"/>
      <c r="B766" s="704" t="s">
        <v>891</v>
      </c>
      <c r="C766" s="786">
        <v>12210000</v>
      </c>
      <c r="D766" s="712">
        <f>SUM(D767,D774)</f>
        <v>0</v>
      </c>
      <c r="E766" s="721"/>
      <c r="G766" s="781"/>
      <c r="H766" s="782"/>
    </row>
    <row r="767" spans="1:8">
      <c r="A767" s="465"/>
      <c r="B767" s="709" t="s">
        <v>714</v>
      </c>
      <c r="C767" s="707">
        <v>12211000</v>
      </c>
      <c r="D767" s="712">
        <f>SUM(D768:D773)</f>
        <v>0</v>
      </c>
      <c r="E767" s="721"/>
      <c r="G767" s="781"/>
      <c r="H767" s="782"/>
    </row>
    <row r="768" spans="1:8">
      <c r="A768" s="465"/>
      <c r="B768" s="718" t="s">
        <v>746</v>
      </c>
      <c r="C768" s="707">
        <v>12211100</v>
      </c>
      <c r="D768" s="826"/>
      <c r="E768" s="721"/>
      <c r="G768" s="781"/>
      <c r="H768" s="782"/>
    </row>
    <row r="769" spans="1:8">
      <c r="A769" s="465"/>
      <c r="B769" s="718" t="s">
        <v>892</v>
      </c>
      <c r="C769" s="707">
        <v>12211200</v>
      </c>
      <c r="D769" s="826"/>
      <c r="E769" s="721"/>
      <c r="G769" s="781"/>
      <c r="H769" s="782"/>
    </row>
    <row r="770" spans="1:8">
      <c r="A770" s="465"/>
      <c r="B770" s="718" t="s">
        <v>893</v>
      </c>
      <c r="C770" s="707">
        <v>12211300</v>
      </c>
      <c r="D770" s="826"/>
      <c r="E770" s="721"/>
      <c r="G770" s="781"/>
      <c r="H770" s="782"/>
    </row>
    <row r="771" spans="1:8">
      <c r="A771" s="465"/>
      <c r="B771" s="718" t="s">
        <v>751</v>
      </c>
      <c r="C771" s="707">
        <v>12211400</v>
      </c>
      <c r="D771" s="826"/>
      <c r="E771" s="721"/>
      <c r="G771" s="781"/>
      <c r="H771" s="782"/>
    </row>
    <row r="772" spans="1:8">
      <c r="A772" s="465"/>
      <c r="B772" s="718" t="s">
        <v>752</v>
      </c>
      <c r="C772" s="707">
        <v>12211500</v>
      </c>
      <c r="D772" s="826"/>
      <c r="E772" s="721"/>
      <c r="G772" s="781"/>
      <c r="H772" s="782"/>
    </row>
    <row r="773" spans="1:8">
      <c r="A773" s="465"/>
      <c r="B773" s="718" t="s">
        <v>53</v>
      </c>
      <c r="C773" s="707">
        <v>12211600</v>
      </c>
      <c r="D773" s="826"/>
      <c r="E773" s="721"/>
      <c r="G773" s="781"/>
      <c r="H773" s="782"/>
    </row>
    <row r="774" spans="1:8">
      <c r="A774" s="465"/>
      <c r="B774" s="709" t="s">
        <v>83</v>
      </c>
      <c r="C774" s="707">
        <v>12212000</v>
      </c>
      <c r="D774" s="712">
        <f>SUM(D775:D780)</f>
        <v>0</v>
      </c>
      <c r="E774" s="721"/>
      <c r="G774" s="781"/>
      <c r="H774" s="782"/>
    </row>
    <row r="775" spans="1:8">
      <c r="A775" s="465"/>
      <c r="B775" s="718" t="s">
        <v>746</v>
      </c>
      <c r="C775" s="707">
        <v>12212100</v>
      </c>
      <c r="D775" s="826"/>
      <c r="E775" s="721"/>
      <c r="G775" s="781"/>
      <c r="H775" s="782"/>
    </row>
    <row r="776" spans="1:8">
      <c r="A776" s="465"/>
      <c r="B776" s="718" t="s">
        <v>892</v>
      </c>
      <c r="C776" s="707">
        <v>12212200</v>
      </c>
      <c r="D776" s="826"/>
      <c r="E776" s="721"/>
      <c r="G776" s="781"/>
      <c r="H776" s="782"/>
    </row>
    <row r="777" spans="1:8">
      <c r="A777" s="465"/>
      <c r="B777" s="718" t="s">
        <v>893</v>
      </c>
      <c r="C777" s="707">
        <v>12212300</v>
      </c>
      <c r="D777" s="826"/>
      <c r="E777" s="721"/>
      <c r="G777" s="781"/>
      <c r="H777" s="782"/>
    </row>
    <row r="778" spans="1:8">
      <c r="A778" s="465"/>
      <c r="B778" s="718" t="s">
        <v>751</v>
      </c>
      <c r="C778" s="707">
        <v>12212400</v>
      </c>
      <c r="D778" s="826"/>
      <c r="E778" s="721"/>
      <c r="G778" s="781"/>
      <c r="H778" s="782"/>
    </row>
    <row r="779" spans="1:8">
      <c r="A779" s="465"/>
      <c r="B779" s="718" t="s">
        <v>752</v>
      </c>
      <c r="C779" s="707">
        <v>12212500</v>
      </c>
      <c r="D779" s="826"/>
      <c r="E779" s="721"/>
      <c r="G779" s="781"/>
      <c r="H779" s="782"/>
    </row>
    <row r="780" spans="1:8">
      <c r="A780" s="465"/>
      <c r="B780" s="718" t="s">
        <v>53</v>
      </c>
      <c r="C780" s="707">
        <v>12212600</v>
      </c>
      <c r="D780" s="826"/>
      <c r="E780" s="721"/>
      <c r="G780" s="781"/>
      <c r="H780" s="782"/>
    </row>
    <row r="781" spans="1:8">
      <c r="A781" s="465"/>
      <c r="B781" s="704" t="s">
        <v>895</v>
      </c>
      <c r="C781" s="786">
        <v>12220000</v>
      </c>
      <c r="D781" s="712">
        <f>SUM(D782,D791)</f>
        <v>0</v>
      </c>
      <c r="E781" s="721"/>
      <c r="G781" s="781"/>
      <c r="H781" s="782"/>
    </row>
    <row r="782" spans="1:8">
      <c r="A782" s="465"/>
      <c r="B782" s="709" t="s">
        <v>896</v>
      </c>
      <c r="C782" s="707">
        <v>12221000</v>
      </c>
      <c r="D782" s="712">
        <f>SUM(D783,D787)</f>
        <v>0</v>
      </c>
      <c r="E782" s="721"/>
      <c r="G782" s="781"/>
      <c r="H782" s="782"/>
    </row>
    <row r="783" spans="1:8">
      <c r="A783" s="465"/>
      <c r="B783" s="718" t="s">
        <v>714</v>
      </c>
      <c r="C783" s="707">
        <v>12221100</v>
      </c>
      <c r="D783" s="712">
        <f>SUM(D784:D786)</f>
        <v>0</v>
      </c>
      <c r="E783" s="721"/>
      <c r="G783" s="781"/>
      <c r="H783" s="782"/>
    </row>
    <row r="784" spans="1:8">
      <c r="A784" s="465"/>
      <c r="B784" s="759" t="s">
        <v>939</v>
      </c>
      <c r="C784" s="707">
        <v>12221110</v>
      </c>
      <c r="D784" s="826"/>
      <c r="E784" s="721"/>
      <c r="G784" s="781"/>
      <c r="H784" s="782"/>
    </row>
    <row r="785" spans="1:8">
      <c r="A785" s="465"/>
      <c r="B785" s="759" t="s">
        <v>940</v>
      </c>
      <c r="C785" s="707">
        <v>12221120</v>
      </c>
      <c r="D785" s="826"/>
      <c r="E785" s="721"/>
      <c r="G785" s="781"/>
      <c r="H785" s="782"/>
    </row>
    <row r="786" spans="1:8">
      <c r="A786" s="465"/>
      <c r="B786" s="759" t="s">
        <v>55</v>
      </c>
      <c r="C786" s="707">
        <v>12221130</v>
      </c>
      <c r="D786" s="826"/>
      <c r="E786" s="721"/>
      <c r="G786" s="781"/>
      <c r="H786" s="782"/>
    </row>
    <row r="787" spans="1:8">
      <c r="A787" s="465"/>
      <c r="B787" s="718" t="s">
        <v>83</v>
      </c>
      <c r="C787" s="707">
        <v>12221200</v>
      </c>
      <c r="D787" s="712">
        <f>SUM(D788:D790)</f>
        <v>0</v>
      </c>
      <c r="E787" s="721"/>
      <c r="G787" s="781"/>
      <c r="H787" s="782"/>
    </row>
    <row r="788" spans="1:8">
      <c r="A788" s="465"/>
      <c r="B788" s="759" t="s">
        <v>939</v>
      </c>
      <c r="C788" s="707">
        <v>12221210</v>
      </c>
      <c r="D788" s="826"/>
      <c r="E788" s="721"/>
      <c r="G788" s="781"/>
      <c r="H788" s="782"/>
    </row>
    <row r="789" spans="1:8">
      <c r="A789" s="465"/>
      <c r="B789" s="759" t="s">
        <v>940</v>
      </c>
      <c r="C789" s="707">
        <v>12221220</v>
      </c>
      <c r="D789" s="826"/>
      <c r="E789" s="721"/>
      <c r="G789" s="781"/>
      <c r="H789" s="782"/>
    </row>
    <row r="790" spans="1:8">
      <c r="A790" s="465"/>
      <c r="B790" s="759" t="s">
        <v>55</v>
      </c>
      <c r="C790" s="707">
        <v>12221230</v>
      </c>
      <c r="D790" s="826"/>
      <c r="E790" s="721"/>
      <c r="G790" s="781"/>
      <c r="H790" s="782"/>
    </row>
    <row r="791" spans="1:8">
      <c r="A791" s="465"/>
      <c r="B791" s="709" t="s">
        <v>801</v>
      </c>
      <c r="C791" s="707">
        <v>12222000</v>
      </c>
      <c r="D791" s="712">
        <f>SUM(D792,D797)</f>
        <v>0</v>
      </c>
      <c r="E791" s="721"/>
      <c r="G791" s="781"/>
      <c r="H791" s="782"/>
    </row>
    <row r="792" spans="1:8">
      <c r="A792" s="465"/>
      <c r="B792" s="718" t="s">
        <v>714</v>
      </c>
      <c r="C792" s="707">
        <v>12222100</v>
      </c>
      <c r="D792" s="712">
        <f>SUM(D793:D796)</f>
        <v>0</v>
      </c>
      <c r="E792" s="721"/>
      <c r="G792" s="781"/>
      <c r="H792" s="782"/>
    </row>
    <row r="793" spans="1:8">
      <c r="A793" s="465"/>
      <c r="B793" s="759" t="s">
        <v>941</v>
      </c>
      <c r="C793" s="707">
        <v>12222110</v>
      </c>
      <c r="D793" s="826"/>
      <c r="E793" s="721"/>
      <c r="G793" s="781"/>
      <c r="H793" s="782"/>
    </row>
    <row r="794" spans="1:8">
      <c r="A794" s="465"/>
      <c r="B794" s="759" t="s">
        <v>942</v>
      </c>
      <c r="C794" s="707">
        <v>12222120</v>
      </c>
      <c r="D794" s="826"/>
      <c r="E794" s="721"/>
      <c r="G794" s="781"/>
      <c r="H794" s="782"/>
    </row>
    <row r="795" spans="1:8">
      <c r="A795" s="465"/>
      <c r="B795" s="759" t="s">
        <v>943</v>
      </c>
      <c r="C795" s="707">
        <v>12222130</v>
      </c>
      <c r="D795" s="826"/>
      <c r="E795" s="721"/>
      <c r="G795" s="781"/>
      <c r="H795" s="782"/>
    </row>
    <row r="796" spans="1:8">
      <c r="A796" s="465"/>
      <c r="B796" s="759" t="s">
        <v>55</v>
      </c>
      <c r="C796" s="707">
        <v>12222140</v>
      </c>
      <c r="D796" s="826"/>
      <c r="E796" s="721"/>
      <c r="G796" s="781"/>
      <c r="H796" s="782"/>
    </row>
    <row r="797" spans="1:8">
      <c r="A797" s="465"/>
      <c r="B797" s="718" t="s">
        <v>83</v>
      </c>
      <c r="C797" s="707">
        <v>12222200</v>
      </c>
      <c r="D797" s="712">
        <f>SUM(D798:D801)</f>
        <v>0</v>
      </c>
      <c r="E797" s="721"/>
      <c r="G797" s="781"/>
      <c r="H797" s="782"/>
    </row>
    <row r="798" spans="1:8">
      <c r="A798" s="465"/>
      <c r="B798" s="759" t="s">
        <v>941</v>
      </c>
      <c r="C798" s="707">
        <v>12222210</v>
      </c>
      <c r="D798" s="826"/>
      <c r="E798" s="721"/>
      <c r="G798" s="781"/>
      <c r="H798" s="782"/>
    </row>
    <row r="799" spans="1:8">
      <c r="A799" s="465"/>
      <c r="B799" s="759" t="s">
        <v>942</v>
      </c>
      <c r="C799" s="707">
        <v>12222220</v>
      </c>
      <c r="D799" s="826"/>
      <c r="E799" s="721"/>
      <c r="G799" s="781"/>
      <c r="H799" s="782"/>
    </row>
    <row r="800" spans="1:8">
      <c r="A800" s="465"/>
      <c r="B800" s="759" t="s">
        <v>943</v>
      </c>
      <c r="C800" s="707">
        <v>12222230</v>
      </c>
      <c r="D800" s="826"/>
      <c r="E800" s="721"/>
      <c r="G800" s="781"/>
      <c r="H800" s="782"/>
    </row>
    <row r="801" spans="1:8">
      <c r="A801" s="465"/>
      <c r="B801" s="759" t="s">
        <v>55</v>
      </c>
      <c r="C801" s="707">
        <v>12222240</v>
      </c>
      <c r="D801" s="826"/>
      <c r="E801" s="721"/>
      <c r="G801" s="781"/>
      <c r="H801" s="782"/>
    </row>
    <row r="802" spans="1:8">
      <c r="A802" s="465"/>
      <c r="B802" s="704" t="s">
        <v>944</v>
      </c>
      <c r="C802" s="786">
        <v>12230000</v>
      </c>
      <c r="D802" s="712">
        <f>SUM(D803:D804)</f>
        <v>0</v>
      </c>
      <c r="E802" s="721"/>
      <c r="G802" s="781"/>
      <c r="H802" s="782"/>
    </row>
    <row r="803" spans="1:8">
      <c r="A803" s="465"/>
      <c r="B803" s="709" t="s">
        <v>714</v>
      </c>
      <c r="C803" s="707">
        <v>12231000</v>
      </c>
      <c r="D803" s="826"/>
      <c r="E803" s="721"/>
      <c r="G803" s="781"/>
      <c r="H803" s="782"/>
    </row>
    <row r="804" spans="1:8">
      <c r="A804" s="465"/>
      <c r="B804" s="709" t="s">
        <v>83</v>
      </c>
      <c r="C804" s="707">
        <v>12232000</v>
      </c>
      <c r="D804" s="826"/>
      <c r="E804" s="721"/>
      <c r="G804" s="781"/>
      <c r="H804" s="782"/>
    </row>
    <row r="805" spans="1:8" ht="25.5">
      <c r="A805" s="465"/>
      <c r="B805" s="704" t="s">
        <v>945</v>
      </c>
      <c r="C805" s="786">
        <v>12240000</v>
      </c>
      <c r="D805" s="712">
        <f>SUM(D806:D807)</f>
        <v>0</v>
      </c>
      <c r="E805" s="721"/>
      <c r="G805" s="781"/>
      <c r="H805" s="782"/>
    </row>
    <row r="806" spans="1:8">
      <c r="A806" s="465"/>
      <c r="B806" s="709" t="s">
        <v>714</v>
      </c>
      <c r="C806" s="707">
        <v>12241000</v>
      </c>
      <c r="D806" s="826"/>
      <c r="E806" s="721"/>
      <c r="G806" s="781"/>
      <c r="H806" s="782"/>
    </row>
    <row r="807" spans="1:8">
      <c r="A807" s="465"/>
      <c r="B807" s="709" t="s">
        <v>83</v>
      </c>
      <c r="C807" s="707">
        <v>12242000</v>
      </c>
      <c r="D807" s="826"/>
      <c r="E807" s="721"/>
      <c r="G807" s="781"/>
      <c r="H807" s="782"/>
    </row>
    <row r="808" spans="1:8">
      <c r="A808" s="465"/>
      <c r="B808" s="704" t="s">
        <v>827</v>
      </c>
      <c r="C808" s="786">
        <v>12250000</v>
      </c>
      <c r="D808" s="712">
        <f>SUM(D809,D812)</f>
        <v>0</v>
      </c>
      <c r="E808" s="721"/>
      <c r="G808" s="781"/>
      <c r="H808" s="782"/>
    </row>
    <row r="809" spans="1:8">
      <c r="A809" s="465"/>
      <c r="B809" s="709" t="s">
        <v>762</v>
      </c>
      <c r="C809" s="707">
        <v>12251000</v>
      </c>
      <c r="D809" s="712">
        <f>SUM(D810:D811)</f>
        <v>0</v>
      </c>
      <c r="E809" s="721"/>
      <c r="G809" s="781"/>
      <c r="H809" s="782"/>
    </row>
    <row r="810" spans="1:8">
      <c r="A810" s="465"/>
      <c r="B810" s="718" t="s">
        <v>714</v>
      </c>
      <c r="C810" s="707">
        <v>12251100</v>
      </c>
      <c r="D810" s="826"/>
      <c r="E810" s="721"/>
      <c r="G810" s="781"/>
      <c r="H810" s="782"/>
    </row>
    <row r="811" spans="1:8">
      <c r="A811" s="465"/>
      <c r="B811" s="718" t="s">
        <v>83</v>
      </c>
      <c r="C811" s="707">
        <v>12251200</v>
      </c>
      <c r="D811" s="826"/>
      <c r="E811" s="721"/>
      <c r="G811" s="781"/>
      <c r="H811" s="782"/>
    </row>
    <row r="812" spans="1:8">
      <c r="A812" s="465"/>
      <c r="B812" s="709" t="s">
        <v>55</v>
      </c>
      <c r="C812" s="707">
        <v>12252000</v>
      </c>
      <c r="D812" s="712">
        <f>SUM(D813:D814)</f>
        <v>0</v>
      </c>
      <c r="E812" s="721"/>
      <c r="G812" s="781"/>
      <c r="H812" s="782"/>
    </row>
    <row r="813" spans="1:8">
      <c r="A813" s="465"/>
      <c r="B813" s="718" t="s">
        <v>714</v>
      </c>
      <c r="C813" s="707">
        <v>12252100</v>
      </c>
      <c r="D813" s="826"/>
      <c r="E813" s="721"/>
      <c r="G813" s="781"/>
      <c r="H813" s="782"/>
    </row>
    <row r="814" spans="1:8">
      <c r="A814" s="465"/>
      <c r="B814" s="718" t="s">
        <v>83</v>
      </c>
      <c r="C814" s="707">
        <v>12252200</v>
      </c>
      <c r="D814" s="826"/>
      <c r="E814" s="721"/>
      <c r="G814" s="781"/>
      <c r="H814" s="782"/>
    </row>
    <row r="815" spans="1:8">
      <c r="A815" s="465"/>
      <c r="B815" s="704" t="s">
        <v>900</v>
      </c>
      <c r="C815" s="786">
        <v>12260000</v>
      </c>
      <c r="D815" s="712">
        <f>SUM(D816,D819,D826,D829,D832)</f>
        <v>0</v>
      </c>
      <c r="E815" s="721"/>
      <c r="G815" s="781"/>
      <c r="H815" s="782"/>
    </row>
    <row r="816" spans="1:8">
      <c r="A816" s="465"/>
      <c r="B816" s="709" t="s">
        <v>796</v>
      </c>
      <c r="C816" s="707">
        <v>12261000</v>
      </c>
      <c r="D816" s="712">
        <f>SUM(D817:D818)</f>
        <v>0</v>
      </c>
      <c r="E816" s="721"/>
      <c r="G816" s="781"/>
      <c r="H816" s="782"/>
    </row>
    <row r="817" spans="1:8">
      <c r="A817" s="465"/>
      <c r="B817" s="718" t="s">
        <v>714</v>
      </c>
      <c r="C817" s="707">
        <v>12261100</v>
      </c>
      <c r="D817" s="826"/>
      <c r="E817" s="721"/>
      <c r="G817" s="781"/>
      <c r="H817" s="782"/>
    </row>
    <row r="818" spans="1:8">
      <c r="A818" s="465"/>
      <c r="B818" s="718" t="s">
        <v>83</v>
      </c>
      <c r="C818" s="707">
        <v>12261200</v>
      </c>
      <c r="D818" s="826"/>
      <c r="E818" s="721"/>
      <c r="G818" s="781"/>
      <c r="H818" s="782"/>
    </row>
    <row r="819" spans="1:8">
      <c r="A819" s="465"/>
      <c r="B819" s="709" t="s">
        <v>799</v>
      </c>
      <c r="C819" s="707">
        <v>12262000</v>
      </c>
      <c r="D819" s="712">
        <f>SUM(D820,D823)</f>
        <v>0</v>
      </c>
      <c r="E819" s="721"/>
      <c r="G819" s="781"/>
      <c r="H819" s="782"/>
    </row>
    <row r="820" spans="1:8">
      <c r="A820" s="465"/>
      <c r="B820" s="718" t="s">
        <v>714</v>
      </c>
      <c r="C820" s="707">
        <v>12262100</v>
      </c>
      <c r="D820" s="712">
        <f>SUM(D821:D822)</f>
        <v>0</v>
      </c>
      <c r="E820" s="721"/>
      <c r="G820" s="781"/>
      <c r="H820" s="782"/>
    </row>
    <row r="821" spans="1:8">
      <c r="A821" s="465"/>
      <c r="B821" s="759" t="s">
        <v>52</v>
      </c>
      <c r="C821" s="707">
        <v>12262110</v>
      </c>
      <c r="D821" s="826"/>
      <c r="E821" s="721"/>
      <c r="G821" s="781"/>
      <c r="H821" s="782"/>
    </row>
    <row r="822" spans="1:8">
      <c r="A822" s="465"/>
      <c r="B822" s="759" t="s">
        <v>801</v>
      </c>
      <c r="C822" s="707">
        <v>12262120</v>
      </c>
      <c r="D822" s="826"/>
      <c r="E822" s="721"/>
      <c r="G822" s="781"/>
      <c r="H822" s="782"/>
    </row>
    <row r="823" spans="1:8">
      <c r="A823" s="465"/>
      <c r="B823" s="718" t="s">
        <v>83</v>
      </c>
      <c r="C823" s="707">
        <v>12262200</v>
      </c>
      <c r="D823" s="712">
        <f>SUM(D824:D825)</f>
        <v>0</v>
      </c>
      <c r="E823" s="721"/>
      <c r="G823" s="781"/>
      <c r="H823" s="782"/>
    </row>
    <row r="824" spans="1:8">
      <c r="A824" s="465"/>
      <c r="B824" s="759" t="s">
        <v>52</v>
      </c>
      <c r="C824" s="707">
        <v>12262210</v>
      </c>
      <c r="D824" s="826"/>
      <c r="E824" s="721"/>
      <c r="G824" s="781"/>
      <c r="H824" s="782"/>
    </row>
    <row r="825" spans="1:8">
      <c r="A825" s="465"/>
      <c r="B825" s="759" t="s">
        <v>801</v>
      </c>
      <c r="C825" s="707">
        <v>12262220</v>
      </c>
      <c r="D825" s="826"/>
      <c r="E825" s="721"/>
      <c r="G825" s="781"/>
      <c r="H825" s="782"/>
    </row>
    <row r="826" spans="1:8">
      <c r="A826" s="465"/>
      <c r="B826" s="709" t="s">
        <v>54</v>
      </c>
      <c r="C826" s="707">
        <v>12263000</v>
      </c>
      <c r="D826" s="712">
        <f>SUM(D827:D828)</f>
        <v>0</v>
      </c>
      <c r="E826" s="721"/>
      <c r="G826" s="781"/>
      <c r="H826" s="782"/>
    </row>
    <row r="827" spans="1:8">
      <c r="A827" s="465"/>
      <c r="B827" s="718" t="s">
        <v>714</v>
      </c>
      <c r="C827" s="707">
        <v>12263100</v>
      </c>
      <c r="D827" s="826"/>
      <c r="E827" s="721"/>
      <c r="G827" s="781"/>
      <c r="H827" s="782"/>
    </row>
    <row r="828" spans="1:8">
      <c r="A828" s="465"/>
      <c r="B828" s="718" t="s">
        <v>83</v>
      </c>
      <c r="C828" s="707">
        <v>12263200</v>
      </c>
      <c r="D828" s="826"/>
      <c r="E828" s="721"/>
      <c r="G828" s="781"/>
      <c r="H828" s="782"/>
    </row>
    <row r="829" spans="1:8" ht="25.5">
      <c r="A829" s="465"/>
      <c r="B829" s="709" t="s">
        <v>826</v>
      </c>
      <c r="C829" s="707">
        <v>12264000</v>
      </c>
      <c r="D829" s="712">
        <f>SUM(D830:D831)</f>
        <v>0</v>
      </c>
      <c r="E829" s="721"/>
      <c r="G829" s="781"/>
      <c r="H829" s="782"/>
    </row>
    <row r="830" spans="1:8">
      <c r="A830" s="465"/>
      <c r="B830" s="718" t="s">
        <v>714</v>
      </c>
      <c r="C830" s="707">
        <v>12264100</v>
      </c>
      <c r="D830" s="826"/>
      <c r="E830" s="721"/>
      <c r="G830" s="781"/>
      <c r="H830" s="782"/>
    </row>
    <row r="831" spans="1:8">
      <c r="A831" s="465"/>
      <c r="B831" s="718" t="s">
        <v>83</v>
      </c>
      <c r="C831" s="707">
        <v>12264200</v>
      </c>
      <c r="D831" s="826"/>
      <c r="E831" s="721"/>
      <c r="G831" s="781"/>
      <c r="H831" s="782"/>
    </row>
    <row r="832" spans="1:8">
      <c r="A832" s="465"/>
      <c r="B832" s="709" t="s">
        <v>827</v>
      </c>
      <c r="C832" s="707">
        <v>12265000</v>
      </c>
      <c r="D832" s="712">
        <f>SUM(D833:D834)</f>
        <v>0</v>
      </c>
      <c r="E832" s="721"/>
      <c r="G832" s="781"/>
      <c r="H832" s="782"/>
    </row>
    <row r="833" spans="1:8">
      <c r="A833" s="465"/>
      <c r="B833" s="718" t="s">
        <v>714</v>
      </c>
      <c r="C833" s="707">
        <v>12265100</v>
      </c>
      <c r="D833" s="826"/>
      <c r="E833" s="692"/>
      <c r="G833" s="781"/>
      <c r="H833" s="782"/>
    </row>
    <row r="834" spans="1:8">
      <c r="A834" s="465"/>
      <c r="B834" s="718" t="s">
        <v>83</v>
      </c>
      <c r="C834" s="707">
        <v>12265200</v>
      </c>
      <c r="D834" s="826"/>
      <c r="E834" s="692"/>
      <c r="G834" s="781"/>
      <c r="H834" s="782"/>
    </row>
    <row r="835" spans="1:8">
      <c r="A835" s="699"/>
      <c r="B835" s="699" t="s">
        <v>947</v>
      </c>
      <c r="C835" s="700">
        <v>12300000</v>
      </c>
      <c r="D835" s="783">
        <f>SUM(D836,D851,D872,D875,D878,D885)</f>
        <v>0</v>
      </c>
      <c r="E835" s="692"/>
      <c r="G835" s="781"/>
      <c r="H835" s="782"/>
    </row>
    <row r="836" spans="1:8">
      <c r="A836" s="457"/>
      <c r="B836" s="704" t="s">
        <v>891</v>
      </c>
      <c r="C836" s="705">
        <v>12310000</v>
      </c>
      <c r="D836" s="712">
        <f>SUM(D837,D844)</f>
        <v>0</v>
      </c>
      <c r="E836" s="692"/>
      <c r="G836" s="781"/>
      <c r="H836" s="782"/>
    </row>
    <row r="837" spans="1:8">
      <c r="A837" s="457"/>
      <c r="B837" s="709" t="s">
        <v>714</v>
      </c>
      <c r="C837" s="707">
        <v>12311000</v>
      </c>
      <c r="D837" s="712">
        <f>SUM(D838:D843)</f>
        <v>0</v>
      </c>
      <c r="E837" s="692"/>
      <c r="G837" s="781"/>
      <c r="H837" s="782"/>
    </row>
    <row r="838" spans="1:8">
      <c r="A838" s="457"/>
      <c r="B838" s="718" t="s">
        <v>746</v>
      </c>
      <c r="C838" s="707">
        <v>12311100</v>
      </c>
      <c r="D838" s="826"/>
      <c r="E838" s="692"/>
      <c r="G838" s="781"/>
      <c r="H838" s="782"/>
    </row>
    <row r="839" spans="1:8">
      <c r="A839" s="457"/>
      <c r="B839" s="718" t="s">
        <v>892</v>
      </c>
      <c r="C839" s="707">
        <v>12311200</v>
      </c>
      <c r="D839" s="826"/>
      <c r="E839" s="692"/>
      <c r="G839" s="781"/>
      <c r="H839" s="782"/>
    </row>
    <row r="840" spans="1:8">
      <c r="A840" s="457"/>
      <c r="B840" s="718" t="s">
        <v>893</v>
      </c>
      <c r="C840" s="707">
        <v>12311300</v>
      </c>
      <c r="D840" s="826"/>
      <c r="E840" s="692"/>
      <c r="G840" s="781"/>
      <c r="H840" s="782"/>
    </row>
    <row r="841" spans="1:8">
      <c r="A841" s="457"/>
      <c r="B841" s="718" t="s">
        <v>751</v>
      </c>
      <c r="C841" s="707">
        <v>12311400</v>
      </c>
      <c r="D841" s="826"/>
      <c r="E841" s="692"/>
      <c r="G841" s="781"/>
      <c r="H841" s="782"/>
    </row>
    <row r="842" spans="1:8">
      <c r="A842" s="457"/>
      <c r="B842" s="718" t="s">
        <v>752</v>
      </c>
      <c r="C842" s="707">
        <v>12311500</v>
      </c>
      <c r="D842" s="826"/>
      <c r="E842" s="692"/>
      <c r="G842" s="781"/>
      <c r="H842" s="782"/>
    </row>
    <row r="843" spans="1:8">
      <c r="A843" s="457"/>
      <c r="B843" s="718" t="s">
        <v>53</v>
      </c>
      <c r="C843" s="707">
        <v>12311600</v>
      </c>
      <c r="D843" s="826"/>
      <c r="E843" s="692"/>
      <c r="G843" s="781"/>
      <c r="H843" s="782"/>
    </row>
    <row r="844" spans="1:8">
      <c r="A844" s="457"/>
      <c r="B844" s="709" t="s">
        <v>83</v>
      </c>
      <c r="C844" s="707">
        <v>12312000</v>
      </c>
      <c r="D844" s="712">
        <f>SUM(D845:D850)</f>
        <v>0</v>
      </c>
      <c r="E844" s="692"/>
      <c r="G844" s="781"/>
      <c r="H844" s="782"/>
    </row>
    <row r="845" spans="1:8">
      <c r="A845" s="457"/>
      <c r="B845" s="718" t="s">
        <v>746</v>
      </c>
      <c r="C845" s="707">
        <v>12312100</v>
      </c>
      <c r="D845" s="826"/>
      <c r="E845" s="692"/>
      <c r="G845" s="781"/>
      <c r="H845" s="782"/>
    </row>
    <row r="846" spans="1:8">
      <c r="A846" s="457"/>
      <c r="B846" s="718" t="s">
        <v>892</v>
      </c>
      <c r="C846" s="707">
        <v>12312200</v>
      </c>
      <c r="D846" s="826"/>
      <c r="E846" s="692"/>
      <c r="G846" s="781"/>
      <c r="H846" s="782"/>
    </row>
    <row r="847" spans="1:8">
      <c r="A847" s="457"/>
      <c r="B847" s="718" t="s">
        <v>893</v>
      </c>
      <c r="C847" s="707">
        <v>12312300</v>
      </c>
      <c r="D847" s="826"/>
      <c r="E847" s="692"/>
      <c r="G847" s="781"/>
      <c r="H847" s="782"/>
    </row>
    <row r="848" spans="1:8">
      <c r="A848" s="457"/>
      <c r="B848" s="718" t="s">
        <v>751</v>
      </c>
      <c r="C848" s="707">
        <v>12312400</v>
      </c>
      <c r="D848" s="826"/>
      <c r="E848" s="692"/>
      <c r="G848" s="781"/>
      <c r="H848" s="782"/>
    </row>
    <row r="849" spans="1:8">
      <c r="A849" s="457"/>
      <c r="B849" s="718" t="s">
        <v>752</v>
      </c>
      <c r="C849" s="707">
        <v>12312500</v>
      </c>
      <c r="D849" s="826"/>
      <c r="E849" s="692"/>
      <c r="G849" s="781"/>
      <c r="H849" s="782"/>
    </row>
    <row r="850" spans="1:8">
      <c r="A850" s="457"/>
      <c r="B850" s="718" t="s">
        <v>53</v>
      </c>
      <c r="C850" s="707">
        <v>12312600</v>
      </c>
      <c r="D850" s="826"/>
      <c r="E850" s="692"/>
      <c r="G850" s="781"/>
      <c r="H850" s="782"/>
    </row>
    <row r="851" spans="1:8">
      <c r="A851" s="457"/>
      <c r="B851" s="704" t="s">
        <v>895</v>
      </c>
      <c r="C851" s="705">
        <v>12320000</v>
      </c>
      <c r="D851" s="712">
        <f>SUM(D852,D861)</f>
        <v>0</v>
      </c>
      <c r="E851" s="692"/>
      <c r="G851" s="781"/>
      <c r="H851" s="782"/>
    </row>
    <row r="852" spans="1:8">
      <c r="A852" s="457"/>
      <c r="B852" s="709" t="s">
        <v>896</v>
      </c>
      <c r="C852" s="707">
        <v>12321000</v>
      </c>
      <c r="D852" s="712">
        <f>SUM(D853,D857)</f>
        <v>0</v>
      </c>
      <c r="E852" s="692"/>
      <c r="G852" s="781"/>
      <c r="H852" s="782"/>
    </row>
    <row r="853" spans="1:8">
      <c r="A853" s="457"/>
      <c r="B853" s="718" t="s">
        <v>714</v>
      </c>
      <c r="C853" s="707">
        <v>12321100</v>
      </c>
      <c r="D853" s="712">
        <f>SUM(D854:D856)</f>
        <v>0</v>
      </c>
      <c r="E853" s="692"/>
      <c r="G853" s="781"/>
      <c r="H853" s="782"/>
    </row>
    <row r="854" spans="1:8">
      <c r="A854" s="457"/>
      <c r="B854" s="759" t="s">
        <v>939</v>
      </c>
      <c r="C854" s="707">
        <v>12321110</v>
      </c>
      <c r="D854" s="826"/>
      <c r="E854" s="692"/>
      <c r="G854" s="781"/>
      <c r="H854" s="782"/>
    </row>
    <row r="855" spans="1:8">
      <c r="A855" s="457"/>
      <c r="B855" s="759" t="s">
        <v>940</v>
      </c>
      <c r="C855" s="707">
        <v>12321120</v>
      </c>
      <c r="D855" s="826"/>
      <c r="E855" s="692"/>
      <c r="G855" s="781"/>
      <c r="H855" s="782"/>
    </row>
    <row r="856" spans="1:8">
      <c r="A856" s="457"/>
      <c r="B856" s="759" t="s">
        <v>55</v>
      </c>
      <c r="C856" s="707">
        <v>12321130</v>
      </c>
      <c r="D856" s="826"/>
      <c r="E856" s="692"/>
      <c r="G856" s="781"/>
      <c r="H856" s="782"/>
    </row>
    <row r="857" spans="1:8">
      <c r="A857" s="457"/>
      <c r="B857" s="718" t="s">
        <v>83</v>
      </c>
      <c r="C857" s="707">
        <v>12321200</v>
      </c>
      <c r="D857" s="712">
        <f>SUM(D858:D860)</f>
        <v>0</v>
      </c>
      <c r="E857" s="692"/>
      <c r="G857" s="781"/>
      <c r="H857" s="782"/>
    </row>
    <row r="858" spans="1:8">
      <c r="A858" s="457"/>
      <c r="B858" s="759" t="s">
        <v>939</v>
      </c>
      <c r="C858" s="707">
        <v>12321210</v>
      </c>
      <c r="D858" s="826"/>
      <c r="E858" s="692"/>
      <c r="G858" s="781"/>
      <c r="H858" s="782"/>
    </row>
    <row r="859" spans="1:8">
      <c r="A859" s="457"/>
      <c r="B859" s="759" t="s">
        <v>940</v>
      </c>
      <c r="C859" s="707">
        <v>12321220</v>
      </c>
      <c r="D859" s="826"/>
      <c r="E859" s="692"/>
      <c r="G859" s="781"/>
      <c r="H859" s="782"/>
    </row>
    <row r="860" spans="1:8">
      <c r="A860" s="457"/>
      <c r="B860" s="759" t="s">
        <v>55</v>
      </c>
      <c r="C860" s="707">
        <v>12321230</v>
      </c>
      <c r="D860" s="826"/>
      <c r="E860" s="692"/>
      <c r="G860" s="781"/>
      <c r="H860" s="782"/>
    </row>
    <row r="861" spans="1:8">
      <c r="A861" s="457"/>
      <c r="B861" s="709" t="s">
        <v>801</v>
      </c>
      <c r="C861" s="707">
        <v>12322000</v>
      </c>
      <c r="D861" s="712">
        <f>SUM(D862,D867)</f>
        <v>0</v>
      </c>
      <c r="E861" s="692"/>
      <c r="G861" s="781"/>
      <c r="H861" s="782"/>
    </row>
    <row r="862" spans="1:8">
      <c r="A862" s="457"/>
      <c r="B862" s="718" t="s">
        <v>714</v>
      </c>
      <c r="C862" s="707">
        <v>12322100</v>
      </c>
      <c r="D862" s="712">
        <f>SUM(D863:D866)</f>
        <v>0</v>
      </c>
      <c r="E862" s="692"/>
      <c r="G862" s="781"/>
      <c r="H862" s="782"/>
    </row>
    <row r="863" spans="1:8">
      <c r="A863" s="457"/>
      <c r="B863" s="759" t="s">
        <v>941</v>
      </c>
      <c r="C863" s="707">
        <v>12322110</v>
      </c>
      <c r="D863" s="826"/>
      <c r="E863" s="692"/>
      <c r="G863" s="781"/>
      <c r="H863" s="782"/>
    </row>
    <row r="864" spans="1:8">
      <c r="A864" s="457"/>
      <c r="B864" s="759" t="s">
        <v>942</v>
      </c>
      <c r="C864" s="707">
        <v>12322120</v>
      </c>
      <c r="D864" s="826"/>
      <c r="E864" s="692"/>
      <c r="G864" s="781"/>
      <c r="H864" s="782"/>
    </row>
    <row r="865" spans="1:8">
      <c r="A865" s="457"/>
      <c r="B865" s="759" t="s">
        <v>943</v>
      </c>
      <c r="C865" s="707">
        <v>12322130</v>
      </c>
      <c r="D865" s="826"/>
      <c r="E865" s="692"/>
      <c r="G865" s="781"/>
      <c r="H865" s="782"/>
    </row>
    <row r="866" spans="1:8">
      <c r="A866" s="457"/>
      <c r="B866" s="759" t="s">
        <v>55</v>
      </c>
      <c r="C866" s="707">
        <v>12322140</v>
      </c>
      <c r="D866" s="826"/>
      <c r="E866" s="692"/>
      <c r="G866" s="781"/>
      <c r="H866" s="782"/>
    </row>
    <row r="867" spans="1:8">
      <c r="A867" s="457"/>
      <c r="B867" s="718" t="s">
        <v>83</v>
      </c>
      <c r="C867" s="707">
        <v>12322200</v>
      </c>
      <c r="D867" s="712">
        <f>SUM(D868:D871)</f>
        <v>0</v>
      </c>
      <c r="E867" s="692"/>
      <c r="G867" s="781"/>
      <c r="H867" s="782"/>
    </row>
    <row r="868" spans="1:8">
      <c r="A868" s="457"/>
      <c r="B868" s="759" t="s">
        <v>941</v>
      </c>
      <c r="C868" s="707">
        <v>12322210</v>
      </c>
      <c r="D868" s="826"/>
      <c r="E868" s="692"/>
      <c r="G868" s="781"/>
      <c r="H868" s="782"/>
    </row>
    <row r="869" spans="1:8">
      <c r="A869" s="457"/>
      <c r="B869" s="759" t="s">
        <v>942</v>
      </c>
      <c r="C869" s="707">
        <v>12322220</v>
      </c>
      <c r="D869" s="826"/>
      <c r="E869" s="692"/>
      <c r="G869" s="781"/>
      <c r="H869" s="782"/>
    </row>
    <row r="870" spans="1:8">
      <c r="A870" s="457"/>
      <c r="B870" s="759" t="s">
        <v>943</v>
      </c>
      <c r="C870" s="707">
        <v>12322230</v>
      </c>
      <c r="D870" s="826"/>
      <c r="E870" s="692"/>
      <c r="G870" s="781"/>
      <c r="H870" s="782"/>
    </row>
    <row r="871" spans="1:8">
      <c r="A871" s="457"/>
      <c r="B871" s="759" t="s">
        <v>55</v>
      </c>
      <c r="C871" s="707">
        <v>12322240</v>
      </c>
      <c r="D871" s="826"/>
      <c r="E871" s="692"/>
      <c r="G871" s="781"/>
      <c r="H871" s="782"/>
    </row>
    <row r="872" spans="1:8">
      <c r="A872" s="457"/>
      <c r="B872" s="704" t="s">
        <v>944</v>
      </c>
      <c r="C872" s="705">
        <v>12330000</v>
      </c>
      <c r="D872" s="712">
        <f>SUM(D873:D874)</f>
        <v>0</v>
      </c>
      <c r="E872" s="692"/>
      <c r="G872" s="781"/>
      <c r="H872" s="782"/>
    </row>
    <row r="873" spans="1:8">
      <c r="A873" s="457"/>
      <c r="B873" s="709" t="s">
        <v>714</v>
      </c>
      <c r="C873" s="707">
        <v>12331000</v>
      </c>
      <c r="D873" s="826"/>
      <c r="E873" s="692"/>
      <c r="G873" s="781"/>
      <c r="H873" s="782"/>
    </row>
    <row r="874" spans="1:8">
      <c r="A874" s="457"/>
      <c r="B874" s="709" t="s">
        <v>83</v>
      </c>
      <c r="C874" s="707">
        <v>12332000</v>
      </c>
      <c r="D874" s="826"/>
      <c r="E874" s="692"/>
      <c r="G874" s="781"/>
      <c r="H874" s="782"/>
    </row>
    <row r="875" spans="1:8" ht="25.5">
      <c r="A875" s="457"/>
      <c r="B875" s="704" t="s">
        <v>945</v>
      </c>
      <c r="C875" s="705">
        <v>12340000</v>
      </c>
      <c r="D875" s="712">
        <f>SUM(D876:D877)</f>
        <v>0</v>
      </c>
      <c r="E875" s="692"/>
      <c r="G875" s="781"/>
      <c r="H875" s="782"/>
    </row>
    <row r="876" spans="1:8">
      <c r="A876" s="457"/>
      <c r="B876" s="709" t="s">
        <v>714</v>
      </c>
      <c r="C876" s="707">
        <v>12341000</v>
      </c>
      <c r="D876" s="826"/>
      <c r="E876" s="692"/>
      <c r="G876" s="781"/>
      <c r="H876" s="782"/>
    </row>
    <row r="877" spans="1:8">
      <c r="A877" s="457"/>
      <c r="B877" s="709" t="s">
        <v>83</v>
      </c>
      <c r="C877" s="707">
        <v>12342000</v>
      </c>
      <c r="D877" s="826"/>
      <c r="E877" s="692"/>
      <c r="G877" s="781"/>
      <c r="H877" s="782"/>
    </row>
    <row r="878" spans="1:8">
      <c r="A878" s="457"/>
      <c r="B878" s="704" t="s">
        <v>827</v>
      </c>
      <c r="C878" s="705">
        <v>12350000</v>
      </c>
      <c r="D878" s="712">
        <f>SUM(D879,D882)</f>
        <v>0</v>
      </c>
      <c r="E878" s="692"/>
      <c r="G878" s="781"/>
      <c r="H878" s="782"/>
    </row>
    <row r="879" spans="1:8">
      <c r="A879" s="457"/>
      <c r="B879" s="709" t="s">
        <v>762</v>
      </c>
      <c r="C879" s="707">
        <v>12351000</v>
      </c>
      <c r="D879" s="712">
        <f>SUM(D880:D881)</f>
        <v>0</v>
      </c>
      <c r="E879" s="692"/>
      <c r="G879" s="781"/>
      <c r="H879" s="782"/>
    </row>
    <row r="880" spans="1:8">
      <c r="A880" s="457"/>
      <c r="B880" s="718" t="s">
        <v>714</v>
      </c>
      <c r="C880" s="707">
        <v>12351100</v>
      </c>
      <c r="D880" s="826"/>
      <c r="E880" s="692"/>
      <c r="G880" s="781"/>
      <c r="H880" s="782"/>
    </row>
    <row r="881" spans="1:8">
      <c r="A881" s="457"/>
      <c r="B881" s="718" t="s">
        <v>83</v>
      </c>
      <c r="C881" s="707">
        <v>12351200</v>
      </c>
      <c r="D881" s="826"/>
      <c r="E881" s="692"/>
      <c r="G881" s="781"/>
      <c r="H881" s="782"/>
    </row>
    <row r="882" spans="1:8">
      <c r="A882" s="457"/>
      <c r="B882" s="709" t="s">
        <v>55</v>
      </c>
      <c r="C882" s="707">
        <v>12352000</v>
      </c>
      <c r="D882" s="712">
        <f>SUM(D883:D884)</f>
        <v>0</v>
      </c>
      <c r="E882" s="692"/>
      <c r="G882" s="781"/>
      <c r="H882" s="782"/>
    </row>
    <row r="883" spans="1:8">
      <c r="A883" s="457"/>
      <c r="B883" s="718" t="s">
        <v>714</v>
      </c>
      <c r="C883" s="707">
        <v>12352100</v>
      </c>
      <c r="D883" s="826"/>
      <c r="E883" s="692"/>
      <c r="G883" s="781"/>
      <c r="H883" s="782"/>
    </row>
    <row r="884" spans="1:8">
      <c r="A884" s="457"/>
      <c r="B884" s="718" t="s">
        <v>83</v>
      </c>
      <c r="C884" s="707">
        <v>12352200</v>
      </c>
      <c r="D884" s="826"/>
      <c r="E884" s="692"/>
      <c r="G884" s="781"/>
      <c r="H884" s="782"/>
    </row>
    <row r="885" spans="1:8">
      <c r="A885" s="457"/>
      <c r="B885" s="704" t="s">
        <v>900</v>
      </c>
      <c r="C885" s="705">
        <v>12360000</v>
      </c>
      <c r="D885" s="712">
        <f>SUM(D886,D889,D896,D899,D902)</f>
        <v>0</v>
      </c>
      <c r="E885" s="692"/>
      <c r="G885" s="781"/>
      <c r="H885" s="782"/>
    </row>
    <row r="886" spans="1:8">
      <c r="A886" s="457"/>
      <c r="B886" s="709" t="s">
        <v>796</v>
      </c>
      <c r="C886" s="707">
        <v>12361000</v>
      </c>
      <c r="D886" s="712">
        <f>SUM(D887:D888)</f>
        <v>0</v>
      </c>
      <c r="E886" s="692"/>
      <c r="G886" s="781"/>
      <c r="H886" s="782"/>
    </row>
    <row r="887" spans="1:8">
      <c r="A887" s="457"/>
      <c r="B887" s="718" t="s">
        <v>714</v>
      </c>
      <c r="C887" s="707">
        <v>12361100</v>
      </c>
      <c r="D887" s="826"/>
      <c r="E887" s="692"/>
      <c r="G887" s="781"/>
      <c r="H887" s="782"/>
    </row>
    <row r="888" spans="1:8">
      <c r="A888" s="457"/>
      <c r="B888" s="718" t="s">
        <v>83</v>
      </c>
      <c r="C888" s="707">
        <v>12361200</v>
      </c>
      <c r="D888" s="826"/>
      <c r="E888" s="692"/>
      <c r="G888" s="781"/>
      <c r="H888" s="782"/>
    </row>
    <row r="889" spans="1:8">
      <c r="A889" s="457"/>
      <c r="B889" s="709" t="s">
        <v>799</v>
      </c>
      <c r="C889" s="707">
        <v>12362000</v>
      </c>
      <c r="D889" s="712">
        <f>SUM(D890,D893)</f>
        <v>0</v>
      </c>
      <c r="E889" s="692"/>
      <c r="G889" s="781"/>
      <c r="H889" s="782"/>
    </row>
    <row r="890" spans="1:8">
      <c r="A890" s="457"/>
      <c r="B890" s="718" t="s">
        <v>714</v>
      </c>
      <c r="C890" s="707">
        <v>12362100</v>
      </c>
      <c r="D890" s="712">
        <f>SUM(D891:D892)</f>
        <v>0</v>
      </c>
      <c r="E890" s="692"/>
      <c r="G890" s="781"/>
      <c r="H890" s="782"/>
    </row>
    <row r="891" spans="1:8">
      <c r="A891" s="457"/>
      <c r="B891" s="759" t="s">
        <v>52</v>
      </c>
      <c r="C891" s="707">
        <v>12362110</v>
      </c>
      <c r="D891" s="826"/>
      <c r="E891" s="692"/>
      <c r="G891" s="781"/>
      <c r="H891" s="782"/>
    </row>
    <row r="892" spans="1:8">
      <c r="A892" s="457"/>
      <c r="B892" s="759" t="s">
        <v>801</v>
      </c>
      <c r="C892" s="707">
        <v>12362120</v>
      </c>
      <c r="D892" s="826"/>
      <c r="E892" s="692"/>
      <c r="G892" s="781"/>
      <c r="H892" s="782"/>
    </row>
    <row r="893" spans="1:8">
      <c r="A893" s="457"/>
      <c r="B893" s="718" t="s">
        <v>83</v>
      </c>
      <c r="C893" s="707">
        <v>12362200</v>
      </c>
      <c r="D893" s="712">
        <f>SUM(D894:D895)</f>
        <v>0</v>
      </c>
      <c r="E893" s="692"/>
      <c r="G893" s="781"/>
      <c r="H893" s="782"/>
    </row>
    <row r="894" spans="1:8">
      <c r="A894" s="457"/>
      <c r="B894" s="759" t="s">
        <v>52</v>
      </c>
      <c r="C894" s="707">
        <v>12362210</v>
      </c>
      <c r="D894" s="826"/>
      <c r="E894" s="692"/>
      <c r="G894" s="781"/>
      <c r="H894" s="782"/>
    </row>
    <row r="895" spans="1:8">
      <c r="A895" s="457"/>
      <c r="B895" s="759" t="s">
        <v>801</v>
      </c>
      <c r="C895" s="707">
        <v>12362220</v>
      </c>
      <c r="D895" s="826"/>
      <c r="E895" s="692"/>
      <c r="G895" s="781"/>
      <c r="H895" s="782"/>
    </row>
    <row r="896" spans="1:8">
      <c r="A896" s="457"/>
      <c r="B896" s="709" t="s">
        <v>54</v>
      </c>
      <c r="C896" s="707">
        <v>12363000</v>
      </c>
      <c r="D896" s="712">
        <f>SUM(D897:D898)</f>
        <v>0</v>
      </c>
      <c r="E896" s="692"/>
      <c r="G896" s="781"/>
      <c r="H896" s="782"/>
    </row>
    <row r="897" spans="1:8">
      <c r="A897" s="457"/>
      <c r="B897" s="718" t="s">
        <v>714</v>
      </c>
      <c r="C897" s="707">
        <v>12363100</v>
      </c>
      <c r="D897" s="826"/>
      <c r="E897" s="692"/>
      <c r="G897" s="781"/>
      <c r="H897" s="782"/>
    </row>
    <row r="898" spans="1:8">
      <c r="A898" s="457"/>
      <c r="B898" s="718" t="s">
        <v>83</v>
      </c>
      <c r="C898" s="707">
        <v>12363200</v>
      </c>
      <c r="D898" s="826"/>
      <c r="E898" s="692"/>
      <c r="G898" s="781"/>
      <c r="H898" s="782"/>
    </row>
    <row r="899" spans="1:8" ht="25.5">
      <c r="A899" s="457"/>
      <c r="B899" s="709" t="s">
        <v>826</v>
      </c>
      <c r="C899" s="707">
        <v>12364000</v>
      </c>
      <c r="D899" s="712">
        <f>SUM(D900:D901)</f>
        <v>0</v>
      </c>
      <c r="E899" s="692"/>
      <c r="G899" s="781"/>
      <c r="H899" s="782"/>
    </row>
    <row r="900" spans="1:8">
      <c r="A900" s="457"/>
      <c r="B900" s="718" t="s">
        <v>714</v>
      </c>
      <c r="C900" s="707">
        <v>12364100</v>
      </c>
      <c r="D900" s="826"/>
      <c r="E900" s="692"/>
      <c r="G900" s="781"/>
      <c r="H900" s="782"/>
    </row>
    <row r="901" spans="1:8">
      <c r="A901" s="457"/>
      <c r="B901" s="718" t="s">
        <v>83</v>
      </c>
      <c r="C901" s="707">
        <v>12364200</v>
      </c>
      <c r="D901" s="826"/>
      <c r="E901" s="692"/>
      <c r="G901" s="781"/>
      <c r="H901" s="782"/>
    </row>
    <row r="902" spans="1:8">
      <c r="A902" s="457"/>
      <c r="B902" s="709" t="s">
        <v>827</v>
      </c>
      <c r="C902" s="707">
        <v>12365000</v>
      </c>
      <c r="D902" s="712">
        <f>SUM(D903:D904)</f>
        <v>0</v>
      </c>
      <c r="E902" s="692"/>
      <c r="G902" s="781"/>
      <c r="H902" s="782"/>
    </row>
    <row r="903" spans="1:8">
      <c r="A903" s="457"/>
      <c r="B903" s="718" t="s">
        <v>714</v>
      </c>
      <c r="C903" s="707">
        <v>12365100</v>
      </c>
      <c r="D903" s="826"/>
      <c r="E903" s="692"/>
      <c r="G903" s="781"/>
      <c r="H903" s="782"/>
    </row>
    <row r="904" spans="1:8">
      <c r="A904" s="457"/>
      <c r="B904" s="718" t="s">
        <v>83</v>
      </c>
      <c r="C904" s="707">
        <v>12365200</v>
      </c>
      <c r="D904" s="826"/>
      <c r="E904" s="692"/>
      <c r="G904" s="781"/>
      <c r="H904" s="782"/>
    </row>
    <row r="905" spans="1:8">
      <c r="A905" s="699"/>
      <c r="B905" s="699" t="s">
        <v>948</v>
      </c>
      <c r="C905" s="700">
        <v>12400000</v>
      </c>
      <c r="D905" s="783">
        <f>SUM(D906,D921,D942,D945,D948,D955)</f>
        <v>0</v>
      </c>
      <c r="E905" s="692"/>
      <c r="G905" s="781"/>
      <c r="H905" s="782"/>
    </row>
    <row r="906" spans="1:8">
      <c r="A906" s="457"/>
      <c r="B906" s="704" t="s">
        <v>891</v>
      </c>
      <c r="C906" s="705">
        <v>12410000</v>
      </c>
      <c r="D906" s="712">
        <f>SUM(D907,D914)</f>
        <v>0</v>
      </c>
      <c r="E906" s="692"/>
      <c r="G906" s="781"/>
      <c r="H906" s="782"/>
    </row>
    <row r="907" spans="1:8">
      <c r="A907" s="457"/>
      <c r="B907" s="709" t="s">
        <v>714</v>
      </c>
      <c r="C907" s="707">
        <v>12411000</v>
      </c>
      <c r="D907" s="712">
        <f>SUM(D908:D913)</f>
        <v>0</v>
      </c>
      <c r="E907" s="692"/>
      <c r="G907" s="781"/>
      <c r="H907" s="782"/>
    </row>
    <row r="908" spans="1:8">
      <c r="A908" s="457"/>
      <c r="B908" s="718" t="s">
        <v>746</v>
      </c>
      <c r="C908" s="707">
        <v>12411100</v>
      </c>
      <c r="D908" s="826"/>
      <c r="E908" s="692"/>
      <c r="G908" s="781"/>
      <c r="H908" s="782"/>
    </row>
    <row r="909" spans="1:8">
      <c r="A909" s="457"/>
      <c r="B909" s="718" t="s">
        <v>892</v>
      </c>
      <c r="C909" s="707">
        <v>12411200</v>
      </c>
      <c r="D909" s="826"/>
      <c r="E909" s="692"/>
      <c r="G909" s="781"/>
      <c r="H909" s="782"/>
    </row>
    <row r="910" spans="1:8">
      <c r="A910" s="457"/>
      <c r="B910" s="718" t="s">
        <v>893</v>
      </c>
      <c r="C910" s="707">
        <v>12411300</v>
      </c>
      <c r="D910" s="826"/>
      <c r="E910" s="692"/>
      <c r="G910" s="781"/>
      <c r="H910" s="782"/>
    </row>
    <row r="911" spans="1:8">
      <c r="A911" s="457"/>
      <c r="B911" s="718" t="s">
        <v>751</v>
      </c>
      <c r="C911" s="707">
        <v>12411400</v>
      </c>
      <c r="D911" s="826"/>
      <c r="E911" s="692"/>
      <c r="G911" s="781"/>
      <c r="H911" s="782"/>
    </row>
    <row r="912" spans="1:8">
      <c r="A912" s="457"/>
      <c r="B912" s="718" t="s">
        <v>752</v>
      </c>
      <c r="C912" s="707">
        <v>12411500</v>
      </c>
      <c r="D912" s="826"/>
      <c r="E912" s="692"/>
      <c r="G912" s="781"/>
      <c r="H912" s="782"/>
    </row>
    <row r="913" spans="1:8">
      <c r="A913" s="457"/>
      <c r="B913" s="718" t="s">
        <v>53</v>
      </c>
      <c r="C913" s="707">
        <v>12411600</v>
      </c>
      <c r="D913" s="826"/>
      <c r="E913" s="692"/>
      <c r="G913" s="781"/>
      <c r="H913" s="782"/>
    </row>
    <row r="914" spans="1:8">
      <c r="A914" s="457"/>
      <c r="B914" s="709" t="s">
        <v>83</v>
      </c>
      <c r="C914" s="707">
        <v>12412000</v>
      </c>
      <c r="D914" s="712">
        <f>SUM(D915:D920)</f>
        <v>0</v>
      </c>
      <c r="E914" s="692"/>
      <c r="G914" s="781"/>
      <c r="H914" s="782"/>
    </row>
    <row r="915" spans="1:8">
      <c r="A915" s="457"/>
      <c r="B915" s="718" t="s">
        <v>746</v>
      </c>
      <c r="C915" s="707">
        <v>12412100</v>
      </c>
      <c r="D915" s="826"/>
      <c r="E915" s="692"/>
      <c r="G915" s="781"/>
      <c r="H915" s="782"/>
    </row>
    <row r="916" spans="1:8">
      <c r="A916" s="457"/>
      <c r="B916" s="718" t="s">
        <v>892</v>
      </c>
      <c r="C916" s="707">
        <v>12412200</v>
      </c>
      <c r="D916" s="826"/>
      <c r="E916" s="692"/>
      <c r="G916" s="781"/>
      <c r="H916" s="782"/>
    </row>
    <row r="917" spans="1:8">
      <c r="A917" s="457"/>
      <c r="B917" s="718" t="s">
        <v>893</v>
      </c>
      <c r="C917" s="707">
        <v>12412300</v>
      </c>
      <c r="D917" s="826"/>
      <c r="E917" s="692"/>
      <c r="G917" s="781"/>
      <c r="H917" s="782"/>
    </row>
    <row r="918" spans="1:8">
      <c r="A918" s="457"/>
      <c r="B918" s="718" t="s">
        <v>751</v>
      </c>
      <c r="C918" s="707">
        <v>12412400</v>
      </c>
      <c r="D918" s="826"/>
      <c r="E918" s="692"/>
      <c r="G918" s="781"/>
      <c r="H918" s="782"/>
    </row>
    <row r="919" spans="1:8">
      <c r="A919" s="457"/>
      <c r="B919" s="718" t="s">
        <v>752</v>
      </c>
      <c r="C919" s="707">
        <v>12412500</v>
      </c>
      <c r="D919" s="826"/>
      <c r="E919" s="692"/>
      <c r="G919" s="781"/>
      <c r="H919" s="782"/>
    </row>
    <row r="920" spans="1:8">
      <c r="A920" s="457"/>
      <c r="B920" s="718" t="s">
        <v>53</v>
      </c>
      <c r="C920" s="707">
        <v>12412600</v>
      </c>
      <c r="D920" s="826"/>
      <c r="E920" s="692"/>
      <c r="G920" s="781"/>
      <c r="H920" s="782"/>
    </row>
    <row r="921" spans="1:8">
      <c r="A921" s="457"/>
      <c r="B921" s="704" t="s">
        <v>895</v>
      </c>
      <c r="C921" s="705">
        <v>12420000</v>
      </c>
      <c r="D921" s="712">
        <f>SUM(D922,D931)</f>
        <v>0</v>
      </c>
      <c r="E921" s="692"/>
      <c r="G921" s="781"/>
      <c r="H921" s="782"/>
    </row>
    <row r="922" spans="1:8">
      <c r="A922" s="457"/>
      <c r="B922" s="709" t="s">
        <v>896</v>
      </c>
      <c r="C922" s="707">
        <v>12421000</v>
      </c>
      <c r="D922" s="712">
        <f>SUM(D923,D927)</f>
        <v>0</v>
      </c>
      <c r="E922" s="692"/>
      <c r="G922" s="781"/>
      <c r="H922" s="782"/>
    </row>
    <row r="923" spans="1:8">
      <c r="A923" s="457"/>
      <c r="B923" s="718" t="s">
        <v>714</v>
      </c>
      <c r="C923" s="707">
        <v>12421100</v>
      </c>
      <c r="D923" s="712">
        <f>SUM(D924:D926)</f>
        <v>0</v>
      </c>
      <c r="E923" s="692"/>
      <c r="G923" s="781"/>
      <c r="H923" s="782"/>
    </row>
    <row r="924" spans="1:8">
      <c r="A924" s="457"/>
      <c r="B924" s="759" t="s">
        <v>939</v>
      </c>
      <c r="C924" s="707">
        <v>12421110</v>
      </c>
      <c r="D924" s="826"/>
      <c r="E924" s="692"/>
      <c r="G924" s="781"/>
      <c r="H924" s="782"/>
    </row>
    <row r="925" spans="1:8">
      <c r="A925" s="457"/>
      <c r="B925" s="759" t="s">
        <v>940</v>
      </c>
      <c r="C925" s="707">
        <v>12421120</v>
      </c>
      <c r="D925" s="826"/>
      <c r="E925" s="692"/>
      <c r="G925" s="781"/>
      <c r="H925" s="782"/>
    </row>
    <row r="926" spans="1:8">
      <c r="A926" s="457"/>
      <c r="B926" s="759" t="s">
        <v>55</v>
      </c>
      <c r="C926" s="707">
        <v>12421130</v>
      </c>
      <c r="D926" s="826"/>
      <c r="E926" s="692"/>
      <c r="G926" s="781"/>
      <c r="H926" s="782"/>
    </row>
    <row r="927" spans="1:8">
      <c r="A927" s="457"/>
      <c r="B927" s="718" t="s">
        <v>83</v>
      </c>
      <c r="C927" s="707">
        <v>12421200</v>
      </c>
      <c r="D927" s="712">
        <f>SUM(D928:D930)</f>
        <v>0</v>
      </c>
      <c r="E927" s="692"/>
      <c r="G927" s="781"/>
      <c r="H927" s="782"/>
    </row>
    <row r="928" spans="1:8">
      <c r="A928" s="457"/>
      <c r="B928" s="759" t="s">
        <v>939</v>
      </c>
      <c r="C928" s="707">
        <v>12421210</v>
      </c>
      <c r="D928" s="826"/>
      <c r="E928" s="692"/>
      <c r="G928" s="781"/>
      <c r="H928" s="782"/>
    </row>
    <row r="929" spans="1:8">
      <c r="A929" s="457"/>
      <c r="B929" s="759" t="s">
        <v>940</v>
      </c>
      <c r="C929" s="707">
        <v>12421220</v>
      </c>
      <c r="D929" s="826"/>
      <c r="E929" s="692"/>
      <c r="G929" s="781"/>
      <c r="H929" s="782"/>
    </row>
    <row r="930" spans="1:8">
      <c r="A930" s="457"/>
      <c r="B930" s="759" t="s">
        <v>55</v>
      </c>
      <c r="C930" s="707">
        <v>12421230</v>
      </c>
      <c r="D930" s="826"/>
      <c r="E930" s="692"/>
      <c r="G930" s="781"/>
      <c r="H930" s="782"/>
    </row>
    <row r="931" spans="1:8">
      <c r="A931" s="457"/>
      <c r="B931" s="709" t="s">
        <v>801</v>
      </c>
      <c r="C931" s="707">
        <v>12422000</v>
      </c>
      <c r="D931" s="712">
        <f>SUM(D932,D937)</f>
        <v>0</v>
      </c>
      <c r="E931" s="692"/>
      <c r="G931" s="781"/>
      <c r="H931" s="782"/>
    </row>
    <row r="932" spans="1:8">
      <c r="A932" s="457"/>
      <c r="B932" s="718" t="s">
        <v>714</v>
      </c>
      <c r="C932" s="707">
        <v>12422100</v>
      </c>
      <c r="D932" s="712">
        <f>SUM(D933:D936)</f>
        <v>0</v>
      </c>
      <c r="E932" s="692"/>
      <c r="G932" s="781"/>
      <c r="H932" s="782"/>
    </row>
    <row r="933" spans="1:8">
      <c r="A933" s="457"/>
      <c r="B933" s="759" t="s">
        <v>941</v>
      </c>
      <c r="C933" s="707">
        <v>12422110</v>
      </c>
      <c r="D933" s="826"/>
      <c r="E933" s="692"/>
      <c r="G933" s="781"/>
      <c r="H933" s="782"/>
    </row>
    <row r="934" spans="1:8">
      <c r="A934" s="457"/>
      <c r="B934" s="759" t="s">
        <v>942</v>
      </c>
      <c r="C934" s="707">
        <v>12422120</v>
      </c>
      <c r="D934" s="826"/>
      <c r="E934" s="692"/>
      <c r="G934" s="781"/>
      <c r="H934" s="782"/>
    </row>
    <row r="935" spans="1:8">
      <c r="A935" s="457"/>
      <c r="B935" s="759" t="s">
        <v>943</v>
      </c>
      <c r="C935" s="707">
        <v>12422130</v>
      </c>
      <c r="D935" s="826"/>
      <c r="E935" s="692"/>
      <c r="G935" s="781"/>
      <c r="H935" s="782"/>
    </row>
    <row r="936" spans="1:8">
      <c r="A936" s="457"/>
      <c r="B936" s="759" t="s">
        <v>55</v>
      </c>
      <c r="C936" s="707">
        <v>12422140</v>
      </c>
      <c r="D936" s="826"/>
      <c r="E936" s="692"/>
      <c r="G936" s="781"/>
      <c r="H936" s="782"/>
    </row>
    <row r="937" spans="1:8">
      <c r="A937" s="457"/>
      <c r="B937" s="718" t="s">
        <v>83</v>
      </c>
      <c r="C937" s="707">
        <v>12422200</v>
      </c>
      <c r="D937" s="712">
        <f>SUM(D938:D941)</f>
        <v>0</v>
      </c>
      <c r="E937" s="692"/>
      <c r="G937" s="781"/>
      <c r="H937" s="782"/>
    </row>
    <row r="938" spans="1:8">
      <c r="A938" s="457"/>
      <c r="B938" s="759" t="s">
        <v>941</v>
      </c>
      <c r="C938" s="707">
        <v>12422210</v>
      </c>
      <c r="D938" s="826"/>
      <c r="E938" s="692"/>
      <c r="G938" s="781"/>
      <c r="H938" s="782"/>
    </row>
    <row r="939" spans="1:8">
      <c r="A939" s="457"/>
      <c r="B939" s="759" t="s">
        <v>942</v>
      </c>
      <c r="C939" s="707">
        <v>12422220</v>
      </c>
      <c r="D939" s="826"/>
      <c r="E939" s="692"/>
      <c r="G939" s="781"/>
      <c r="H939" s="782"/>
    </row>
    <row r="940" spans="1:8">
      <c r="A940" s="457"/>
      <c r="B940" s="759" t="s">
        <v>943</v>
      </c>
      <c r="C940" s="707">
        <v>12422230</v>
      </c>
      <c r="D940" s="826"/>
      <c r="E940" s="692"/>
      <c r="G940" s="781"/>
      <c r="H940" s="782"/>
    </row>
    <row r="941" spans="1:8">
      <c r="A941" s="457"/>
      <c r="B941" s="759" t="s">
        <v>55</v>
      </c>
      <c r="C941" s="707">
        <v>12422240</v>
      </c>
      <c r="D941" s="826"/>
      <c r="E941" s="692"/>
      <c r="G941" s="781"/>
      <c r="H941" s="782"/>
    </row>
    <row r="942" spans="1:8">
      <c r="A942" s="457"/>
      <c r="B942" s="704" t="s">
        <v>944</v>
      </c>
      <c r="C942" s="705">
        <v>12430000</v>
      </c>
      <c r="D942" s="712">
        <f>SUM(D943:D944)</f>
        <v>0</v>
      </c>
      <c r="E942" s="692"/>
      <c r="G942" s="781"/>
      <c r="H942" s="782"/>
    </row>
    <row r="943" spans="1:8">
      <c r="A943" s="457"/>
      <c r="B943" s="709" t="s">
        <v>714</v>
      </c>
      <c r="C943" s="707">
        <v>12431000</v>
      </c>
      <c r="D943" s="826"/>
      <c r="E943" s="692"/>
      <c r="G943" s="781"/>
      <c r="H943" s="782"/>
    </row>
    <row r="944" spans="1:8">
      <c r="A944" s="457"/>
      <c r="B944" s="709" t="s">
        <v>83</v>
      </c>
      <c r="C944" s="707">
        <v>12432000</v>
      </c>
      <c r="D944" s="826"/>
      <c r="E944" s="692"/>
      <c r="G944" s="781"/>
      <c r="H944" s="782"/>
    </row>
    <row r="945" spans="1:8" ht="25.5">
      <c r="A945" s="457"/>
      <c r="B945" s="704" t="s">
        <v>945</v>
      </c>
      <c r="C945" s="705">
        <v>12440000</v>
      </c>
      <c r="D945" s="712">
        <f>SUM(D946:D947)</f>
        <v>0</v>
      </c>
      <c r="E945" s="692"/>
      <c r="G945" s="781"/>
      <c r="H945" s="782"/>
    </row>
    <row r="946" spans="1:8">
      <c r="A946" s="457"/>
      <c r="B946" s="709" t="s">
        <v>714</v>
      </c>
      <c r="C946" s="707">
        <v>12441000</v>
      </c>
      <c r="D946" s="826"/>
      <c r="E946" s="692"/>
      <c r="G946" s="781"/>
      <c r="H946" s="782"/>
    </row>
    <row r="947" spans="1:8">
      <c r="A947" s="457"/>
      <c r="B947" s="709" t="s">
        <v>83</v>
      </c>
      <c r="C947" s="707">
        <v>12442000</v>
      </c>
      <c r="D947" s="826"/>
      <c r="E947" s="692"/>
      <c r="G947" s="781"/>
      <c r="H947" s="782"/>
    </row>
    <row r="948" spans="1:8">
      <c r="A948" s="457"/>
      <c r="B948" s="704" t="s">
        <v>827</v>
      </c>
      <c r="C948" s="705">
        <v>12450000</v>
      </c>
      <c r="D948" s="712">
        <f>SUM(D949,D952)</f>
        <v>0</v>
      </c>
      <c r="E948" s="692"/>
      <c r="G948" s="781"/>
      <c r="H948" s="782"/>
    </row>
    <row r="949" spans="1:8">
      <c r="A949" s="457"/>
      <c r="B949" s="709" t="s">
        <v>762</v>
      </c>
      <c r="C949" s="707">
        <v>12451000</v>
      </c>
      <c r="D949" s="712">
        <f>SUM(D950:D951)</f>
        <v>0</v>
      </c>
      <c r="E949" s="692"/>
      <c r="G949" s="781"/>
      <c r="H949" s="782"/>
    </row>
    <row r="950" spans="1:8">
      <c r="A950" s="457"/>
      <c r="B950" s="718" t="s">
        <v>714</v>
      </c>
      <c r="C950" s="707">
        <v>12451100</v>
      </c>
      <c r="D950" s="826"/>
      <c r="E950" s="692"/>
      <c r="G950" s="781"/>
      <c r="H950" s="782"/>
    </row>
    <row r="951" spans="1:8">
      <c r="A951" s="457"/>
      <c r="B951" s="718" t="s">
        <v>83</v>
      </c>
      <c r="C951" s="707">
        <v>12451200</v>
      </c>
      <c r="D951" s="826"/>
      <c r="E951" s="692"/>
      <c r="G951" s="781"/>
      <c r="H951" s="782"/>
    </row>
    <row r="952" spans="1:8">
      <c r="A952" s="457"/>
      <c r="B952" s="709" t="s">
        <v>55</v>
      </c>
      <c r="C952" s="707">
        <v>12452000</v>
      </c>
      <c r="D952" s="712">
        <f>SUM(D953:D954)</f>
        <v>0</v>
      </c>
      <c r="E952" s="692"/>
      <c r="G952" s="781"/>
      <c r="H952" s="782"/>
    </row>
    <row r="953" spans="1:8">
      <c r="A953" s="457"/>
      <c r="B953" s="718" t="s">
        <v>714</v>
      </c>
      <c r="C953" s="707">
        <v>12452100</v>
      </c>
      <c r="D953" s="826"/>
      <c r="E953" s="692"/>
      <c r="G953" s="781"/>
      <c r="H953" s="782"/>
    </row>
    <row r="954" spans="1:8">
      <c r="A954" s="457"/>
      <c r="B954" s="718" t="s">
        <v>83</v>
      </c>
      <c r="C954" s="707">
        <v>12452200</v>
      </c>
      <c r="D954" s="826"/>
      <c r="E954" s="692"/>
      <c r="G954" s="781"/>
      <c r="H954" s="782"/>
    </row>
    <row r="955" spans="1:8">
      <c r="A955" s="457"/>
      <c r="B955" s="704" t="s">
        <v>900</v>
      </c>
      <c r="C955" s="705">
        <v>12460000</v>
      </c>
      <c r="D955" s="712">
        <f>SUM(D956,D959,D966,D969,D972)</f>
        <v>0</v>
      </c>
      <c r="E955" s="692"/>
      <c r="G955" s="781"/>
      <c r="H955" s="782"/>
    </row>
    <row r="956" spans="1:8">
      <c r="A956" s="457"/>
      <c r="B956" s="709" t="s">
        <v>796</v>
      </c>
      <c r="C956" s="707">
        <v>12461000</v>
      </c>
      <c r="D956" s="712">
        <f>SUM(D957:D958)</f>
        <v>0</v>
      </c>
      <c r="E956" s="692"/>
      <c r="G956" s="781"/>
      <c r="H956" s="782"/>
    </row>
    <row r="957" spans="1:8">
      <c r="A957" s="457"/>
      <c r="B957" s="718" t="s">
        <v>714</v>
      </c>
      <c r="C957" s="707">
        <v>12461100</v>
      </c>
      <c r="D957" s="826"/>
      <c r="E957" s="692"/>
      <c r="G957" s="781"/>
      <c r="H957" s="782"/>
    </row>
    <row r="958" spans="1:8">
      <c r="A958" s="457"/>
      <c r="B958" s="718" t="s">
        <v>83</v>
      </c>
      <c r="C958" s="707">
        <v>12461200</v>
      </c>
      <c r="D958" s="826"/>
      <c r="E958" s="692"/>
      <c r="G958" s="781"/>
      <c r="H958" s="782"/>
    </row>
    <row r="959" spans="1:8">
      <c r="A959" s="457"/>
      <c r="B959" s="709" t="s">
        <v>799</v>
      </c>
      <c r="C959" s="707">
        <v>12462000</v>
      </c>
      <c r="D959" s="712">
        <f>SUM(D960,D963)</f>
        <v>0</v>
      </c>
      <c r="E959" s="692"/>
      <c r="G959" s="781"/>
      <c r="H959" s="782"/>
    </row>
    <row r="960" spans="1:8">
      <c r="A960" s="457"/>
      <c r="B960" s="718" t="s">
        <v>714</v>
      </c>
      <c r="C960" s="707">
        <v>12462100</v>
      </c>
      <c r="D960" s="712">
        <f>SUM(D961:D962)</f>
        <v>0</v>
      </c>
      <c r="E960" s="692"/>
      <c r="G960" s="781"/>
      <c r="H960" s="782"/>
    </row>
    <row r="961" spans="1:8">
      <c r="A961" s="457"/>
      <c r="B961" s="759" t="s">
        <v>52</v>
      </c>
      <c r="C961" s="707">
        <v>12462110</v>
      </c>
      <c r="D961" s="826"/>
      <c r="E961" s="692"/>
      <c r="G961" s="781"/>
      <c r="H961" s="782"/>
    </row>
    <row r="962" spans="1:8">
      <c r="A962" s="457"/>
      <c r="B962" s="759" t="s">
        <v>801</v>
      </c>
      <c r="C962" s="707">
        <v>12462120</v>
      </c>
      <c r="D962" s="826"/>
      <c r="E962" s="692"/>
      <c r="G962" s="781"/>
      <c r="H962" s="782"/>
    </row>
    <row r="963" spans="1:8">
      <c r="A963" s="457"/>
      <c r="B963" s="718" t="s">
        <v>83</v>
      </c>
      <c r="C963" s="707">
        <v>12462200</v>
      </c>
      <c r="D963" s="712">
        <f>SUM(D964:D965)</f>
        <v>0</v>
      </c>
      <c r="E963" s="692"/>
      <c r="G963" s="781"/>
      <c r="H963" s="782"/>
    </row>
    <row r="964" spans="1:8">
      <c r="A964" s="457"/>
      <c r="B964" s="759" t="s">
        <v>52</v>
      </c>
      <c r="C964" s="707">
        <v>12462210</v>
      </c>
      <c r="D964" s="826"/>
      <c r="E964" s="692"/>
      <c r="G964" s="781"/>
      <c r="H964" s="782"/>
    </row>
    <row r="965" spans="1:8">
      <c r="A965" s="457"/>
      <c r="B965" s="759" t="s">
        <v>801</v>
      </c>
      <c r="C965" s="707">
        <v>12462220</v>
      </c>
      <c r="D965" s="826"/>
      <c r="E965" s="692"/>
      <c r="G965" s="781"/>
      <c r="H965" s="782"/>
    </row>
    <row r="966" spans="1:8">
      <c r="A966" s="457"/>
      <c r="B966" s="709" t="s">
        <v>54</v>
      </c>
      <c r="C966" s="707">
        <v>12463000</v>
      </c>
      <c r="D966" s="712">
        <f>SUM(D967:D968)</f>
        <v>0</v>
      </c>
      <c r="E966" s="692"/>
      <c r="G966" s="781"/>
      <c r="H966" s="782"/>
    </row>
    <row r="967" spans="1:8">
      <c r="A967" s="457"/>
      <c r="B967" s="718" t="s">
        <v>714</v>
      </c>
      <c r="C967" s="707">
        <v>12463100</v>
      </c>
      <c r="D967" s="826"/>
      <c r="E967" s="692"/>
      <c r="G967" s="781"/>
      <c r="H967" s="782"/>
    </row>
    <row r="968" spans="1:8">
      <c r="A968" s="457"/>
      <c r="B968" s="718" t="s">
        <v>83</v>
      </c>
      <c r="C968" s="707">
        <v>12463200</v>
      </c>
      <c r="D968" s="826"/>
      <c r="E968" s="692"/>
      <c r="G968" s="781"/>
      <c r="H968" s="782"/>
    </row>
    <row r="969" spans="1:8" ht="25.5">
      <c r="A969" s="457"/>
      <c r="B969" s="709" t="s">
        <v>826</v>
      </c>
      <c r="C969" s="707">
        <v>12464000</v>
      </c>
      <c r="D969" s="712">
        <f>SUM(D970:D971)</f>
        <v>0</v>
      </c>
      <c r="E969" s="692"/>
      <c r="G969" s="781"/>
      <c r="H969" s="782"/>
    </row>
    <row r="970" spans="1:8">
      <c r="A970" s="457"/>
      <c r="B970" s="718" t="s">
        <v>714</v>
      </c>
      <c r="C970" s="707">
        <v>12464100</v>
      </c>
      <c r="D970" s="826"/>
      <c r="E970" s="692"/>
      <c r="G970" s="781"/>
      <c r="H970" s="782"/>
    </row>
    <row r="971" spans="1:8">
      <c r="A971" s="457"/>
      <c r="B971" s="718" t="s">
        <v>83</v>
      </c>
      <c r="C971" s="707">
        <v>12464200</v>
      </c>
      <c r="D971" s="826"/>
      <c r="E971" s="692"/>
      <c r="G971" s="781"/>
      <c r="H971" s="782"/>
    </row>
    <row r="972" spans="1:8">
      <c r="A972" s="457"/>
      <c r="B972" s="709" t="s">
        <v>827</v>
      </c>
      <c r="C972" s="707">
        <v>12465000</v>
      </c>
      <c r="D972" s="712">
        <f>SUM(D973:D974)</f>
        <v>0</v>
      </c>
      <c r="E972" s="692"/>
      <c r="G972" s="781"/>
      <c r="H972" s="782"/>
    </row>
    <row r="973" spans="1:8">
      <c r="A973" s="457"/>
      <c r="B973" s="718" t="s">
        <v>714</v>
      </c>
      <c r="C973" s="707">
        <v>12465100</v>
      </c>
      <c r="D973" s="826"/>
      <c r="E973" s="692"/>
      <c r="G973" s="781"/>
      <c r="H973" s="782"/>
    </row>
    <row r="974" spans="1:8">
      <c r="A974" s="457"/>
      <c r="B974" s="718" t="s">
        <v>83</v>
      </c>
      <c r="C974" s="707">
        <v>12465200</v>
      </c>
      <c r="D974" s="826"/>
      <c r="E974" s="692"/>
      <c r="G974" s="781"/>
      <c r="H974" s="782"/>
    </row>
    <row r="975" spans="1:8">
      <c r="A975" s="699"/>
      <c r="B975" s="699" t="s">
        <v>949</v>
      </c>
      <c r="C975" s="700">
        <v>12500000</v>
      </c>
      <c r="D975" s="783">
        <f>SUM(D976,D991,D1012,D1015,D1018,D1025)</f>
        <v>0</v>
      </c>
      <c r="E975" s="692"/>
      <c r="G975" s="781"/>
      <c r="H975" s="782"/>
    </row>
    <row r="976" spans="1:8">
      <c r="A976" s="457"/>
      <c r="B976" s="704" t="s">
        <v>891</v>
      </c>
      <c r="C976" s="705">
        <v>12510000</v>
      </c>
      <c r="D976" s="712">
        <f>SUM(D977,D984)</f>
        <v>0</v>
      </c>
      <c r="E976" s="692"/>
      <c r="G976" s="781"/>
      <c r="H976" s="782"/>
    </row>
    <row r="977" spans="1:8">
      <c r="A977" s="457"/>
      <c r="B977" s="709" t="s">
        <v>714</v>
      </c>
      <c r="C977" s="707">
        <v>12511000</v>
      </c>
      <c r="D977" s="712">
        <f>SUM(D978:D983)</f>
        <v>0</v>
      </c>
      <c r="E977" s="692"/>
      <c r="G977" s="781"/>
      <c r="H977" s="782"/>
    </row>
    <row r="978" spans="1:8">
      <c r="A978" s="457"/>
      <c r="B978" s="718" t="s">
        <v>746</v>
      </c>
      <c r="C978" s="707">
        <v>12511100</v>
      </c>
      <c r="D978" s="826"/>
      <c r="E978" s="692"/>
      <c r="G978" s="781"/>
      <c r="H978" s="782"/>
    </row>
    <row r="979" spans="1:8">
      <c r="A979" s="457"/>
      <c r="B979" s="718" t="s">
        <v>892</v>
      </c>
      <c r="C979" s="707">
        <v>12511200</v>
      </c>
      <c r="D979" s="826"/>
      <c r="E979" s="692"/>
      <c r="G979" s="781"/>
      <c r="H979" s="782"/>
    </row>
    <row r="980" spans="1:8">
      <c r="A980" s="457"/>
      <c r="B980" s="718" t="s">
        <v>893</v>
      </c>
      <c r="C980" s="707">
        <v>12511300</v>
      </c>
      <c r="D980" s="826"/>
      <c r="E980" s="692"/>
      <c r="G980" s="781"/>
      <c r="H980" s="782"/>
    </row>
    <row r="981" spans="1:8">
      <c r="A981" s="457"/>
      <c r="B981" s="718" t="s">
        <v>751</v>
      </c>
      <c r="C981" s="707">
        <v>12511400</v>
      </c>
      <c r="D981" s="826"/>
      <c r="E981" s="692"/>
      <c r="G981" s="781"/>
      <c r="H981" s="782"/>
    </row>
    <row r="982" spans="1:8">
      <c r="A982" s="457"/>
      <c r="B982" s="718" t="s">
        <v>752</v>
      </c>
      <c r="C982" s="707">
        <v>12511500</v>
      </c>
      <c r="D982" s="826"/>
      <c r="E982" s="692"/>
      <c r="G982" s="781"/>
      <c r="H982" s="782"/>
    </row>
    <row r="983" spans="1:8">
      <c r="A983" s="457"/>
      <c r="B983" s="718" t="s">
        <v>53</v>
      </c>
      <c r="C983" s="707">
        <v>12511600</v>
      </c>
      <c r="D983" s="826"/>
      <c r="E983" s="692"/>
      <c r="G983" s="781"/>
      <c r="H983" s="782"/>
    </row>
    <row r="984" spans="1:8">
      <c r="A984" s="457"/>
      <c r="B984" s="709" t="s">
        <v>83</v>
      </c>
      <c r="C984" s="707">
        <v>12512000</v>
      </c>
      <c r="D984" s="712">
        <f>SUM(D985:D990)</f>
        <v>0</v>
      </c>
      <c r="E984" s="692"/>
      <c r="G984" s="781"/>
      <c r="H984" s="782"/>
    </row>
    <row r="985" spans="1:8">
      <c r="A985" s="457"/>
      <c r="B985" s="718" t="s">
        <v>746</v>
      </c>
      <c r="C985" s="707">
        <v>12512100</v>
      </c>
      <c r="D985" s="826"/>
      <c r="E985" s="692"/>
      <c r="G985" s="781"/>
      <c r="H985" s="782"/>
    </row>
    <row r="986" spans="1:8">
      <c r="A986" s="457"/>
      <c r="B986" s="718" t="s">
        <v>892</v>
      </c>
      <c r="C986" s="707">
        <v>12512200</v>
      </c>
      <c r="D986" s="826"/>
      <c r="E986" s="692"/>
      <c r="G986" s="781"/>
      <c r="H986" s="782"/>
    </row>
    <row r="987" spans="1:8">
      <c r="A987" s="457"/>
      <c r="B987" s="718" t="s">
        <v>893</v>
      </c>
      <c r="C987" s="707">
        <v>12512300</v>
      </c>
      <c r="D987" s="826"/>
      <c r="E987" s="692"/>
      <c r="G987" s="781"/>
      <c r="H987" s="782"/>
    </row>
    <row r="988" spans="1:8">
      <c r="A988" s="457"/>
      <c r="B988" s="718" t="s">
        <v>751</v>
      </c>
      <c r="C988" s="707">
        <v>12512400</v>
      </c>
      <c r="D988" s="826"/>
      <c r="E988" s="692"/>
      <c r="G988" s="781"/>
      <c r="H988" s="782"/>
    </row>
    <row r="989" spans="1:8">
      <c r="A989" s="457"/>
      <c r="B989" s="718" t="s">
        <v>752</v>
      </c>
      <c r="C989" s="707">
        <v>12512500</v>
      </c>
      <c r="D989" s="826"/>
      <c r="E989" s="692"/>
      <c r="G989" s="781"/>
      <c r="H989" s="782"/>
    </row>
    <row r="990" spans="1:8">
      <c r="A990" s="457"/>
      <c r="B990" s="718" t="s">
        <v>53</v>
      </c>
      <c r="C990" s="707">
        <v>12512600</v>
      </c>
      <c r="D990" s="826"/>
      <c r="E990" s="692"/>
      <c r="G990" s="781"/>
      <c r="H990" s="782"/>
    </row>
    <row r="991" spans="1:8">
      <c r="A991" s="457"/>
      <c r="B991" s="704" t="s">
        <v>895</v>
      </c>
      <c r="C991" s="705">
        <v>12520000</v>
      </c>
      <c r="D991" s="712">
        <f>SUM(D992,D1001)</f>
        <v>0</v>
      </c>
      <c r="E991" s="692"/>
      <c r="G991" s="781"/>
      <c r="H991" s="782"/>
    </row>
    <row r="992" spans="1:8">
      <c r="A992" s="457"/>
      <c r="B992" s="709" t="s">
        <v>896</v>
      </c>
      <c r="C992" s="707">
        <v>12521000</v>
      </c>
      <c r="D992" s="712">
        <f>SUM(D993,D997)</f>
        <v>0</v>
      </c>
      <c r="E992" s="692"/>
      <c r="G992" s="781"/>
      <c r="H992" s="782"/>
    </row>
    <row r="993" spans="1:8">
      <c r="A993" s="457"/>
      <c r="B993" s="718" t="s">
        <v>714</v>
      </c>
      <c r="C993" s="707">
        <v>12521100</v>
      </c>
      <c r="D993" s="712">
        <f>SUM(D994:D996)</f>
        <v>0</v>
      </c>
      <c r="E993" s="692"/>
      <c r="G993" s="781"/>
      <c r="H993" s="782"/>
    </row>
    <row r="994" spans="1:8">
      <c r="A994" s="457"/>
      <c r="B994" s="759" t="s">
        <v>939</v>
      </c>
      <c r="C994" s="707">
        <v>12521110</v>
      </c>
      <c r="D994" s="826"/>
      <c r="E994" s="692"/>
      <c r="G994" s="781"/>
      <c r="H994" s="782"/>
    </row>
    <row r="995" spans="1:8">
      <c r="A995" s="457"/>
      <c r="B995" s="759" t="s">
        <v>940</v>
      </c>
      <c r="C995" s="707">
        <v>12521120</v>
      </c>
      <c r="D995" s="826"/>
      <c r="E995" s="692"/>
      <c r="G995" s="781"/>
      <c r="H995" s="782"/>
    </row>
    <row r="996" spans="1:8">
      <c r="A996" s="457"/>
      <c r="B996" s="759" t="s">
        <v>55</v>
      </c>
      <c r="C996" s="707">
        <v>12521130</v>
      </c>
      <c r="D996" s="826"/>
      <c r="E996" s="692"/>
      <c r="G996" s="781"/>
      <c r="H996" s="782"/>
    </row>
    <row r="997" spans="1:8">
      <c r="A997" s="457"/>
      <c r="B997" s="718" t="s">
        <v>83</v>
      </c>
      <c r="C997" s="707">
        <v>12521200</v>
      </c>
      <c r="D997" s="712">
        <f>SUM(D998:D1000)</f>
        <v>0</v>
      </c>
      <c r="E997" s="692"/>
      <c r="G997" s="781"/>
      <c r="H997" s="782"/>
    </row>
    <row r="998" spans="1:8">
      <c r="A998" s="457"/>
      <c r="B998" s="759" t="s">
        <v>939</v>
      </c>
      <c r="C998" s="707">
        <v>12521210</v>
      </c>
      <c r="D998" s="826"/>
      <c r="E998" s="692"/>
      <c r="G998" s="781"/>
      <c r="H998" s="782"/>
    </row>
    <row r="999" spans="1:8">
      <c r="A999" s="457"/>
      <c r="B999" s="759" t="s">
        <v>940</v>
      </c>
      <c r="C999" s="707">
        <v>12521220</v>
      </c>
      <c r="D999" s="826"/>
      <c r="E999" s="692"/>
      <c r="G999" s="781"/>
      <c r="H999" s="782"/>
    </row>
    <row r="1000" spans="1:8">
      <c r="A1000" s="457"/>
      <c r="B1000" s="759" t="s">
        <v>55</v>
      </c>
      <c r="C1000" s="707">
        <v>12521230</v>
      </c>
      <c r="D1000" s="826"/>
      <c r="E1000" s="692"/>
      <c r="G1000" s="781"/>
      <c r="H1000" s="782"/>
    </row>
    <row r="1001" spans="1:8">
      <c r="A1001" s="457"/>
      <c r="B1001" s="709" t="s">
        <v>801</v>
      </c>
      <c r="C1001" s="707">
        <v>12522000</v>
      </c>
      <c r="D1001" s="712">
        <f>SUM(D1002,D1007)</f>
        <v>0</v>
      </c>
      <c r="E1001" s="692"/>
      <c r="G1001" s="781"/>
      <c r="H1001" s="782"/>
    </row>
    <row r="1002" spans="1:8">
      <c r="A1002" s="457"/>
      <c r="B1002" s="718" t="s">
        <v>714</v>
      </c>
      <c r="C1002" s="707">
        <v>12522100</v>
      </c>
      <c r="D1002" s="712">
        <f>SUM(D1003:D1006)</f>
        <v>0</v>
      </c>
      <c r="E1002" s="692"/>
      <c r="G1002" s="781"/>
      <c r="H1002" s="782"/>
    </row>
    <row r="1003" spans="1:8">
      <c r="A1003" s="457"/>
      <c r="B1003" s="759" t="s">
        <v>941</v>
      </c>
      <c r="C1003" s="707">
        <v>12522110</v>
      </c>
      <c r="D1003" s="826"/>
      <c r="E1003" s="692"/>
      <c r="G1003" s="781"/>
      <c r="H1003" s="782"/>
    </row>
    <row r="1004" spans="1:8">
      <c r="A1004" s="457"/>
      <c r="B1004" s="759" t="s">
        <v>942</v>
      </c>
      <c r="C1004" s="707">
        <v>12522120</v>
      </c>
      <c r="D1004" s="826"/>
      <c r="E1004" s="692"/>
      <c r="G1004" s="781"/>
      <c r="H1004" s="782"/>
    </row>
    <row r="1005" spans="1:8">
      <c r="A1005" s="457"/>
      <c r="B1005" s="759" t="s">
        <v>943</v>
      </c>
      <c r="C1005" s="707">
        <v>12522130</v>
      </c>
      <c r="D1005" s="826"/>
      <c r="E1005" s="692"/>
      <c r="G1005" s="781"/>
      <c r="H1005" s="782"/>
    </row>
    <row r="1006" spans="1:8">
      <c r="A1006" s="457"/>
      <c r="B1006" s="759" t="s">
        <v>55</v>
      </c>
      <c r="C1006" s="707">
        <v>12522140</v>
      </c>
      <c r="D1006" s="826"/>
      <c r="E1006" s="692"/>
      <c r="G1006" s="781"/>
      <c r="H1006" s="782"/>
    </row>
    <row r="1007" spans="1:8">
      <c r="A1007" s="457"/>
      <c r="B1007" s="718" t="s">
        <v>83</v>
      </c>
      <c r="C1007" s="707">
        <v>12522200</v>
      </c>
      <c r="D1007" s="712">
        <f>SUM(D1008:D1011)</f>
        <v>0</v>
      </c>
      <c r="E1007" s="692"/>
      <c r="G1007" s="781"/>
      <c r="H1007" s="782"/>
    </row>
    <row r="1008" spans="1:8">
      <c r="A1008" s="457"/>
      <c r="B1008" s="759" t="s">
        <v>941</v>
      </c>
      <c r="C1008" s="707">
        <v>12522210</v>
      </c>
      <c r="D1008" s="826"/>
      <c r="E1008" s="692"/>
      <c r="G1008" s="781"/>
      <c r="H1008" s="782"/>
    </row>
    <row r="1009" spans="1:8">
      <c r="A1009" s="457"/>
      <c r="B1009" s="759" t="s">
        <v>942</v>
      </c>
      <c r="C1009" s="707">
        <v>12522220</v>
      </c>
      <c r="D1009" s="826"/>
      <c r="E1009" s="692"/>
      <c r="G1009" s="781"/>
      <c r="H1009" s="782"/>
    </row>
    <row r="1010" spans="1:8">
      <c r="A1010" s="457"/>
      <c r="B1010" s="759" t="s">
        <v>943</v>
      </c>
      <c r="C1010" s="707">
        <v>12522230</v>
      </c>
      <c r="D1010" s="826"/>
      <c r="E1010" s="692"/>
      <c r="G1010" s="781"/>
      <c r="H1010" s="782"/>
    </row>
    <row r="1011" spans="1:8">
      <c r="A1011" s="457"/>
      <c r="B1011" s="759" t="s">
        <v>55</v>
      </c>
      <c r="C1011" s="707">
        <v>12522240</v>
      </c>
      <c r="D1011" s="826"/>
      <c r="E1011" s="692"/>
      <c r="G1011" s="781"/>
      <c r="H1011" s="782"/>
    </row>
    <row r="1012" spans="1:8">
      <c r="A1012" s="457"/>
      <c r="B1012" s="704" t="s">
        <v>944</v>
      </c>
      <c r="C1012" s="705">
        <v>12530000</v>
      </c>
      <c r="D1012" s="712">
        <f>SUM(D1013:D1014)</f>
        <v>0</v>
      </c>
      <c r="E1012" s="692"/>
      <c r="G1012" s="781"/>
      <c r="H1012" s="782"/>
    </row>
    <row r="1013" spans="1:8">
      <c r="A1013" s="457"/>
      <c r="B1013" s="709" t="s">
        <v>714</v>
      </c>
      <c r="C1013" s="707">
        <v>12531000</v>
      </c>
      <c r="D1013" s="826"/>
      <c r="E1013" s="692"/>
      <c r="G1013" s="781"/>
      <c r="H1013" s="782"/>
    </row>
    <row r="1014" spans="1:8">
      <c r="A1014" s="457"/>
      <c r="B1014" s="709" t="s">
        <v>83</v>
      </c>
      <c r="C1014" s="707">
        <v>12532000</v>
      </c>
      <c r="D1014" s="826"/>
      <c r="E1014" s="692"/>
      <c r="G1014" s="781"/>
      <c r="H1014" s="782"/>
    </row>
    <row r="1015" spans="1:8" ht="25.5">
      <c r="A1015" s="457"/>
      <c r="B1015" s="704" t="s">
        <v>945</v>
      </c>
      <c r="C1015" s="705">
        <v>12540000</v>
      </c>
      <c r="D1015" s="712">
        <f>SUM(D1016:D1017)</f>
        <v>0</v>
      </c>
      <c r="E1015" s="692"/>
      <c r="G1015" s="781"/>
      <c r="H1015" s="782"/>
    </row>
    <row r="1016" spans="1:8">
      <c r="A1016" s="457"/>
      <c r="B1016" s="709" t="s">
        <v>714</v>
      </c>
      <c r="C1016" s="707">
        <v>12541000</v>
      </c>
      <c r="D1016" s="826"/>
      <c r="E1016" s="692"/>
      <c r="G1016" s="781"/>
      <c r="H1016" s="782"/>
    </row>
    <row r="1017" spans="1:8">
      <c r="A1017" s="457"/>
      <c r="B1017" s="709" t="s">
        <v>83</v>
      </c>
      <c r="C1017" s="707">
        <v>12542000</v>
      </c>
      <c r="D1017" s="826"/>
      <c r="E1017" s="692"/>
      <c r="G1017" s="781"/>
      <c r="H1017" s="782"/>
    </row>
    <row r="1018" spans="1:8">
      <c r="A1018" s="457"/>
      <c r="B1018" s="704" t="s">
        <v>827</v>
      </c>
      <c r="C1018" s="705">
        <v>12550000</v>
      </c>
      <c r="D1018" s="712">
        <f>SUM(D1019,D1022)</f>
        <v>0</v>
      </c>
      <c r="E1018" s="692"/>
      <c r="G1018" s="781"/>
      <c r="H1018" s="782"/>
    </row>
    <row r="1019" spans="1:8">
      <c r="A1019" s="457"/>
      <c r="B1019" s="709" t="s">
        <v>762</v>
      </c>
      <c r="C1019" s="707">
        <v>12551000</v>
      </c>
      <c r="D1019" s="712">
        <f>SUM(D1020:D1021)</f>
        <v>0</v>
      </c>
      <c r="E1019" s="692"/>
      <c r="G1019" s="781"/>
      <c r="H1019" s="782"/>
    </row>
    <row r="1020" spans="1:8">
      <c r="A1020" s="457"/>
      <c r="B1020" s="718" t="s">
        <v>714</v>
      </c>
      <c r="C1020" s="707">
        <v>12551100</v>
      </c>
      <c r="D1020" s="826"/>
      <c r="E1020" s="692"/>
      <c r="G1020" s="781"/>
      <c r="H1020" s="782"/>
    </row>
    <row r="1021" spans="1:8">
      <c r="A1021" s="457"/>
      <c r="B1021" s="718" t="s">
        <v>83</v>
      </c>
      <c r="C1021" s="707">
        <v>12551200</v>
      </c>
      <c r="D1021" s="826"/>
      <c r="E1021" s="692"/>
      <c r="G1021" s="781"/>
      <c r="H1021" s="782"/>
    </row>
    <row r="1022" spans="1:8">
      <c r="A1022" s="457"/>
      <c r="B1022" s="709" t="s">
        <v>55</v>
      </c>
      <c r="C1022" s="707">
        <v>12552000</v>
      </c>
      <c r="D1022" s="712">
        <f>SUM(D1023:D1024)</f>
        <v>0</v>
      </c>
      <c r="E1022" s="692"/>
      <c r="G1022" s="781"/>
      <c r="H1022" s="782"/>
    </row>
    <row r="1023" spans="1:8">
      <c r="A1023" s="457"/>
      <c r="B1023" s="718" t="s">
        <v>714</v>
      </c>
      <c r="C1023" s="707">
        <v>12552100</v>
      </c>
      <c r="D1023" s="826"/>
      <c r="E1023" s="692"/>
      <c r="G1023" s="781"/>
      <c r="H1023" s="782"/>
    </row>
    <row r="1024" spans="1:8">
      <c r="A1024" s="457"/>
      <c r="B1024" s="718" t="s">
        <v>83</v>
      </c>
      <c r="C1024" s="707">
        <v>12552200</v>
      </c>
      <c r="D1024" s="826"/>
      <c r="E1024" s="692"/>
      <c r="G1024" s="781"/>
      <c r="H1024" s="782"/>
    </row>
    <row r="1025" spans="1:8">
      <c r="A1025" s="457"/>
      <c r="B1025" s="704" t="s">
        <v>900</v>
      </c>
      <c r="C1025" s="705">
        <v>12560000</v>
      </c>
      <c r="D1025" s="712">
        <f>SUM(D1026,D1029,D1036,D1039,D1042)</f>
        <v>0</v>
      </c>
      <c r="E1025" s="692"/>
      <c r="G1025" s="781"/>
      <c r="H1025" s="782"/>
    </row>
    <row r="1026" spans="1:8">
      <c r="A1026" s="457"/>
      <c r="B1026" s="709" t="s">
        <v>796</v>
      </c>
      <c r="C1026" s="707">
        <v>12561000</v>
      </c>
      <c r="D1026" s="712">
        <f>SUM(D1027:D1028)</f>
        <v>0</v>
      </c>
      <c r="E1026" s="692"/>
      <c r="G1026" s="781"/>
      <c r="H1026" s="782"/>
    </row>
    <row r="1027" spans="1:8">
      <c r="A1027" s="457"/>
      <c r="B1027" s="718" t="s">
        <v>714</v>
      </c>
      <c r="C1027" s="707">
        <v>12561100</v>
      </c>
      <c r="D1027" s="826"/>
      <c r="E1027" s="692"/>
      <c r="G1027" s="781"/>
      <c r="H1027" s="782"/>
    </row>
    <row r="1028" spans="1:8">
      <c r="A1028" s="457"/>
      <c r="B1028" s="718" t="s">
        <v>83</v>
      </c>
      <c r="C1028" s="707">
        <v>12561200</v>
      </c>
      <c r="D1028" s="826"/>
      <c r="E1028" s="692"/>
      <c r="G1028" s="781"/>
      <c r="H1028" s="782"/>
    </row>
    <row r="1029" spans="1:8">
      <c r="A1029" s="457"/>
      <c r="B1029" s="709" t="s">
        <v>799</v>
      </c>
      <c r="C1029" s="707">
        <v>12562000</v>
      </c>
      <c r="D1029" s="712">
        <f>SUM(D1030,D1033)</f>
        <v>0</v>
      </c>
      <c r="E1029" s="692"/>
      <c r="G1029" s="781"/>
      <c r="H1029" s="782"/>
    </row>
    <row r="1030" spans="1:8">
      <c r="A1030" s="457"/>
      <c r="B1030" s="718" t="s">
        <v>714</v>
      </c>
      <c r="C1030" s="707">
        <v>12562100</v>
      </c>
      <c r="D1030" s="712">
        <f>SUM(D1031:D1032)</f>
        <v>0</v>
      </c>
      <c r="E1030" s="692"/>
      <c r="G1030" s="781"/>
      <c r="H1030" s="782"/>
    </row>
    <row r="1031" spans="1:8">
      <c r="A1031" s="457"/>
      <c r="B1031" s="759" t="s">
        <v>52</v>
      </c>
      <c r="C1031" s="707">
        <v>12562110</v>
      </c>
      <c r="D1031" s="826"/>
      <c r="E1031" s="692"/>
      <c r="G1031" s="781"/>
      <c r="H1031" s="782"/>
    </row>
    <row r="1032" spans="1:8">
      <c r="A1032" s="457"/>
      <c r="B1032" s="759" t="s">
        <v>801</v>
      </c>
      <c r="C1032" s="707">
        <v>12562120</v>
      </c>
      <c r="D1032" s="826"/>
      <c r="E1032" s="692"/>
      <c r="G1032" s="781"/>
      <c r="H1032" s="782"/>
    </row>
    <row r="1033" spans="1:8">
      <c r="A1033" s="457"/>
      <c r="B1033" s="718" t="s">
        <v>83</v>
      </c>
      <c r="C1033" s="707">
        <v>12562200</v>
      </c>
      <c r="D1033" s="712">
        <f>SUM(D1034:D1035)</f>
        <v>0</v>
      </c>
      <c r="E1033" s="692"/>
      <c r="G1033" s="781"/>
      <c r="H1033" s="782"/>
    </row>
    <row r="1034" spans="1:8">
      <c r="A1034" s="457"/>
      <c r="B1034" s="759" t="s">
        <v>52</v>
      </c>
      <c r="C1034" s="707">
        <v>12562210</v>
      </c>
      <c r="D1034" s="826"/>
      <c r="E1034" s="692"/>
      <c r="G1034" s="781"/>
      <c r="H1034" s="782"/>
    </row>
    <row r="1035" spans="1:8">
      <c r="A1035" s="457"/>
      <c r="B1035" s="759" t="s">
        <v>801</v>
      </c>
      <c r="C1035" s="707">
        <v>12562220</v>
      </c>
      <c r="D1035" s="826"/>
      <c r="E1035" s="692"/>
      <c r="G1035" s="781"/>
      <c r="H1035" s="782"/>
    </row>
    <row r="1036" spans="1:8">
      <c r="A1036" s="457"/>
      <c r="B1036" s="709" t="s">
        <v>54</v>
      </c>
      <c r="C1036" s="707">
        <v>12563000</v>
      </c>
      <c r="D1036" s="712">
        <f>SUM(D1037:D1038)</f>
        <v>0</v>
      </c>
      <c r="E1036" s="692"/>
      <c r="G1036" s="781"/>
      <c r="H1036" s="782"/>
    </row>
    <row r="1037" spans="1:8">
      <c r="A1037" s="457"/>
      <c r="B1037" s="718" t="s">
        <v>714</v>
      </c>
      <c r="C1037" s="707">
        <v>12563100</v>
      </c>
      <c r="D1037" s="826"/>
      <c r="E1037" s="692"/>
      <c r="G1037" s="781"/>
      <c r="H1037" s="782"/>
    </row>
    <row r="1038" spans="1:8">
      <c r="A1038" s="457"/>
      <c r="B1038" s="718" t="s">
        <v>83</v>
      </c>
      <c r="C1038" s="707">
        <v>12563200</v>
      </c>
      <c r="D1038" s="826"/>
      <c r="E1038" s="692"/>
      <c r="G1038" s="781"/>
      <c r="H1038" s="782"/>
    </row>
    <row r="1039" spans="1:8" ht="25.5">
      <c r="A1039" s="457"/>
      <c r="B1039" s="709" t="s">
        <v>826</v>
      </c>
      <c r="C1039" s="707">
        <v>12564000</v>
      </c>
      <c r="D1039" s="712">
        <f>SUM(D1040:D1041)</f>
        <v>0</v>
      </c>
      <c r="E1039" s="692"/>
      <c r="G1039" s="781"/>
      <c r="H1039" s="782"/>
    </row>
    <row r="1040" spans="1:8">
      <c r="A1040" s="457"/>
      <c r="B1040" s="718" t="s">
        <v>714</v>
      </c>
      <c r="C1040" s="707">
        <v>12564100</v>
      </c>
      <c r="D1040" s="826"/>
      <c r="E1040" s="692"/>
      <c r="G1040" s="781"/>
      <c r="H1040" s="782"/>
    </row>
    <row r="1041" spans="1:8">
      <c r="A1041" s="457"/>
      <c r="B1041" s="718" t="s">
        <v>83</v>
      </c>
      <c r="C1041" s="707">
        <v>12564200</v>
      </c>
      <c r="D1041" s="826"/>
      <c r="E1041" s="692"/>
      <c r="G1041" s="781"/>
      <c r="H1041" s="782"/>
    </row>
    <row r="1042" spans="1:8">
      <c r="A1042" s="457"/>
      <c r="B1042" s="709" t="s">
        <v>827</v>
      </c>
      <c r="C1042" s="707">
        <v>12565000</v>
      </c>
      <c r="D1042" s="712">
        <f>SUM(D1043:D1044)</f>
        <v>0</v>
      </c>
      <c r="E1042" s="692"/>
      <c r="G1042" s="781"/>
      <c r="H1042" s="782"/>
    </row>
    <row r="1043" spans="1:8">
      <c r="A1043" s="457"/>
      <c r="B1043" s="718" t="s">
        <v>714</v>
      </c>
      <c r="C1043" s="707">
        <v>12565100</v>
      </c>
      <c r="D1043" s="826"/>
      <c r="E1043" s="14"/>
      <c r="G1043" s="781"/>
      <c r="H1043" s="782"/>
    </row>
    <row r="1044" spans="1:8">
      <c r="A1044" s="457"/>
      <c r="B1044" s="718" t="s">
        <v>83</v>
      </c>
      <c r="C1044" s="707">
        <v>12565200</v>
      </c>
      <c r="D1044" s="826"/>
      <c r="E1044" s="692"/>
      <c r="G1044" s="781"/>
      <c r="H1044" s="782"/>
    </row>
    <row r="1045" spans="1:8">
      <c r="A1045" s="776"/>
      <c r="B1045" s="784" t="s">
        <v>950</v>
      </c>
      <c r="C1045" s="785">
        <v>12600000</v>
      </c>
      <c r="D1045" s="952">
        <f>SUM(D1046,D1049,D1056,D1059,D1062)</f>
        <v>0</v>
      </c>
      <c r="E1045" s="692"/>
      <c r="G1045" s="781"/>
      <c r="H1045" s="782"/>
    </row>
    <row r="1046" spans="1:8">
      <c r="A1046" s="460"/>
      <c r="B1046" s="752" t="s">
        <v>796</v>
      </c>
      <c r="C1046" s="707">
        <v>12610000</v>
      </c>
      <c r="D1046" s="803">
        <f>SUM(D1047:D1048)</f>
        <v>0</v>
      </c>
      <c r="E1046" s="692"/>
      <c r="G1046" s="781"/>
      <c r="H1046" s="782"/>
    </row>
    <row r="1047" spans="1:8">
      <c r="A1047" s="460"/>
      <c r="B1047" s="541" t="s">
        <v>714</v>
      </c>
      <c r="C1047" s="707">
        <v>12611000</v>
      </c>
      <c r="D1047" s="830"/>
      <c r="E1047" s="692"/>
      <c r="G1047" s="781"/>
      <c r="H1047" s="782"/>
    </row>
    <row r="1048" spans="1:8">
      <c r="A1048" s="460"/>
      <c r="B1048" s="541" t="s">
        <v>83</v>
      </c>
      <c r="C1048" s="707">
        <v>12612000</v>
      </c>
      <c r="D1048" s="830"/>
      <c r="E1048" s="692"/>
      <c r="G1048" s="781"/>
      <c r="H1048" s="782"/>
    </row>
    <row r="1049" spans="1:8">
      <c r="A1049" s="460"/>
      <c r="B1049" s="752" t="s">
        <v>799</v>
      </c>
      <c r="C1049" s="707">
        <v>12620000</v>
      </c>
      <c r="D1049" s="803">
        <f>SUM(D1050,D1053)</f>
        <v>0</v>
      </c>
      <c r="E1049" s="692"/>
      <c r="G1049" s="781"/>
      <c r="H1049" s="782"/>
    </row>
    <row r="1050" spans="1:8">
      <c r="A1050" s="460"/>
      <c r="B1050" s="541" t="s">
        <v>714</v>
      </c>
      <c r="C1050" s="707">
        <v>12621000</v>
      </c>
      <c r="D1050" s="803">
        <f>SUM(D1051:D1052)</f>
        <v>0</v>
      </c>
      <c r="E1050" s="692"/>
      <c r="G1050" s="781"/>
      <c r="H1050" s="782"/>
    </row>
    <row r="1051" spans="1:8">
      <c r="A1051" s="460"/>
      <c r="B1051" s="756" t="s">
        <v>52</v>
      </c>
      <c r="C1051" s="707">
        <v>12621100</v>
      </c>
      <c r="D1051" s="830"/>
      <c r="E1051" s="692"/>
      <c r="G1051" s="781"/>
      <c r="H1051" s="782"/>
    </row>
    <row r="1052" spans="1:8">
      <c r="A1052" s="460"/>
      <c r="B1052" s="756" t="s">
        <v>801</v>
      </c>
      <c r="C1052" s="707">
        <v>12621200</v>
      </c>
      <c r="D1052" s="830"/>
      <c r="E1052" s="692"/>
      <c r="G1052" s="781"/>
      <c r="H1052" s="782"/>
    </row>
    <row r="1053" spans="1:8">
      <c r="A1053" s="460"/>
      <c r="B1053" s="541" t="s">
        <v>83</v>
      </c>
      <c r="C1053" s="707">
        <v>12622000</v>
      </c>
      <c r="D1053" s="803">
        <f>SUM(D1054:D1055)</f>
        <v>0</v>
      </c>
      <c r="E1053" s="692"/>
      <c r="G1053" s="781"/>
      <c r="H1053" s="782"/>
    </row>
    <row r="1054" spans="1:8">
      <c r="A1054" s="460"/>
      <c r="B1054" s="756" t="s">
        <v>52</v>
      </c>
      <c r="C1054" s="707">
        <v>12622100</v>
      </c>
      <c r="D1054" s="830"/>
      <c r="E1054" s="692"/>
      <c r="G1054" s="781"/>
      <c r="H1054" s="782"/>
    </row>
    <row r="1055" spans="1:8">
      <c r="A1055" s="460"/>
      <c r="B1055" s="756" t="s">
        <v>801</v>
      </c>
      <c r="C1055" s="707">
        <v>12622200</v>
      </c>
      <c r="D1055" s="830"/>
      <c r="E1055" s="692"/>
      <c r="G1055" s="781"/>
      <c r="H1055" s="782"/>
    </row>
    <row r="1056" spans="1:8">
      <c r="A1056" s="460"/>
      <c r="B1056" s="752" t="s">
        <v>54</v>
      </c>
      <c r="C1056" s="707">
        <v>12630000</v>
      </c>
      <c r="D1056" s="803">
        <f>SUM(D1057:D1058)</f>
        <v>0</v>
      </c>
      <c r="E1056" s="692"/>
      <c r="G1056" s="781"/>
      <c r="H1056" s="782"/>
    </row>
    <row r="1057" spans="1:8">
      <c r="A1057" s="460"/>
      <c r="B1057" s="541" t="s">
        <v>714</v>
      </c>
      <c r="C1057" s="707">
        <v>12631000</v>
      </c>
      <c r="D1057" s="830"/>
      <c r="E1057" s="692"/>
      <c r="G1057" s="781"/>
      <c r="H1057" s="782"/>
    </row>
    <row r="1058" spans="1:8">
      <c r="A1058" s="460"/>
      <c r="B1058" s="541" t="s">
        <v>83</v>
      </c>
      <c r="C1058" s="707">
        <v>12632000</v>
      </c>
      <c r="D1058" s="830"/>
      <c r="E1058" s="692"/>
      <c r="G1058" s="781"/>
      <c r="H1058" s="782"/>
    </row>
    <row r="1059" spans="1:8" ht="25.5">
      <c r="A1059" s="460"/>
      <c r="B1059" s="752" t="s">
        <v>826</v>
      </c>
      <c r="C1059" s="707">
        <v>12640000</v>
      </c>
      <c r="D1059" s="803">
        <f>SUM(D1060:D1061)</f>
        <v>0</v>
      </c>
      <c r="E1059" s="692"/>
      <c r="G1059" s="781"/>
      <c r="H1059" s="782"/>
    </row>
    <row r="1060" spans="1:8">
      <c r="A1060" s="460"/>
      <c r="B1060" s="541" t="s">
        <v>714</v>
      </c>
      <c r="C1060" s="707">
        <v>12641000</v>
      </c>
      <c r="D1060" s="830"/>
      <c r="E1060" s="692"/>
      <c r="G1060" s="781"/>
      <c r="H1060" s="782"/>
    </row>
    <row r="1061" spans="1:8">
      <c r="A1061" s="460"/>
      <c r="B1061" s="541" t="s">
        <v>83</v>
      </c>
      <c r="C1061" s="707">
        <v>12642000</v>
      </c>
      <c r="D1061" s="830"/>
      <c r="E1061" s="692"/>
      <c r="G1061" s="781"/>
      <c r="H1061" s="782"/>
    </row>
    <row r="1062" spans="1:8">
      <c r="A1062" s="460"/>
      <c r="B1062" s="752" t="s">
        <v>827</v>
      </c>
      <c r="C1062" s="707">
        <v>12650000</v>
      </c>
      <c r="D1062" s="803">
        <f>SUM(D1063:D1064)</f>
        <v>0</v>
      </c>
      <c r="E1062" s="692"/>
      <c r="G1062" s="781"/>
      <c r="H1062" s="782"/>
    </row>
    <row r="1063" spans="1:8">
      <c r="A1063" s="460"/>
      <c r="B1063" s="541" t="s">
        <v>714</v>
      </c>
      <c r="C1063" s="707">
        <v>12651000</v>
      </c>
      <c r="D1063" s="830"/>
      <c r="E1063" s="14"/>
      <c r="G1063" s="781"/>
      <c r="H1063" s="782"/>
    </row>
    <row r="1064" spans="1:8">
      <c r="A1064" s="460"/>
      <c r="B1064" s="541" t="s">
        <v>83</v>
      </c>
      <c r="C1064" s="707">
        <v>12652000</v>
      </c>
      <c r="D1064" s="830"/>
      <c r="E1064" s="692"/>
      <c r="G1064" s="781"/>
      <c r="H1064" s="782"/>
    </row>
    <row r="1065" spans="1:8">
      <c r="A1065" s="714"/>
      <c r="B1065" s="714" t="s">
        <v>951</v>
      </c>
      <c r="C1065" s="702">
        <v>12700000</v>
      </c>
      <c r="D1065" s="715">
        <f>SUM(D1066,D1069,D1076,D1079,D1082)</f>
        <v>0</v>
      </c>
      <c r="E1065" s="692"/>
      <c r="G1065" s="781"/>
      <c r="H1065" s="782"/>
    </row>
    <row r="1066" spans="1:8">
      <c r="A1066" s="457"/>
      <c r="B1066" s="754" t="s">
        <v>796</v>
      </c>
      <c r="C1066" s="707">
        <v>12710000</v>
      </c>
      <c r="D1066" s="712">
        <f>SUM(D1067:D1068)</f>
        <v>0</v>
      </c>
      <c r="E1066" s="692"/>
      <c r="G1066" s="781"/>
      <c r="H1066" s="782"/>
    </row>
    <row r="1067" spans="1:8">
      <c r="A1067" s="457"/>
      <c r="B1067" s="480" t="s">
        <v>714</v>
      </c>
      <c r="C1067" s="707">
        <v>12711000</v>
      </c>
      <c r="D1067" s="826"/>
      <c r="E1067" s="692"/>
      <c r="G1067" s="781"/>
      <c r="H1067" s="782"/>
    </row>
    <row r="1068" spans="1:8">
      <c r="A1068" s="457"/>
      <c r="B1068" s="480" t="s">
        <v>83</v>
      </c>
      <c r="C1068" s="707">
        <v>12712000</v>
      </c>
      <c r="D1068" s="826"/>
      <c r="E1068" s="692"/>
      <c r="G1068" s="781"/>
      <c r="H1068" s="782"/>
    </row>
    <row r="1069" spans="1:8">
      <c r="A1069" s="457"/>
      <c r="B1069" s="754" t="s">
        <v>799</v>
      </c>
      <c r="C1069" s="707">
        <v>12720000</v>
      </c>
      <c r="D1069" s="712">
        <f>SUM(D1070,D1073)</f>
        <v>0</v>
      </c>
      <c r="E1069" s="692"/>
      <c r="G1069" s="781"/>
      <c r="H1069" s="782"/>
    </row>
    <row r="1070" spans="1:8">
      <c r="A1070" s="457"/>
      <c r="B1070" s="480" t="s">
        <v>714</v>
      </c>
      <c r="C1070" s="707">
        <v>12721000</v>
      </c>
      <c r="D1070" s="712">
        <f>SUM(D1071:D1072)</f>
        <v>0</v>
      </c>
      <c r="E1070" s="692"/>
      <c r="G1070" s="781"/>
      <c r="H1070" s="782"/>
    </row>
    <row r="1071" spans="1:8">
      <c r="A1071" s="457"/>
      <c r="B1071" s="709" t="s">
        <v>52</v>
      </c>
      <c r="C1071" s="707">
        <v>12721100</v>
      </c>
      <c r="D1071" s="826"/>
      <c r="E1071" s="692"/>
      <c r="G1071" s="781"/>
      <c r="H1071" s="782"/>
    </row>
    <row r="1072" spans="1:8">
      <c r="A1072" s="457"/>
      <c r="B1072" s="709" t="s">
        <v>801</v>
      </c>
      <c r="C1072" s="707">
        <v>12721200</v>
      </c>
      <c r="D1072" s="826"/>
      <c r="E1072" s="692"/>
      <c r="G1072" s="781"/>
      <c r="H1072" s="782"/>
    </row>
    <row r="1073" spans="1:8">
      <c r="A1073" s="457"/>
      <c r="B1073" s="480" t="s">
        <v>83</v>
      </c>
      <c r="C1073" s="707">
        <v>12722000</v>
      </c>
      <c r="D1073" s="712">
        <f>SUM(D1074:D1075)</f>
        <v>0</v>
      </c>
      <c r="E1073" s="692"/>
      <c r="G1073" s="781"/>
      <c r="H1073" s="782"/>
    </row>
    <row r="1074" spans="1:8">
      <c r="A1074" s="457"/>
      <c r="B1074" s="709" t="s">
        <v>52</v>
      </c>
      <c r="C1074" s="707">
        <v>12722100</v>
      </c>
      <c r="D1074" s="826"/>
      <c r="E1074" s="692"/>
      <c r="G1074" s="781"/>
      <c r="H1074" s="782"/>
    </row>
    <row r="1075" spans="1:8">
      <c r="A1075" s="457"/>
      <c r="B1075" s="709" t="s">
        <v>801</v>
      </c>
      <c r="C1075" s="707">
        <v>12722200</v>
      </c>
      <c r="D1075" s="826"/>
      <c r="E1075" s="692"/>
      <c r="G1075" s="781"/>
      <c r="H1075" s="782"/>
    </row>
    <row r="1076" spans="1:8">
      <c r="A1076" s="457"/>
      <c r="B1076" s="754" t="s">
        <v>54</v>
      </c>
      <c r="C1076" s="707">
        <v>12730000</v>
      </c>
      <c r="D1076" s="712">
        <f>SUM(D1077:D1078)</f>
        <v>0</v>
      </c>
      <c r="E1076" s="692"/>
      <c r="G1076" s="781"/>
      <c r="H1076" s="782"/>
    </row>
    <row r="1077" spans="1:8">
      <c r="A1077" s="457"/>
      <c r="B1077" s="480" t="s">
        <v>714</v>
      </c>
      <c r="C1077" s="707">
        <v>12731000</v>
      </c>
      <c r="D1077" s="826"/>
      <c r="E1077" s="692"/>
      <c r="G1077" s="781"/>
      <c r="H1077" s="782"/>
    </row>
    <row r="1078" spans="1:8">
      <c r="A1078" s="457"/>
      <c r="B1078" s="480" t="s">
        <v>83</v>
      </c>
      <c r="C1078" s="707">
        <v>12732000</v>
      </c>
      <c r="D1078" s="826"/>
      <c r="E1078" s="692"/>
      <c r="G1078" s="781"/>
      <c r="H1078" s="782"/>
    </row>
    <row r="1079" spans="1:8" ht="25.5">
      <c r="A1079" s="457"/>
      <c r="B1079" s="754" t="s">
        <v>826</v>
      </c>
      <c r="C1079" s="707">
        <v>12740000</v>
      </c>
      <c r="D1079" s="712">
        <f>SUM(D1080:D1081)</f>
        <v>0</v>
      </c>
      <c r="E1079" s="692"/>
      <c r="G1079" s="781"/>
      <c r="H1079" s="782"/>
    </row>
    <row r="1080" spans="1:8">
      <c r="A1080" s="457"/>
      <c r="B1080" s="480" t="s">
        <v>714</v>
      </c>
      <c r="C1080" s="707">
        <v>12741000</v>
      </c>
      <c r="D1080" s="826"/>
      <c r="E1080" s="692"/>
      <c r="G1080" s="781"/>
      <c r="H1080" s="782"/>
    </row>
    <row r="1081" spans="1:8">
      <c r="A1081" s="457"/>
      <c r="B1081" s="480" t="s">
        <v>83</v>
      </c>
      <c r="C1081" s="707">
        <v>12742000</v>
      </c>
      <c r="D1081" s="826"/>
      <c r="E1081" s="692"/>
      <c r="G1081" s="781"/>
      <c r="H1081" s="782"/>
    </row>
    <row r="1082" spans="1:8">
      <c r="A1082" s="457"/>
      <c r="B1082" s="754" t="s">
        <v>827</v>
      </c>
      <c r="C1082" s="707">
        <v>12750000</v>
      </c>
      <c r="D1082" s="712">
        <f>SUM(D1083:D1084)</f>
        <v>0</v>
      </c>
      <c r="E1082" s="692"/>
      <c r="G1082" s="781"/>
      <c r="H1082" s="782"/>
    </row>
    <row r="1083" spans="1:8">
      <c r="A1083" s="457"/>
      <c r="B1083" s="480" t="s">
        <v>714</v>
      </c>
      <c r="C1083" s="707">
        <v>12751000</v>
      </c>
      <c r="D1083" s="826"/>
      <c r="E1083" s="734"/>
      <c r="G1083" s="781"/>
      <c r="H1083" s="782"/>
    </row>
    <row r="1084" spans="1:8">
      <c r="A1084" s="457"/>
      <c r="B1084" s="480" t="s">
        <v>83</v>
      </c>
      <c r="C1084" s="707">
        <v>12752000</v>
      </c>
      <c r="D1084" s="826"/>
      <c r="E1084" s="692"/>
      <c r="G1084" s="781"/>
      <c r="H1084" s="782"/>
    </row>
    <row r="1085" spans="1:8">
      <c r="A1085" s="776"/>
      <c r="B1085" s="784" t="s">
        <v>952</v>
      </c>
      <c r="C1085" s="785">
        <v>12800000</v>
      </c>
      <c r="D1085" s="952">
        <f>SUM(D1086:D1087)</f>
        <v>0</v>
      </c>
      <c r="E1085" s="692"/>
      <c r="G1085" s="781"/>
      <c r="H1085" s="782"/>
    </row>
    <row r="1086" spans="1:8">
      <c r="A1086" s="457"/>
      <c r="B1086" s="480" t="s">
        <v>714</v>
      </c>
      <c r="C1086" s="707">
        <v>12810000</v>
      </c>
      <c r="D1086" s="826"/>
      <c r="E1086" s="734"/>
      <c r="G1086" s="781"/>
      <c r="H1086" s="782"/>
    </row>
    <row r="1087" spans="1:8">
      <c r="A1087" s="457"/>
      <c r="B1087" s="480" t="s">
        <v>83</v>
      </c>
      <c r="C1087" s="707">
        <v>12820000</v>
      </c>
      <c r="D1087" s="826"/>
      <c r="E1087" s="692"/>
      <c r="G1087" s="781"/>
      <c r="H1087" s="782"/>
    </row>
    <row r="1088" spans="1:8" ht="25.5">
      <c r="A1088" s="776"/>
      <c r="B1088" s="776" t="s">
        <v>953</v>
      </c>
      <c r="C1088" s="787">
        <v>12900000</v>
      </c>
      <c r="D1088" s="788">
        <f>SUM(D1089:D1090)</f>
        <v>0</v>
      </c>
      <c r="E1088" s="692"/>
      <c r="G1088" s="781"/>
      <c r="H1088" s="782"/>
    </row>
    <row r="1089" spans="1:8">
      <c r="A1089" s="468"/>
      <c r="B1089" s="736" t="s">
        <v>714</v>
      </c>
      <c r="C1089" s="740">
        <v>12910000</v>
      </c>
      <c r="D1089" s="827"/>
      <c r="E1089" s="692"/>
      <c r="G1089" s="781"/>
      <c r="H1089" s="782"/>
    </row>
    <row r="1090" spans="1:8">
      <c r="A1090" s="468"/>
      <c r="B1090" s="736" t="s">
        <v>83</v>
      </c>
      <c r="C1090" s="740">
        <v>12920000</v>
      </c>
      <c r="D1090" s="827"/>
      <c r="E1090" s="692"/>
      <c r="G1090" s="781"/>
      <c r="H1090" s="782"/>
    </row>
    <row r="1091" spans="1:8">
      <c r="A1091" s="689"/>
      <c r="B1091" s="689" t="s">
        <v>1434</v>
      </c>
      <c r="C1091" s="690">
        <v>13000000</v>
      </c>
      <c r="D1091" s="691">
        <f>SUM(D1092,D1112,D1132,D1152,D1172,-D1192,D1212,-D1232)</f>
        <v>0</v>
      </c>
      <c r="E1091" s="692"/>
      <c r="G1091" s="781"/>
      <c r="H1091" s="782"/>
    </row>
    <row r="1092" spans="1:8">
      <c r="A1092" s="699"/>
      <c r="B1092" s="699" t="s">
        <v>67</v>
      </c>
      <c r="C1092" s="700">
        <v>13100000</v>
      </c>
      <c r="D1092" s="715">
        <f>SUM(D1093,D1096,D1103,D1106,D1109)</f>
        <v>0</v>
      </c>
      <c r="E1092" s="692"/>
      <c r="G1092" s="781"/>
      <c r="H1092" s="782"/>
    </row>
    <row r="1093" spans="1:8">
      <c r="A1093" s="457"/>
      <c r="B1093" s="754" t="s">
        <v>796</v>
      </c>
      <c r="C1093" s="707">
        <v>13110000</v>
      </c>
      <c r="D1093" s="712">
        <f>SUM(D1094:D1095)</f>
        <v>0</v>
      </c>
      <c r="E1093" s="692"/>
      <c r="G1093" s="781"/>
      <c r="H1093" s="782"/>
    </row>
    <row r="1094" spans="1:8">
      <c r="A1094" s="457"/>
      <c r="B1094" s="480" t="s">
        <v>714</v>
      </c>
      <c r="C1094" s="707">
        <v>13111000</v>
      </c>
      <c r="D1094" s="826"/>
      <c r="E1094" s="692"/>
      <c r="G1094" s="781"/>
      <c r="H1094" s="782"/>
    </row>
    <row r="1095" spans="1:8">
      <c r="A1095" s="457"/>
      <c r="B1095" s="480" t="s">
        <v>83</v>
      </c>
      <c r="C1095" s="707">
        <v>13112000</v>
      </c>
      <c r="D1095" s="826"/>
      <c r="E1095" s="692"/>
      <c r="G1095" s="781"/>
      <c r="H1095" s="782"/>
    </row>
    <row r="1096" spans="1:8">
      <c r="A1096" s="457"/>
      <c r="B1096" s="754" t="s">
        <v>799</v>
      </c>
      <c r="C1096" s="707">
        <v>13120000</v>
      </c>
      <c r="D1096" s="712">
        <f>SUM(D1097,D1100)</f>
        <v>0</v>
      </c>
      <c r="E1096" s="692"/>
      <c r="G1096" s="781"/>
      <c r="H1096" s="782"/>
    </row>
    <row r="1097" spans="1:8">
      <c r="A1097" s="457"/>
      <c r="B1097" s="480" t="s">
        <v>714</v>
      </c>
      <c r="C1097" s="707">
        <v>13121000</v>
      </c>
      <c r="D1097" s="712">
        <f>SUM(D1098:D1099)</f>
        <v>0</v>
      </c>
      <c r="E1097" s="692"/>
      <c r="G1097" s="781"/>
      <c r="H1097" s="782"/>
    </row>
    <row r="1098" spans="1:8">
      <c r="A1098" s="457"/>
      <c r="B1098" s="709" t="s">
        <v>52</v>
      </c>
      <c r="C1098" s="707">
        <v>13121100</v>
      </c>
      <c r="D1098" s="826"/>
      <c r="E1098" s="692"/>
      <c r="G1098" s="781"/>
      <c r="H1098" s="782"/>
    </row>
    <row r="1099" spans="1:8">
      <c r="A1099" s="457"/>
      <c r="B1099" s="709" t="s">
        <v>801</v>
      </c>
      <c r="C1099" s="707">
        <v>13121200</v>
      </c>
      <c r="D1099" s="826"/>
      <c r="E1099" s="692"/>
      <c r="G1099" s="781"/>
      <c r="H1099" s="782"/>
    </row>
    <row r="1100" spans="1:8">
      <c r="A1100" s="457"/>
      <c r="B1100" s="480" t="s">
        <v>83</v>
      </c>
      <c r="C1100" s="707">
        <v>13122000</v>
      </c>
      <c r="D1100" s="712">
        <f>SUM(D1101:D1102)</f>
        <v>0</v>
      </c>
      <c r="E1100" s="692"/>
      <c r="G1100" s="781"/>
      <c r="H1100" s="782"/>
    </row>
    <row r="1101" spans="1:8">
      <c r="A1101" s="457"/>
      <c r="B1101" s="709" t="s">
        <v>52</v>
      </c>
      <c r="C1101" s="707">
        <v>13122100</v>
      </c>
      <c r="D1101" s="826"/>
      <c r="E1101" s="692"/>
      <c r="G1101" s="781"/>
      <c r="H1101" s="782"/>
    </row>
    <row r="1102" spans="1:8">
      <c r="A1102" s="457"/>
      <c r="B1102" s="709" t="s">
        <v>801</v>
      </c>
      <c r="C1102" s="707">
        <v>13122200</v>
      </c>
      <c r="D1102" s="826"/>
      <c r="E1102" s="692"/>
      <c r="G1102" s="781"/>
      <c r="H1102" s="782"/>
    </row>
    <row r="1103" spans="1:8">
      <c r="A1103" s="457"/>
      <c r="B1103" s="754" t="s">
        <v>54</v>
      </c>
      <c r="C1103" s="707">
        <v>13130000</v>
      </c>
      <c r="D1103" s="712">
        <f>SUM(D1104:D1105)</f>
        <v>0</v>
      </c>
      <c r="E1103" s="692"/>
      <c r="G1103" s="781"/>
      <c r="H1103" s="782"/>
    </row>
    <row r="1104" spans="1:8">
      <c r="A1104" s="457"/>
      <c r="B1104" s="480" t="s">
        <v>714</v>
      </c>
      <c r="C1104" s="707">
        <v>13131000</v>
      </c>
      <c r="D1104" s="826"/>
      <c r="E1104" s="692"/>
      <c r="G1104" s="781"/>
      <c r="H1104" s="782"/>
    </row>
    <row r="1105" spans="1:8">
      <c r="A1105" s="457"/>
      <c r="B1105" s="480" t="s">
        <v>83</v>
      </c>
      <c r="C1105" s="707">
        <v>13132000</v>
      </c>
      <c r="D1105" s="826"/>
      <c r="E1105" s="692"/>
      <c r="G1105" s="781"/>
      <c r="H1105" s="782"/>
    </row>
    <row r="1106" spans="1:8" ht="25.5">
      <c r="A1106" s="457"/>
      <c r="B1106" s="754" t="s">
        <v>826</v>
      </c>
      <c r="C1106" s="707">
        <v>13140000</v>
      </c>
      <c r="D1106" s="712">
        <f>SUM(D1107:D1108)</f>
        <v>0</v>
      </c>
      <c r="E1106" s="692"/>
      <c r="G1106" s="781"/>
      <c r="H1106" s="782"/>
    </row>
    <row r="1107" spans="1:8">
      <c r="A1107" s="457"/>
      <c r="B1107" s="480" t="s">
        <v>714</v>
      </c>
      <c r="C1107" s="707">
        <v>13141000</v>
      </c>
      <c r="D1107" s="826"/>
      <c r="E1107" s="692"/>
      <c r="G1107" s="781"/>
      <c r="H1107" s="782"/>
    </row>
    <row r="1108" spans="1:8">
      <c r="A1108" s="457"/>
      <c r="B1108" s="480" t="s">
        <v>83</v>
      </c>
      <c r="C1108" s="707">
        <v>13142000</v>
      </c>
      <c r="D1108" s="826"/>
      <c r="E1108" s="692"/>
      <c r="G1108" s="781"/>
      <c r="H1108" s="782"/>
    </row>
    <row r="1109" spans="1:8">
      <c r="A1109" s="457"/>
      <c r="B1109" s="754" t="s">
        <v>827</v>
      </c>
      <c r="C1109" s="707">
        <v>13150000</v>
      </c>
      <c r="D1109" s="712">
        <f>SUM(D1110:D1111)</f>
        <v>0</v>
      </c>
      <c r="E1109" s="692"/>
      <c r="G1109" s="781"/>
      <c r="H1109" s="782"/>
    </row>
    <row r="1110" spans="1:8">
      <c r="A1110" s="457"/>
      <c r="B1110" s="480" t="s">
        <v>714</v>
      </c>
      <c r="C1110" s="707">
        <v>13151000</v>
      </c>
      <c r="D1110" s="826"/>
      <c r="E1110" s="692"/>
      <c r="G1110" s="781"/>
      <c r="H1110" s="782"/>
    </row>
    <row r="1111" spans="1:8">
      <c r="A1111" s="457"/>
      <c r="B1111" s="480" t="s">
        <v>83</v>
      </c>
      <c r="C1111" s="707">
        <v>13152000</v>
      </c>
      <c r="D1111" s="826"/>
      <c r="E1111" s="692"/>
      <c r="G1111" s="781"/>
      <c r="H1111" s="782"/>
    </row>
    <row r="1112" spans="1:8">
      <c r="A1112" s="699"/>
      <c r="B1112" s="699" t="s">
        <v>609</v>
      </c>
      <c r="C1112" s="700">
        <v>13200000</v>
      </c>
      <c r="D1112" s="715">
        <f>SUM(D1113,D1116,D1123,D1126,D1129)</f>
        <v>0</v>
      </c>
      <c r="E1112" s="692"/>
      <c r="G1112" s="781"/>
      <c r="H1112" s="782"/>
    </row>
    <row r="1113" spans="1:8">
      <c r="A1113" s="457"/>
      <c r="B1113" s="754" t="s">
        <v>796</v>
      </c>
      <c r="C1113" s="707">
        <v>13210000</v>
      </c>
      <c r="D1113" s="712">
        <f>SUM(D1114:D1115)</f>
        <v>0</v>
      </c>
      <c r="E1113" s="692"/>
      <c r="G1113" s="781"/>
      <c r="H1113" s="782"/>
    </row>
    <row r="1114" spans="1:8">
      <c r="A1114" s="457"/>
      <c r="B1114" s="480" t="s">
        <v>714</v>
      </c>
      <c r="C1114" s="707">
        <v>13211000</v>
      </c>
      <c r="D1114" s="826"/>
      <c r="E1114" s="692"/>
      <c r="G1114" s="781"/>
      <c r="H1114" s="782"/>
    </row>
    <row r="1115" spans="1:8">
      <c r="A1115" s="457"/>
      <c r="B1115" s="480" t="s">
        <v>83</v>
      </c>
      <c r="C1115" s="707">
        <v>13212000</v>
      </c>
      <c r="D1115" s="826"/>
      <c r="E1115" s="692"/>
      <c r="G1115" s="781"/>
      <c r="H1115" s="782"/>
    </row>
    <row r="1116" spans="1:8">
      <c r="A1116" s="457"/>
      <c r="B1116" s="754" t="s">
        <v>799</v>
      </c>
      <c r="C1116" s="707">
        <v>13220000</v>
      </c>
      <c r="D1116" s="712">
        <f>SUM(D1117,D1120)</f>
        <v>0</v>
      </c>
      <c r="E1116" s="692"/>
      <c r="G1116" s="781"/>
      <c r="H1116" s="782"/>
    </row>
    <row r="1117" spans="1:8">
      <c r="A1117" s="457"/>
      <c r="B1117" s="480" t="s">
        <v>714</v>
      </c>
      <c r="C1117" s="707">
        <v>13221000</v>
      </c>
      <c r="D1117" s="712">
        <f>SUM(D1118:D1119)</f>
        <v>0</v>
      </c>
      <c r="E1117" s="692"/>
      <c r="G1117" s="781"/>
      <c r="H1117" s="782"/>
    </row>
    <row r="1118" spans="1:8">
      <c r="A1118" s="457"/>
      <c r="B1118" s="709" t="s">
        <v>52</v>
      </c>
      <c r="C1118" s="707">
        <v>13221100</v>
      </c>
      <c r="D1118" s="826"/>
      <c r="E1118" s="692"/>
      <c r="G1118" s="781"/>
      <c r="H1118" s="782"/>
    </row>
    <row r="1119" spans="1:8">
      <c r="A1119" s="457"/>
      <c r="B1119" s="709" t="s">
        <v>801</v>
      </c>
      <c r="C1119" s="707">
        <v>13221200</v>
      </c>
      <c r="D1119" s="826"/>
      <c r="E1119" s="692"/>
      <c r="G1119" s="781"/>
      <c r="H1119" s="782"/>
    </row>
    <row r="1120" spans="1:8">
      <c r="A1120" s="457"/>
      <c r="B1120" s="480" t="s">
        <v>83</v>
      </c>
      <c r="C1120" s="707">
        <v>13222000</v>
      </c>
      <c r="D1120" s="712">
        <f>SUM(D1121:D1122)</f>
        <v>0</v>
      </c>
      <c r="E1120" s="692"/>
      <c r="G1120" s="781"/>
      <c r="H1120" s="782"/>
    </row>
    <row r="1121" spans="1:8">
      <c r="A1121" s="457"/>
      <c r="B1121" s="709" t="s">
        <v>52</v>
      </c>
      <c r="C1121" s="707">
        <v>13222100</v>
      </c>
      <c r="D1121" s="826"/>
      <c r="E1121" s="692"/>
      <c r="G1121" s="781"/>
      <c r="H1121" s="782"/>
    </row>
    <row r="1122" spans="1:8">
      <c r="A1122" s="457"/>
      <c r="B1122" s="709" t="s">
        <v>801</v>
      </c>
      <c r="C1122" s="707">
        <v>13222200</v>
      </c>
      <c r="D1122" s="826"/>
      <c r="E1122" s="692"/>
      <c r="G1122" s="781"/>
      <c r="H1122" s="782"/>
    </row>
    <row r="1123" spans="1:8">
      <c r="A1123" s="457"/>
      <c r="B1123" s="754" t="s">
        <v>54</v>
      </c>
      <c r="C1123" s="707">
        <v>13230000</v>
      </c>
      <c r="D1123" s="712">
        <f>SUM(D1124:D1125)</f>
        <v>0</v>
      </c>
      <c r="E1123" s="692"/>
      <c r="G1123" s="781"/>
      <c r="H1123" s="782"/>
    </row>
    <row r="1124" spans="1:8">
      <c r="A1124" s="457"/>
      <c r="B1124" s="480" t="s">
        <v>714</v>
      </c>
      <c r="C1124" s="707">
        <v>13231000</v>
      </c>
      <c r="D1124" s="826"/>
      <c r="E1124" s="692"/>
      <c r="G1124" s="781"/>
      <c r="H1124" s="782"/>
    </row>
    <row r="1125" spans="1:8">
      <c r="A1125" s="457"/>
      <c r="B1125" s="480" t="s">
        <v>83</v>
      </c>
      <c r="C1125" s="707">
        <v>13232000</v>
      </c>
      <c r="D1125" s="826"/>
      <c r="E1125" s="692"/>
      <c r="G1125" s="781"/>
      <c r="H1125" s="782"/>
    </row>
    <row r="1126" spans="1:8" ht="25.5">
      <c r="A1126" s="457"/>
      <c r="B1126" s="754" t="s">
        <v>826</v>
      </c>
      <c r="C1126" s="707">
        <v>13240000</v>
      </c>
      <c r="D1126" s="712">
        <f>SUM(D1127:D1128)</f>
        <v>0</v>
      </c>
      <c r="E1126" s="692"/>
      <c r="G1126" s="781"/>
      <c r="H1126" s="782"/>
    </row>
    <row r="1127" spans="1:8">
      <c r="A1127" s="457"/>
      <c r="B1127" s="480" t="s">
        <v>714</v>
      </c>
      <c r="C1127" s="707">
        <v>13241000</v>
      </c>
      <c r="D1127" s="826"/>
      <c r="E1127" s="692"/>
      <c r="G1127" s="781"/>
      <c r="H1127" s="782"/>
    </row>
    <row r="1128" spans="1:8">
      <c r="A1128" s="457"/>
      <c r="B1128" s="480" t="s">
        <v>83</v>
      </c>
      <c r="C1128" s="707">
        <v>13242000</v>
      </c>
      <c r="D1128" s="826"/>
      <c r="E1128" s="692"/>
      <c r="G1128" s="781"/>
      <c r="H1128" s="782"/>
    </row>
    <row r="1129" spans="1:8">
      <c r="A1129" s="457"/>
      <c r="B1129" s="754" t="s">
        <v>827</v>
      </c>
      <c r="C1129" s="707">
        <v>13250000</v>
      </c>
      <c r="D1129" s="712">
        <f>SUM(D1130:D1131)</f>
        <v>0</v>
      </c>
      <c r="E1129" s="692"/>
      <c r="G1129" s="781"/>
      <c r="H1129" s="782"/>
    </row>
    <row r="1130" spans="1:8">
      <c r="A1130" s="457"/>
      <c r="B1130" s="480" t="s">
        <v>714</v>
      </c>
      <c r="C1130" s="707">
        <v>13251000</v>
      </c>
      <c r="D1130" s="826"/>
      <c r="E1130" s="692"/>
      <c r="G1130" s="781"/>
      <c r="H1130" s="782"/>
    </row>
    <row r="1131" spans="1:8">
      <c r="A1131" s="457"/>
      <c r="B1131" s="480" t="s">
        <v>83</v>
      </c>
      <c r="C1131" s="707">
        <v>13252000</v>
      </c>
      <c r="D1131" s="826"/>
      <c r="E1131" s="692"/>
      <c r="G1131" s="781"/>
      <c r="H1131" s="782"/>
    </row>
    <row r="1132" spans="1:8">
      <c r="A1132" s="699"/>
      <c r="B1132" s="699" t="s">
        <v>68</v>
      </c>
      <c r="C1132" s="700">
        <v>13300000</v>
      </c>
      <c r="D1132" s="715">
        <f>SUM(D1133,D1136,D1143,D1146,D1149)</f>
        <v>0</v>
      </c>
      <c r="E1132" s="692"/>
      <c r="G1132" s="781"/>
      <c r="H1132" s="782"/>
    </row>
    <row r="1133" spans="1:8">
      <c r="A1133" s="457"/>
      <c r="B1133" s="754" t="s">
        <v>796</v>
      </c>
      <c r="C1133" s="707">
        <v>13310000</v>
      </c>
      <c r="D1133" s="712">
        <f>SUM(D1134:D1135)</f>
        <v>0</v>
      </c>
      <c r="E1133" s="692"/>
      <c r="G1133" s="781"/>
      <c r="H1133" s="782"/>
    </row>
    <row r="1134" spans="1:8">
      <c r="A1134" s="457"/>
      <c r="B1134" s="480" t="s">
        <v>714</v>
      </c>
      <c r="C1134" s="707">
        <v>13311000</v>
      </c>
      <c r="D1134" s="826"/>
      <c r="E1134" s="692"/>
      <c r="G1134" s="781"/>
      <c r="H1134" s="782"/>
    </row>
    <row r="1135" spans="1:8">
      <c r="A1135" s="457"/>
      <c r="B1135" s="480" t="s">
        <v>83</v>
      </c>
      <c r="C1135" s="707">
        <v>13312000</v>
      </c>
      <c r="D1135" s="826"/>
      <c r="E1135" s="692"/>
      <c r="G1135" s="781"/>
      <c r="H1135" s="782"/>
    </row>
    <row r="1136" spans="1:8">
      <c r="A1136" s="457"/>
      <c r="B1136" s="754" t="s">
        <v>799</v>
      </c>
      <c r="C1136" s="707">
        <v>13320000</v>
      </c>
      <c r="D1136" s="712">
        <f>SUM(D1137,D1140)</f>
        <v>0</v>
      </c>
      <c r="E1136" s="692"/>
      <c r="G1136" s="781"/>
      <c r="H1136" s="782"/>
    </row>
    <row r="1137" spans="1:8">
      <c r="A1137" s="457"/>
      <c r="B1137" s="480" t="s">
        <v>714</v>
      </c>
      <c r="C1137" s="707">
        <v>13321000</v>
      </c>
      <c r="D1137" s="712">
        <f>SUM(D1138:D1139)</f>
        <v>0</v>
      </c>
      <c r="E1137" s="692"/>
      <c r="G1137" s="781"/>
      <c r="H1137" s="782"/>
    </row>
    <row r="1138" spans="1:8">
      <c r="A1138" s="457"/>
      <c r="B1138" s="709" t="s">
        <v>52</v>
      </c>
      <c r="C1138" s="707">
        <v>13321100</v>
      </c>
      <c r="D1138" s="826"/>
      <c r="E1138" s="692"/>
      <c r="G1138" s="781"/>
      <c r="H1138" s="782"/>
    </row>
    <row r="1139" spans="1:8">
      <c r="A1139" s="457"/>
      <c r="B1139" s="709" t="s">
        <v>801</v>
      </c>
      <c r="C1139" s="707">
        <v>13321200</v>
      </c>
      <c r="D1139" s="826"/>
      <c r="E1139" s="692"/>
      <c r="G1139" s="781"/>
      <c r="H1139" s="782"/>
    </row>
    <row r="1140" spans="1:8">
      <c r="A1140" s="457"/>
      <c r="B1140" s="480" t="s">
        <v>83</v>
      </c>
      <c r="C1140" s="707">
        <v>13322000</v>
      </c>
      <c r="D1140" s="712">
        <f>SUM(D1141:D1142)</f>
        <v>0</v>
      </c>
      <c r="E1140" s="692"/>
      <c r="G1140" s="781"/>
      <c r="H1140" s="782"/>
    </row>
    <row r="1141" spans="1:8">
      <c r="A1141" s="457"/>
      <c r="B1141" s="709" t="s">
        <v>52</v>
      </c>
      <c r="C1141" s="707">
        <v>13322100</v>
      </c>
      <c r="D1141" s="826"/>
      <c r="E1141" s="692"/>
      <c r="G1141" s="781"/>
      <c r="H1141" s="782"/>
    </row>
    <row r="1142" spans="1:8">
      <c r="A1142" s="457"/>
      <c r="B1142" s="709" t="s">
        <v>801</v>
      </c>
      <c r="C1142" s="707">
        <v>13322200</v>
      </c>
      <c r="D1142" s="826"/>
      <c r="E1142" s="692"/>
      <c r="G1142" s="781"/>
      <c r="H1142" s="782"/>
    </row>
    <row r="1143" spans="1:8">
      <c r="A1143" s="457"/>
      <c r="B1143" s="754" t="s">
        <v>54</v>
      </c>
      <c r="C1143" s="707">
        <v>13330000</v>
      </c>
      <c r="D1143" s="712">
        <f>SUM(D1144:D1145)</f>
        <v>0</v>
      </c>
      <c r="E1143" s="692"/>
      <c r="G1143" s="781"/>
      <c r="H1143" s="782"/>
    </row>
    <row r="1144" spans="1:8">
      <c r="A1144" s="457"/>
      <c r="B1144" s="480" t="s">
        <v>714</v>
      </c>
      <c r="C1144" s="707">
        <v>13331000</v>
      </c>
      <c r="D1144" s="826"/>
      <c r="E1144" s="692"/>
      <c r="G1144" s="781"/>
      <c r="H1144" s="782"/>
    </row>
    <row r="1145" spans="1:8">
      <c r="A1145" s="457"/>
      <c r="B1145" s="480" t="s">
        <v>83</v>
      </c>
      <c r="C1145" s="707">
        <v>13332000</v>
      </c>
      <c r="D1145" s="826"/>
      <c r="E1145" s="692"/>
      <c r="G1145" s="781"/>
      <c r="H1145" s="782"/>
    </row>
    <row r="1146" spans="1:8" ht="25.5">
      <c r="A1146" s="457"/>
      <c r="B1146" s="754" t="s">
        <v>826</v>
      </c>
      <c r="C1146" s="707">
        <v>13340000</v>
      </c>
      <c r="D1146" s="712">
        <f>SUM(D1147:D1148)</f>
        <v>0</v>
      </c>
      <c r="E1146" s="692"/>
      <c r="G1146" s="781"/>
      <c r="H1146" s="782"/>
    </row>
    <row r="1147" spans="1:8">
      <c r="A1147" s="457"/>
      <c r="B1147" s="480" t="s">
        <v>714</v>
      </c>
      <c r="C1147" s="707">
        <v>13341000</v>
      </c>
      <c r="D1147" s="826"/>
      <c r="E1147" s="692"/>
      <c r="G1147" s="781"/>
      <c r="H1147" s="782"/>
    </row>
    <row r="1148" spans="1:8">
      <c r="A1148" s="457"/>
      <c r="B1148" s="480" t="s">
        <v>83</v>
      </c>
      <c r="C1148" s="707">
        <v>13342000</v>
      </c>
      <c r="D1148" s="826"/>
      <c r="E1148" s="692"/>
      <c r="G1148" s="781"/>
      <c r="H1148" s="782"/>
    </row>
    <row r="1149" spans="1:8">
      <c r="A1149" s="457"/>
      <c r="B1149" s="754" t="s">
        <v>827</v>
      </c>
      <c r="C1149" s="707">
        <v>13350000</v>
      </c>
      <c r="D1149" s="712">
        <f>SUM(D1150:D1151)</f>
        <v>0</v>
      </c>
      <c r="E1149" s="692"/>
      <c r="G1149" s="781"/>
      <c r="H1149" s="782"/>
    </row>
    <row r="1150" spans="1:8">
      <c r="A1150" s="457"/>
      <c r="B1150" s="480" t="s">
        <v>714</v>
      </c>
      <c r="C1150" s="707">
        <v>13351000</v>
      </c>
      <c r="D1150" s="826"/>
      <c r="E1150" s="692"/>
      <c r="G1150" s="781"/>
      <c r="H1150" s="782"/>
    </row>
    <row r="1151" spans="1:8">
      <c r="A1151" s="457"/>
      <c r="B1151" s="480" t="s">
        <v>83</v>
      </c>
      <c r="C1151" s="707">
        <v>13352000</v>
      </c>
      <c r="D1151" s="826"/>
      <c r="E1151" s="692"/>
      <c r="G1151" s="781"/>
      <c r="H1151" s="782"/>
    </row>
    <row r="1152" spans="1:8">
      <c r="A1152" s="699"/>
      <c r="B1152" s="699" t="s">
        <v>69</v>
      </c>
      <c r="C1152" s="700">
        <v>13400000</v>
      </c>
      <c r="D1152" s="715">
        <f>SUM(D1153,D1156,D1163,D1166,D1169)</f>
        <v>0</v>
      </c>
      <c r="E1152" s="692"/>
      <c r="G1152" s="781"/>
      <c r="H1152" s="782"/>
    </row>
    <row r="1153" spans="1:8">
      <c r="A1153" s="457"/>
      <c r="B1153" s="754" t="s">
        <v>796</v>
      </c>
      <c r="C1153" s="707">
        <v>13410000</v>
      </c>
      <c r="D1153" s="712">
        <f>SUM(D1154:D1155)</f>
        <v>0</v>
      </c>
      <c r="E1153" s="692"/>
      <c r="G1153" s="781"/>
      <c r="H1153" s="782"/>
    </row>
    <row r="1154" spans="1:8">
      <c r="A1154" s="457"/>
      <c r="B1154" s="480" t="s">
        <v>714</v>
      </c>
      <c r="C1154" s="707">
        <v>13411000</v>
      </c>
      <c r="D1154" s="826"/>
      <c r="E1154" s="692"/>
      <c r="G1154" s="781"/>
      <c r="H1154" s="782"/>
    </row>
    <row r="1155" spans="1:8">
      <c r="A1155" s="457"/>
      <c r="B1155" s="480" t="s">
        <v>83</v>
      </c>
      <c r="C1155" s="707">
        <v>13412000</v>
      </c>
      <c r="D1155" s="826"/>
      <c r="E1155" s="692"/>
      <c r="G1155" s="781"/>
      <c r="H1155" s="782"/>
    </row>
    <row r="1156" spans="1:8">
      <c r="A1156" s="457"/>
      <c r="B1156" s="754" t="s">
        <v>799</v>
      </c>
      <c r="C1156" s="707">
        <v>13420000</v>
      </c>
      <c r="D1156" s="712">
        <f>SUM(D1157,D1160)</f>
        <v>0</v>
      </c>
      <c r="E1156" s="692"/>
      <c r="G1156" s="781"/>
      <c r="H1156" s="782"/>
    </row>
    <row r="1157" spans="1:8">
      <c r="A1157" s="457"/>
      <c r="B1157" s="480" t="s">
        <v>714</v>
      </c>
      <c r="C1157" s="707">
        <v>13421000</v>
      </c>
      <c r="D1157" s="712">
        <f>SUM(D1158:D1159)</f>
        <v>0</v>
      </c>
      <c r="E1157" s="692"/>
      <c r="G1157" s="781"/>
      <c r="H1157" s="782"/>
    </row>
    <row r="1158" spans="1:8">
      <c r="A1158" s="457"/>
      <c r="B1158" s="709" t="s">
        <v>52</v>
      </c>
      <c r="C1158" s="707">
        <v>13421100</v>
      </c>
      <c r="D1158" s="826"/>
      <c r="E1158" s="692"/>
      <c r="G1158" s="781"/>
      <c r="H1158" s="782"/>
    </row>
    <row r="1159" spans="1:8">
      <c r="A1159" s="457"/>
      <c r="B1159" s="709" t="s">
        <v>801</v>
      </c>
      <c r="C1159" s="707">
        <v>13421200</v>
      </c>
      <c r="D1159" s="826"/>
      <c r="E1159" s="692"/>
      <c r="G1159" s="781"/>
      <c r="H1159" s="782"/>
    </row>
    <row r="1160" spans="1:8">
      <c r="A1160" s="457"/>
      <c r="B1160" s="480" t="s">
        <v>83</v>
      </c>
      <c r="C1160" s="707">
        <v>13422000</v>
      </c>
      <c r="D1160" s="712">
        <f>SUM(D1161:D1162)</f>
        <v>0</v>
      </c>
      <c r="E1160" s="692"/>
      <c r="G1160" s="781"/>
      <c r="H1160" s="782"/>
    </row>
    <row r="1161" spans="1:8">
      <c r="A1161" s="457"/>
      <c r="B1161" s="709" t="s">
        <v>52</v>
      </c>
      <c r="C1161" s="707">
        <v>13422100</v>
      </c>
      <c r="D1161" s="826"/>
      <c r="E1161" s="692"/>
      <c r="G1161" s="781"/>
      <c r="H1161" s="782"/>
    </row>
    <row r="1162" spans="1:8">
      <c r="A1162" s="457"/>
      <c r="B1162" s="709" t="s">
        <v>801</v>
      </c>
      <c r="C1162" s="707">
        <v>13422200</v>
      </c>
      <c r="D1162" s="826"/>
      <c r="E1162" s="692"/>
      <c r="G1162" s="781"/>
      <c r="H1162" s="782"/>
    </row>
    <row r="1163" spans="1:8">
      <c r="A1163" s="457"/>
      <c r="B1163" s="754" t="s">
        <v>54</v>
      </c>
      <c r="C1163" s="707">
        <v>13430000</v>
      </c>
      <c r="D1163" s="712">
        <f>SUM(D1164:D1165)</f>
        <v>0</v>
      </c>
      <c r="E1163" s="692"/>
      <c r="G1163" s="781"/>
      <c r="H1163" s="782"/>
    </row>
    <row r="1164" spans="1:8">
      <c r="A1164" s="457"/>
      <c r="B1164" s="480" t="s">
        <v>714</v>
      </c>
      <c r="C1164" s="707">
        <v>13431000</v>
      </c>
      <c r="D1164" s="826"/>
      <c r="E1164" s="692"/>
      <c r="G1164" s="781"/>
      <c r="H1164" s="782"/>
    </row>
    <row r="1165" spans="1:8">
      <c r="A1165" s="457"/>
      <c r="B1165" s="480" t="s">
        <v>83</v>
      </c>
      <c r="C1165" s="707">
        <v>13432000</v>
      </c>
      <c r="D1165" s="826"/>
      <c r="E1165" s="692"/>
      <c r="G1165" s="781"/>
      <c r="H1165" s="782"/>
    </row>
    <row r="1166" spans="1:8" ht="25.5">
      <c r="A1166" s="457"/>
      <c r="B1166" s="754" t="s">
        <v>826</v>
      </c>
      <c r="C1166" s="707">
        <v>13440000</v>
      </c>
      <c r="D1166" s="712">
        <f>SUM(D1167:D1168)</f>
        <v>0</v>
      </c>
      <c r="E1166" s="692"/>
      <c r="G1166" s="781"/>
      <c r="H1166" s="782"/>
    </row>
    <row r="1167" spans="1:8">
      <c r="A1167" s="457"/>
      <c r="B1167" s="480" t="s">
        <v>714</v>
      </c>
      <c r="C1167" s="707">
        <v>13441000</v>
      </c>
      <c r="D1167" s="826"/>
      <c r="E1167" s="692"/>
      <c r="G1167" s="781"/>
      <c r="H1167" s="782"/>
    </row>
    <row r="1168" spans="1:8">
      <c r="A1168" s="457"/>
      <c r="B1168" s="480" t="s">
        <v>83</v>
      </c>
      <c r="C1168" s="707">
        <v>13442000</v>
      </c>
      <c r="D1168" s="826"/>
      <c r="E1168" s="692"/>
      <c r="G1168" s="781"/>
      <c r="H1168" s="782"/>
    </row>
    <row r="1169" spans="1:8">
      <c r="A1169" s="457"/>
      <c r="B1169" s="754" t="s">
        <v>827</v>
      </c>
      <c r="C1169" s="707">
        <v>13450000</v>
      </c>
      <c r="D1169" s="712">
        <f>SUM(D1170:D1171)</f>
        <v>0</v>
      </c>
      <c r="E1169" s="692"/>
      <c r="G1169" s="781"/>
      <c r="H1169" s="782"/>
    </row>
    <row r="1170" spans="1:8">
      <c r="A1170" s="457"/>
      <c r="B1170" s="480" t="s">
        <v>714</v>
      </c>
      <c r="C1170" s="707">
        <v>13451000</v>
      </c>
      <c r="D1170" s="826"/>
      <c r="E1170" s="692"/>
      <c r="G1170" s="781"/>
      <c r="H1170" s="782"/>
    </row>
    <row r="1171" spans="1:8">
      <c r="A1171" s="457"/>
      <c r="B1171" s="480" t="s">
        <v>83</v>
      </c>
      <c r="C1171" s="707">
        <v>13452000</v>
      </c>
      <c r="D1171" s="826"/>
      <c r="E1171" s="692"/>
      <c r="G1171" s="781"/>
      <c r="H1171" s="782"/>
    </row>
    <row r="1172" spans="1:8">
      <c r="A1172" s="699"/>
      <c r="B1172" s="699" t="s">
        <v>70</v>
      </c>
      <c r="C1172" s="700">
        <v>13500000</v>
      </c>
      <c r="D1172" s="715">
        <f>SUM(D1173,D1176,D1183,D1186,D1189)</f>
        <v>0</v>
      </c>
      <c r="E1172" s="692"/>
      <c r="G1172" s="781"/>
      <c r="H1172" s="782"/>
    </row>
    <row r="1173" spans="1:8">
      <c r="A1173" s="457"/>
      <c r="B1173" s="754" t="s">
        <v>796</v>
      </c>
      <c r="C1173" s="707">
        <v>13510000</v>
      </c>
      <c r="D1173" s="712">
        <f>SUM(D1174:D1175)</f>
        <v>0</v>
      </c>
      <c r="E1173" s="692"/>
      <c r="G1173" s="781"/>
      <c r="H1173" s="782"/>
    </row>
    <row r="1174" spans="1:8">
      <c r="A1174" s="457"/>
      <c r="B1174" s="480" t="s">
        <v>714</v>
      </c>
      <c r="C1174" s="707">
        <v>13511000</v>
      </c>
      <c r="D1174" s="826"/>
      <c r="E1174" s="692"/>
      <c r="G1174" s="781"/>
      <c r="H1174" s="782"/>
    </row>
    <row r="1175" spans="1:8">
      <c r="A1175" s="457"/>
      <c r="B1175" s="480" t="s">
        <v>83</v>
      </c>
      <c r="C1175" s="707">
        <v>13512000</v>
      </c>
      <c r="D1175" s="826"/>
      <c r="E1175" s="692"/>
      <c r="G1175" s="781"/>
      <c r="H1175" s="782"/>
    </row>
    <row r="1176" spans="1:8">
      <c r="A1176" s="457"/>
      <c r="B1176" s="754" t="s">
        <v>799</v>
      </c>
      <c r="C1176" s="707">
        <v>13520000</v>
      </c>
      <c r="D1176" s="712">
        <f>SUM(D1177,D1180)</f>
        <v>0</v>
      </c>
      <c r="E1176" s="692"/>
      <c r="G1176" s="781"/>
      <c r="H1176" s="782"/>
    </row>
    <row r="1177" spans="1:8">
      <c r="A1177" s="457"/>
      <c r="B1177" s="480" t="s">
        <v>714</v>
      </c>
      <c r="C1177" s="707">
        <v>13521000</v>
      </c>
      <c r="D1177" s="712">
        <f>SUM(D1178:D1179)</f>
        <v>0</v>
      </c>
      <c r="E1177" s="692"/>
      <c r="G1177" s="781"/>
      <c r="H1177" s="782"/>
    </row>
    <row r="1178" spans="1:8">
      <c r="A1178" s="457"/>
      <c r="B1178" s="709" t="s">
        <v>52</v>
      </c>
      <c r="C1178" s="707">
        <v>13521100</v>
      </c>
      <c r="D1178" s="826"/>
      <c r="E1178" s="692"/>
      <c r="G1178" s="781"/>
      <c r="H1178" s="782"/>
    </row>
    <row r="1179" spans="1:8">
      <c r="A1179" s="457"/>
      <c r="B1179" s="709" t="s">
        <v>801</v>
      </c>
      <c r="C1179" s="707">
        <v>13521200</v>
      </c>
      <c r="D1179" s="826"/>
      <c r="E1179" s="692"/>
      <c r="G1179" s="781"/>
      <c r="H1179" s="782"/>
    </row>
    <row r="1180" spans="1:8">
      <c r="A1180" s="457"/>
      <c r="B1180" s="480" t="s">
        <v>83</v>
      </c>
      <c r="C1180" s="707">
        <v>13522000</v>
      </c>
      <c r="D1180" s="712">
        <f>SUM(D1181:D1182)</f>
        <v>0</v>
      </c>
      <c r="E1180" s="692"/>
      <c r="G1180" s="781"/>
      <c r="H1180" s="782"/>
    </row>
    <row r="1181" spans="1:8">
      <c r="A1181" s="457"/>
      <c r="B1181" s="709" t="s">
        <v>52</v>
      </c>
      <c r="C1181" s="707">
        <v>13522100</v>
      </c>
      <c r="D1181" s="826"/>
      <c r="E1181" s="692"/>
      <c r="G1181" s="781"/>
      <c r="H1181" s="782"/>
    </row>
    <row r="1182" spans="1:8">
      <c r="A1182" s="457"/>
      <c r="B1182" s="709" t="s">
        <v>801</v>
      </c>
      <c r="C1182" s="707">
        <v>13522200</v>
      </c>
      <c r="D1182" s="826"/>
      <c r="E1182" s="692"/>
      <c r="G1182" s="781"/>
      <c r="H1182" s="782"/>
    </row>
    <row r="1183" spans="1:8">
      <c r="A1183" s="457"/>
      <c r="B1183" s="754" t="s">
        <v>54</v>
      </c>
      <c r="C1183" s="707">
        <v>13530000</v>
      </c>
      <c r="D1183" s="712">
        <f>SUM(D1184:D1185)</f>
        <v>0</v>
      </c>
      <c r="E1183" s="692"/>
      <c r="G1183" s="781"/>
      <c r="H1183" s="782"/>
    </row>
    <row r="1184" spans="1:8">
      <c r="A1184" s="457"/>
      <c r="B1184" s="480" t="s">
        <v>714</v>
      </c>
      <c r="C1184" s="707">
        <v>13531000</v>
      </c>
      <c r="D1184" s="826"/>
      <c r="E1184" s="692"/>
      <c r="G1184" s="781"/>
      <c r="H1184" s="782"/>
    </row>
    <row r="1185" spans="1:8">
      <c r="A1185" s="457"/>
      <c r="B1185" s="480" t="s">
        <v>83</v>
      </c>
      <c r="C1185" s="707">
        <v>13532000</v>
      </c>
      <c r="D1185" s="826"/>
      <c r="E1185" s="692"/>
      <c r="G1185" s="781"/>
      <c r="H1185" s="782"/>
    </row>
    <row r="1186" spans="1:8" ht="25.5">
      <c r="A1186" s="457"/>
      <c r="B1186" s="754" t="s">
        <v>826</v>
      </c>
      <c r="C1186" s="707">
        <v>13540000</v>
      </c>
      <c r="D1186" s="712">
        <f>SUM(D1187:D1188)</f>
        <v>0</v>
      </c>
      <c r="E1186" s="692"/>
      <c r="G1186" s="781"/>
      <c r="H1186" s="782"/>
    </row>
    <row r="1187" spans="1:8">
      <c r="A1187" s="457"/>
      <c r="B1187" s="480" t="s">
        <v>714</v>
      </c>
      <c r="C1187" s="707">
        <v>13541000</v>
      </c>
      <c r="D1187" s="826"/>
      <c r="E1187" s="692"/>
      <c r="G1187" s="781"/>
      <c r="H1187" s="782"/>
    </row>
    <row r="1188" spans="1:8">
      <c r="A1188" s="457"/>
      <c r="B1188" s="480" t="s">
        <v>83</v>
      </c>
      <c r="C1188" s="707">
        <v>13542000</v>
      </c>
      <c r="D1188" s="826"/>
      <c r="E1188" s="692"/>
      <c r="G1188" s="781"/>
      <c r="H1188" s="782"/>
    </row>
    <row r="1189" spans="1:8">
      <c r="A1189" s="457"/>
      <c r="B1189" s="754" t="s">
        <v>827</v>
      </c>
      <c r="C1189" s="707">
        <v>13550000</v>
      </c>
      <c r="D1189" s="712">
        <f>SUM(D1190:D1191)</f>
        <v>0</v>
      </c>
      <c r="E1189" s="692"/>
      <c r="G1189" s="781"/>
      <c r="H1189" s="782"/>
    </row>
    <row r="1190" spans="1:8">
      <c r="A1190" s="457"/>
      <c r="B1190" s="480" t="s">
        <v>714</v>
      </c>
      <c r="C1190" s="707">
        <v>13551000</v>
      </c>
      <c r="D1190" s="826"/>
      <c r="E1190" s="14"/>
      <c r="G1190" s="781"/>
      <c r="H1190" s="782"/>
    </row>
    <row r="1191" spans="1:8">
      <c r="A1191" s="457"/>
      <c r="B1191" s="480" t="s">
        <v>83</v>
      </c>
      <c r="C1191" s="707">
        <v>13552000</v>
      </c>
      <c r="D1191" s="826"/>
      <c r="E1191" s="692"/>
      <c r="G1191" s="781"/>
      <c r="H1191" s="782"/>
    </row>
    <row r="1192" spans="1:8">
      <c r="A1192" s="776"/>
      <c r="B1192" s="784" t="s">
        <v>961</v>
      </c>
      <c r="C1192" s="785">
        <v>13600000</v>
      </c>
      <c r="D1192" s="952">
        <f>SUM(D1193,D1196,D1203,D1206,D1209)</f>
        <v>0</v>
      </c>
      <c r="E1192" s="692"/>
      <c r="G1192" s="781"/>
      <c r="H1192" s="782"/>
    </row>
    <row r="1193" spans="1:8">
      <c r="A1193" s="457"/>
      <c r="B1193" s="754" t="s">
        <v>796</v>
      </c>
      <c r="C1193" s="707">
        <v>13610000</v>
      </c>
      <c r="D1193" s="712">
        <f>SUM(D1194:D1195)</f>
        <v>0</v>
      </c>
      <c r="E1193" s="692"/>
      <c r="G1193" s="781"/>
      <c r="H1193" s="782"/>
    </row>
    <row r="1194" spans="1:8">
      <c r="A1194" s="457"/>
      <c r="B1194" s="480" t="s">
        <v>714</v>
      </c>
      <c r="C1194" s="707">
        <v>13611000</v>
      </c>
      <c r="D1194" s="826"/>
      <c r="E1194" s="692"/>
      <c r="G1194" s="781"/>
      <c r="H1194" s="782"/>
    </row>
    <row r="1195" spans="1:8">
      <c r="A1195" s="457"/>
      <c r="B1195" s="480" t="s">
        <v>83</v>
      </c>
      <c r="C1195" s="707">
        <v>13612000</v>
      </c>
      <c r="D1195" s="826"/>
      <c r="E1195" s="692"/>
      <c r="G1195" s="781"/>
      <c r="H1195" s="782"/>
    </row>
    <row r="1196" spans="1:8">
      <c r="A1196" s="457"/>
      <c r="B1196" s="754" t="s">
        <v>799</v>
      </c>
      <c r="C1196" s="707">
        <v>13620000</v>
      </c>
      <c r="D1196" s="712">
        <f>SUM(D1197,D1200)</f>
        <v>0</v>
      </c>
      <c r="E1196" s="692"/>
      <c r="G1196" s="781"/>
      <c r="H1196" s="782"/>
    </row>
    <row r="1197" spans="1:8">
      <c r="A1197" s="457"/>
      <c r="B1197" s="480" t="s">
        <v>714</v>
      </c>
      <c r="C1197" s="707">
        <v>13621000</v>
      </c>
      <c r="D1197" s="712">
        <f>SUM(D1198:D1199)</f>
        <v>0</v>
      </c>
      <c r="E1197" s="692"/>
      <c r="G1197" s="781"/>
      <c r="H1197" s="782"/>
    </row>
    <row r="1198" spans="1:8">
      <c r="A1198" s="457"/>
      <c r="B1198" s="709" t="s">
        <v>52</v>
      </c>
      <c r="C1198" s="707">
        <v>13621100</v>
      </c>
      <c r="D1198" s="826"/>
      <c r="E1198" s="692"/>
      <c r="G1198" s="781"/>
      <c r="H1198" s="782"/>
    </row>
    <row r="1199" spans="1:8">
      <c r="A1199" s="457"/>
      <c r="B1199" s="709" t="s">
        <v>801</v>
      </c>
      <c r="C1199" s="707">
        <v>13621200</v>
      </c>
      <c r="D1199" s="826"/>
      <c r="E1199" s="692"/>
      <c r="G1199" s="781"/>
      <c r="H1199" s="782"/>
    </row>
    <row r="1200" spans="1:8">
      <c r="A1200" s="457"/>
      <c r="B1200" s="480" t="s">
        <v>83</v>
      </c>
      <c r="C1200" s="707">
        <v>13622000</v>
      </c>
      <c r="D1200" s="712">
        <f>SUM(D1201:D1202)</f>
        <v>0</v>
      </c>
      <c r="E1200" s="692"/>
      <c r="G1200" s="781"/>
      <c r="H1200" s="782"/>
    </row>
    <row r="1201" spans="1:8">
      <c r="A1201" s="457"/>
      <c r="B1201" s="709" t="s">
        <v>52</v>
      </c>
      <c r="C1201" s="707">
        <v>13622100</v>
      </c>
      <c r="D1201" s="826"/>
      <c r="E1201" s="692"/>
      <c r="G1201" s="781"/>
      <c r="H1201" s="782"/>
    </row>
    <row r="1202" spans="1:8">
      <c r="A1202" s="457"/>
      <c r="B1202" s="709" t="s">
        <v>801</v>
      </c>
      <c r="C1202" s="707">
        <v>13622200</v>
      </c>
      <c r="D1202" s="826"/>
      <c r="E1202" s="692"/>
      <c r="G1202" s="781"/>
      <c r="H1202" s="782"/>
    </row>
    <row r="1203" spans="1:8">
      <c r="A1203" s="457"/>
      <c r="B1203" s="754" t="s">
        <v>54</v>
      </c>
      <c r="C1203" s="707">
        <v>13630000</v>
      </c>
      <c r="D1203" s="712">
        <f>SUM(D1204:D1205)</f>
        <v>0</v>
      </c>
      <c r="E1203" s="692"/>
      <c r="G1203" s="781"/>
      <c r="H1203" s="782"/>
    </row>
    <row r="1204" spans="1:8">
      <c r="A1204" s="457"/>
      <c r="B1204" s="480" t="s">
        <v>714</v>
      </c>
      <c r="C1204" s="707">
        <v>13631000</v>
      </c>
      <c r="D1204" s="826"/>
      <c r="E1204" s="692"/>
      <c r="G1204" s="781"/>
      <c r="H1204" s="782"/>
    </row>
    <row r="1205" spans="1:8">
      <c r="A1205" s="457"/>
      <c r="B1205" s="480" t="s">
        <v>83</v>
      </c>
      <c r="C1205" s="707">
        <v>13632000</v>
      </c>
      <c r="D1205" s="826"/>
      <c r="E1205" s="692"/>
      <c r="G1205" s="781"/>
      <c r="H1205" s="782"/>
    </row>
    <row r="1206" spans="1:8" ht="25.5">
      <c r="A1206" s="457"/>
      <c r="B1206" s="754" t="s">
        <v>826</v>
      </c>
      <c r="C1206" s="707">
        <v>13640000</v>
      </c>
      <c r="D1206" s="712">
        <f>SUM(D1207:D1208)</f>
        <v>0</v>
      </c>
      <c r="E1206" s="692"/>
      <c r="G1206" s="781"/>
      <c r="H1206" s="782"/>
    </row>
    <row r="1207" spans="1:8">
      <c r="A1207" s="457"/>
      <c r="B1207" s="480" t="s">
        <v>714</v>
      </c>
      <c r="C1207" s="707">
        <v>13641000</v>
      </c>
      <c r="D1207" s="826"/>
      <c r="E1207" s="692"/>
      <c r="G1207" s="781"/>
      <c r="H1207" s="782"/>
    </row>
    <row r="1208" spans="1:8">
      <c r="A1208" s="457"/>
      <c r="B1208" s="480" t="s">
        <v>83</v>
      </c>
      <c r="C1208" s="707">
        <v>13642000</v>
      </c>
      <c r="D1208" s="826"/>
      <c r="E1208" s="692"/>
      <c r="G1208" s="781"/>
      <c r="H1208" s="782"/>
    </row>
    <row r="1209" spans="1:8">
      <c r="A1209" s="457"/>
      <c r="B1209" s="754" t="s">
        <v>827</v>
      </c>
      <c r="C1209" s="707">
        <v>13650000</v>
      </c>
      <c r="D1209" s="712">
        <f>SUM(D1210:D1211)</f>
        <v>0</v>
      </c>
      <c r="E1209" s="692"/>
      <c r="G1209" s="781"/>
      <c r="H1209" s="782"/>
    </row>
    <row r="1210" spans="1:8">
      <c r="A1210" s="457"/>
      <c r="B1210" s="480" t="s">
        <v>714</v>
      </c>
      <c r="C1210" s="707">
        <v>13651000</v>
      </c>
      <c r="D1210" s="826"/>
      <c r="E1210" s="14"/>
      <c r="G1210" s="781"/>
      <c r="H1210" s="782"/>
    </row>
    <row r="1211" spans="1:8">
      <c r="A1211" s="457"/>
      <c r="B1211" s="480" t="s">
        <v>83</v>
      </c>
      <c r="C1211" s="707">
        <v>13652000</v>
      </c>
      <c r="D1211" s="826"/>
      <c r="E1211" s="692"/>
      <c r="G1211" s="781"/>
      <c r="H1211" s="782"/>
    </row>
    <row r="1212" spans="1:8">
      <c r="A1212" s="714"/>
      <c r="B1212" s="714" t="s">
        <v>962</v>
      </c>
      <c r="C1212" s="702">
        <v>13700000</v>
      </c>
      <c r="D1212" s="715">
        <f>SUM(D1213,D1216,D1223,D1226,D1229)</f>
        <v>0</v>
      </c>
      <c r="E1212" s="692"/>
      <c r="G1212" s="781"/>
      <c r="H1212" s="782"/>
    </row>
    <row r="1213" spans="1:8">
      <c r="A1213" s="457"/>
      <c r="B1213" s="754" t="s">
        <v>796</v>
      </c>
      <c r="C1213" s="707">
        <v>13710000</v>
      </c>
      <c r="D1213" s="712">
        <f>SUM(D1214:D1215)</f>
        <v>0</v>
      </c>
      <c r="E1213" s="692"/>
      <c r="G1213" s="781"/>
      <c r="H1213" s="782"/>
    </row>
    <row r="1214" spans="1:8">
      <c r="A1214" s="457"/>
      <c r="B1214" s="480" t="s">
        <v>714</v>
      </c>
      <c r="C1214" s="707">
        <v>13711000</v>
      </c>
      <c r="D1214" s="826"/>
      <c r="E1214" s="692"/>
      <c r="G1214" s="781"/>
      <c r="H1214" s="782"/>
    </row>
    <row r="1215" spans="1:8">
      <c r="A1215" s="457"/>
      <c r="B1215" s="480" t="s">
        <v>83</v>
      </c>
      <c r="C1215" s="707">
        <v>13712000</v>
      </c>
      <c r="D1215" s="826"/>
      <c r="E1215" s="692"/>
      <c r="G1215" s="781"/>
      <c r="H1215" s="782"/>
    </row>
    <row r="1216" spans="1:8">
      <c r="A1216" s="457"/>
      <c r="B1216" s="754" t="s">
        <v>799</v>
      </c>
      <c r="C1216" s="707">
        <v>13720000</v>
      </c>
      <c r="D1216" s="712">
        <f>SUM(D1217,D1220)</f>
        <v>0</v>
      </c>
      <c r="E1216" s="692"/>
      <c r="G1216" s="781"/>
      <c r="H1216" s="782"/>
    </row>
    <row r="1217" spans="1:8">
      <c r="A1217" s="457"/>
      <c r="B1217" s="480" t="s">
        <v>714</v>
      </c>
      <c r="C1217" s="707">
        <v>13721000</v>
      </c>
      <c r="D1217" s="712">
        <f>SUM(D1218:D1219)</f>
        <v>0</v>
      </c>
      <c r="E1217" s="692"/>
      <c r="G1217" s="781"/>
      <c r="H1217" s="782"/>
    </row>
    <row r="1218" spans="1:8">
      <c r="A1218" s="457"/>
      <c r="B1218" s="709" t="s">
        <v>52</v>
      </c>
      <c r="C1218" s="707">
        <v>13721100</v>
      </c>
      <c r="D1218" s="826"/>
      <c r="E1218" s="692"/>
      <c r="G1218" s="781"/>
      <c r="H1218" s="782"/>
    </row>
    <row r="1219" spans="1:8">
      <c r="A1219" s="457"/>
      <c r="B1219" s="709" t="s">
        <v>801</v>
      </c>
      <c r="C1219" s="707">
        <v>13721200</v>
      </c>
      <c r="D1219" s="826"/>
      <c r="E1219" s="692"/>
      <c r="G1219" s="781"/>
      <c r="H1219" s="782"/>
    </row>
    <row r="1220" spans="1:8">
      <c r="A1220" s="457"/>
      <c r="B1220" s="480" t="s">
        <v>83</v>
      </c>
      <c r="C1220" s="707">
        <v>13722000</v>
      </c>
      <c r="D1220" s="712">
        <f>SUM(D1221:D1222)</f>
        <v>0</v>
      </c>
      <c r="E1220" s="692"/>
      <c r="G1220" s="781"/>
      <c r="H1220" s="782"/>
    </row>
    <row r="1221" spans="1:8">
      <c r="A1221" s="457"/>
      <c r="B1221" s="709" t="s">
        <v>52</v>
      </c>
      <c r="C1221" s="707">
        <v>13722100</v>
      </c>
      <c r="D1221" s="826"/>
      <c r="E1221" s="692"/>
      <c r="G1221" s="781"/>
      <c r="H1221" s="782"/>
    </row>
    <row r="1222" spans="1:8">
      <c r="A1222" s="457"/>
      <c r="B1222" s="709" t="s">
        <v>801</v>
      </c>
      <c r="C1222" s="707">
        <v>13722200</v>
      </c>
      <c r="D1222" s="826"/>
      <c r="E1222" s="692"/>
      <c r="G1222" s="781"/>
      <c r="H1222" s="782"/>
    </row>
    <row r="1223" spans="1:8">
      <c r="A1223" s="457"/>
      <c r="B1223" s="754" t="s">
        <v>54</v>
      </c>
      <c r="C1223" s="707">
        <v>13730000</v>
      </c>
      <c r="D1223" s="712">
        <f>SUM(D1224:D1225)</f>
        <v>0</v>
      </c>
      <c r="E1223" s="692"/>
      <c r="G1223" s="781"/>
      <c r="H1223" s="782"/>
    </row>
    <row r="1224" spans="1:8">
      <c r="A1224" s="457"/>
      <c r="B1224" s="480" t="s">
        <v>714</v>
      </c>
      <c r="C1224" s="707">
        <v>13731000</v>
      </c>
      <c r="D1224" s="826"/>
      <c r="E1224" s="692"/>
      <c r="G1224" s="781"/>
      <c r="H1224" s="782"/>
    </row>
    <row r="1225" spans="1:8">
      <c r="A1225" s="457"/>
      <c r="B1225" s="480" t="s">
        <v>83</v>
      </c>
      <c r="C1225" s="707">
        <v>13732000</v>
      </c>
      <c r="D1225" s="826"/>
      <c r="E1225" s="692"/>
      <c r="G1225" s="781"/>
      <c r="H1225" s="782"/>
    </row>
    <row r="1226" spans="1:8" ht="25.5">
      <c r="A1226" s="457"/>
      <c r="B1226" s="754" t="s">
        <v>826</v>
      </c>
      <c r="C1226" s="707">
        <v>13740000</v>
      </c>
      <c r="D1226" s="712">
        <f>SUM(D1227:D1228)</f>
        <v>0</v>
      </c>
      <c r="E1226" s="692"/>
      <c r="G1226" s="781"/>
      <c r="H1226" s="782"/>
    </row>
    <row r="1227" spans="1:8">
      <c r="A1227" s="457"/>
      <c r="B1227" s="480" t="s">
        <v>714</v>
      </c>
      <c r="C1227" s="707">
        <v>13741000</v>
      </c>
      <c r="D1227" s="826"/>
      <c r="E1227" s="692"/>
      <c r="G1227" s="781"/>
      <c r="H1227" s="782"/>
    </row>
    <row r="1228" spans="1:8">
      <c r="A1228" s="457"/>
      <c r="B1228" s="480" t="s">
        <v>83</v>
      </c>
      <c r="C1228" s="707">
        <v>13742000</v>
      </c>
      <c r="D1228" s="826"/>
      <c r="E1228" s="692"/>
      <c r="G1228" s="781"/>
      <c r="H1228" s="782"/>
    </row>
    <row r="1229" spans="1:8">
      <c r="A1229" s="457"/>
      <c r="B1229" s="754" t="s">
        <v>827</v>
      </c>
      <c r="C1229" s="707">
        <v>13750000</v>
      </c>
      <c r="D1229" s="712">
        <f>SUM(D1230:D1231)</f>
        <v>0</v>
      </c>
      <c r="E1229" s="692"/>
      <c r="G1229" s="781"/>
      <c r="H1229" s="782"/>
    </row>
    <row r="1230" spans="1:8">
      <c r="A1230" s="457"/>
      <c r="B1230" s="480" t="s">
        <v>714</v>
      </c>
      <c r="C1230" s="707">
        <v>13751000</v>
      </c>
      <c r="D1230" s="826"/>
      <c r="E1230" s="734"/>
      <c r="G1230" s="781"/>
      <c r="H1230" s="782"/>
    </row>
    <row r="1231" spans="1:8">
      <c r="A1231" s="457"/>
      <c r="B1231" s="480" t="s">
        <v>83</v>
      </c>
      <c r="C1231" s="707">
        <v>13752000</v>
      </c>
      <c r="D1231" s="826"/>
      <c r="E1231" s="692"/>
      <c r="G1231" s="781"/>
      <c r="H1231" s="782"/>
    </row>
    <row r="1232" spans="1:8">
      <c r="A1232" s="776"/>
      <c r="B1232" s="784" t="s">
        <v>963</v>
      </c>
      <c r="C1232" s="785">
        <v>13800000</v>
      </c>
      <c r="D1232" s="952">
        <f>SUM(D1233:D1234)</f>
        <v>0</v>
      </c>
      <c r="E1232" s="692"/>
      <c r="G1232" s="781"/>
      <c r="H1232" s="782"/>
    </row>
    <row r="1233" spans="1:8">
      <c r="A1233" s="457"/>
      <c r="B1233" s="480" t="s">
        <v>714</v>
      </c>
      <c r="C1233" s="707">
        <v>13810000</v>
      </c>
      <c r="D1233" s="826"/>
      <c r="E1233" s="692"/>
      <c r="G1233" s="781"/>
      <c r="H1233" s="782"/>
    </row>
    <row r="1234" spans="1:8">
      <c r="A1234" s="457"/>
      <c r="B1234" s="480" t="s">
        <v>83</v>
      </c>
      <c r="C1234" s="707">
        <v>13820000</v>
      </c>
      <c r="D1234" s="826"/>
      <c r="E1234" s="692"/>
      <c r="G1234" s="781"/>
      <c r="H1234" s="782"/>
    </row>
    <row r="1235" spans="1:8">
      <c r="A1235" s="689"/>
      <c r="B1235" s="689" t="s">
        <v>1435</v>
      </c>
      <c r="C1235" s="690">
        <v>14000000</v>
      </c>
      <c r="D1235" s="691">
        <f>SUM(D1236,D1248,D1260,D1272,D1284,D1296)</f>
        <v>0</v>
      </c>
      <c r="E1235" s="692"/>
      <c r="G1235" s="781"/>
      <c r="H1235" s="782"/>
    </row>
    <row r="1236" spans="1:8">
      <c r="A1236" s="699"/>
      <c r="B1236" s="699" t="s">
        <v>822</v>
      </c>
      <c r="C1236" s="700">
        <v>14100000</v>
      </c>
      <c r="D1236" s="783">
        <f>SUM(D1237:D1239,D1242,D1245:D1247)</f>
        <v>0</v>
      </c>
      <c r="E1236" s="692"/>
      <c r="G1236" s="781"/>
      <c r="H1236" s="782"/>
    </row>
    <row r="1237" spans="1:8">
      <c r="A1237" s="457"/>
      <c r="B1237" s="789" t="s">
        <v>824</v>
      </c>
      <c r="C1237" s="707">
        <v>14110000</v>
      </c>
      <c r="D1237" s="826"/>
      <c r="E1237" s="692"/>
      <c r="G1237" s="781"/>
      <c r="H1237" s="782"/>
    </row>
    <row r="1238" spans="1:8">
      <c r="A1238" s="457"/>
      <c r="B1238" s="789" t="s">
        <v>825</v>
      </c>
      <c r="C1238" s="707">
        <v>14120000</v>
      </c>
      <c r="D1238" s="826"/>
      <c r="E1238" s="692"/>
      <c r="G1238" s="781"/>
      <c r="H1238" s="782"/>
    </row>
    <row r="1239" spans="1:8">
      <c r="A1239" s="457"/>
      <c r="B1239" s="789" t="s">
        <v>796</v>
      </c>
      <c r="C1239" s="707">
        <v>14130000</v>
      </c>
      <c r="D1239" s="712">
        <f>SUM(D1240:D1241)</f>
        <v>0</v>
      </c>
      <c r="E1239" s="692"/>
      <c r="G1239" s="781"/>
      <c r="H1239" s="782"/>
    </row>
    <row r="1240" spans="1:8">
      <c r="A1240" s="457"/>
      <c r="B1240" s="480" t="s">
        <v>797</v>
      </c>
      <c r="C1240" s="707">
        <v>14131000</v>
      </c>
      <c r="D1240" s="826"/>
      <c r="E1240" s="692"/>
      <c r="G1240" s="781"/>
      <c r="H1240" s="782"/>
    </row>
    <row r="1241" spans="1:8">
      <c r="A1241" s="457"/>
      <c r="B1241" s="480" t="s">
        <v>53</v>
      </c>
      <c r="C1241" s="707">
        <v>14131400</v>
      </c>
      <c r="D1241" s="826"/>
      <c r="E1241" s="692"/>
      <c r="G1241" s="781"/>
      <c r="H1241" s="782"/>
    </row>
    <row r="1242" spans="1:8">
      <c r="A1242" s="457"/>
      <c r="B1242" s="789" t="s">
        <v>799</v>
      </c>
      <c r="C1242" s="707">
        <v>14140000</v>
      </c>
      <c r="D1242" s="712">
        <f>SUM(D1243:D1244)</f>
        <v>0</v>
      </c>
      <c r="E1242" s="692"/>
      <c r="G1242" s="781"/>
      <c r="H1242" s="782"/>
    </row>
    <row r="1243" spans="1:8">
      <c r="A1243" s="457"/>
      <c r="B1243" s="480" t="s">
        <v>52</v>
      </c>
      <c r="C1243" s="707">
        <v>14141000</v>
      </c>
      <c r="D1243" s="826"/>
      <c r="E1243" s="692"/>
      <c r="G1243" s="781"/>
      <c r="H1243" s="782"/>
    </row>
    <row r="1244" spans="1:8">
      <c r="A1244" s="457"/>
      <c r="B1244" s="480" t="s">
        <v>801</v>
      </c>
      <c r="C1244" s="707">
        <v>14142000</v>
      </c>
      <c r="D1244" s="826"/>
      <c r="E1244" s="692"/>
      <c r="G1244" s="781"/>
      <c r="H1244" s="782"/>
    </row>
    <row r="1245" spans="1:8">
      <c r="A1245" s="457"/>
      <c r="B1245" s="789" t="s">
        <v>54</v>
      </c>
      <c r="C1245" s="707">
        <v>14150000</v>
      </c>
      <c r="D1245" s="826"/>
      <c r="E1245" s="692"/>
      <c r="G1245" s="781"/>
      <c r="H1245" s="782"/>
    </row>
    <row r="1246" spans="1:8" ht="25.5">
      <c r="A1246" s="457"/>
      <c r="B1246" s="789" t="s">
        <v>826</v>
      </c>
      <c r="C1246" s="707">
        <v>14160000</v>
      </c>
      <c r="D1246" s="826"/>
      <c r="E1246" s="692"/>
      <c r="G1246" s="781"/>
      <c r="H1246" s="782"/>
    </row>
    <row r="1247" spans="1:8">
      <c r="A1247" s="457"/>
      <c r="B1247" s="789" t="s">
        <v>827</v>
      </c>
      <c r="C1247" s="707">
        <v>14170000</v>
      </c>
      <c r="D1247" s="826"/>
      <c r="E1247" s="692"/>
      <c r="G1247" s="781"/>
      <c r="H1247" s="782"/>
    </row>
    <row r="1248" spans="1:8">
      <c r="A1248" s="699"/>
      <c r="B1248" s="699" t="s">
        <v>828</v>
      </c>
      <c r="C1248" s="700">
        <v>14200000</v>
      </c>
      <c r="D1248" s="783">
        <f>SUM(D1249:D1251,D1254,D1257:D1259)</f>
        <v>0</v>
      </c>
      <c r="E1248" s="692"/>
      <c r="G1248" s="781"/>
      <c r="H1248" s="782"/>
    </row>
    <row r="1249" spans="1:8">
      <c r="A1249" s="457"/>
      <c r="B1249" s="789" t="s">
        <v>824</v>
      </c>
      <c r="C1249" s="707">
        <v>14210000</v>
      </c>
      <c r="D1249" s="826"/>
      <c r="E1249" s="692"/>
      <c r="G1249" s="781"/>
      <c r="H1249" s="782"/>
    </row>
    <row r="1250" spans="1:8">
      <c r="A1250" s="457"/>
      <c r="B1250" s="789" t="s">
        <v>825</v>
      </c>
      <c r="C1250" s="707">
        <v>14220000</v>
      </c>
      <c r="D1250" s="826"/>
      <c r="E1250" s="692"/>
      <c r="G1250" s="781"/>
      <c r="H1250" s="782"/>
    </row>
    <row r="1251" spans="1:8">
      <c r="A1251" s="457"/>
      <c r="B1251" s="789" t="s">
        <v>796</v>
      </c>
      <c r="C1251" s="707">
        <v>14230000</v>
      </c>
      <c r="D1251" s="712">
        <f>SUM(D1252:D1253)</f>
        <v>0</v>
      </c>
      <c r="E1251" s="692"/>
      <c r="G1251" s="781"/>
      <c r="H1251" s="782"/>
    </row>
    <row r="1252" spans="1:8">
      <c r="A1252" s="457"/>
      <c r="B1252" s="480" t="s">
        <v>797</v>
      </c>
      <c r="C1252" s="707">
        <v>14231000</v>
      </c>
      <c r="D1252" s="826"/>
      <c r="E1252" s="692"/>
      <c r="G1252" s="781"/>
      <c r="H1252" s="782"/>
    </row>
    <row r="1253" spans="1:8">
      <c r="A1253" s="457"/>
      <c r="B1253" s="480" t="s">
        <v>53</v>
      </c>
      <c r="C1253" s="707">
        <v>14232000</v>
      </c>
      <c r="D1253" s="826"/>
      <c r="E1253" s="692"/>
      <c r="G1253" s="781"/>
      <c r="H1253" s="782"/>
    </row>
    <row r="1254" spans="1:8">
      <c r="A1254" s="457"/>
      <c r="B1254" s="789" t="s">
        <v>799</v>
      </c>
      <c r="C1254" s="707">
        <v>14240000</v>
      </c>
      <c r="D1254" s="712">
        <f>SUM(D1255:D1256)</f>
        <v>0</v>
      </c>
      <c r="E1254" s="692"/>
      <c r="G1254" s="781"/>
      <c r="H1254" s="782"/>
    </row>
    <row r="1255" spans="1:8">
      <c r="A1255" s="457"/>
      <c r="B1255" s="480" t="s">
        <v>52</v>
      </c>
      <c r="C1255" s="707">
        <v>14241000</v>
      </c>
      <c r="D1255" s="826"/>
      <c r="E1255" s="692"/>
      <c r="G1255" s="781"/>
      <c r="H1255" s="782"/>
    </row>
    <row r="1256" spans="1:8">
      <c r="A1256" s="457"/>
      <c r="B1256" s="480" t="s">
        <v>801</v>
      </c>
      <c r="C1256" s="707">
        <v>14242000</v>
      </c>
      <c r="D1256" s="826"/>
      <c r="E1256" s="692"/>
      <c r="G1256" s="781"/>
      <c r="H1256" s="782"/>
    </row>
    <row r="1257" spans="1:8">
      <c r="A1257" s="457"/>
      <c r="B1257" s="789" t="s">
        <v>54</v>
      </c>
      <c r="C1257" s="707">
        <v>14250000</v>
      </c>
      <c r="D1257" s="826"/>
      <c r="E1257" s="692"/>
      <c r="G1257" s="781"/>
      <c r="H1257" s="782"/>
    </row>
    <row r="1258" spans="1:8" ht="25.5">
      <c r="A1258" s="457"/>
      <c r="B1258" s="789" t="s">
        <v>826</v>
      </c>
      <c r="C1258" s="707">
        <v>14260000</v>
      </c>
      <c r="D1258" s="826"/>
      <c r="E1258" s="692"/>
      <c r="G1258" s="781"/>
      <c r="H1258" s="782"/>
    </row>
    <row r="1259" spans="1:8">
      <c r="A1259" s="457"/>
      <c r="B1259" s="789" t="s">
        <v>827</v>
      </c>
      <c r="C1259" s="707">
        <v>14270000</v>
      </c>
      <c r="D1259" s="826"/>
      <c r="E1259" s="692"/>
      <c r="G1259" s="781"/>
      <c r="H1259" s="782"/>
    </row>
    <row r="1260" spans="1:8">
      <c r="A1260" s="699"/>
      <c r="B1260" s="699" t="s">
        <v>829</v>
      </c>
      <c r="C1260" s="700">
        <v>14300000</v>
      </c>
      <c r="D1260" s="783">
        <f>SUM(D1261:D1263,D1266,D1269:D1271)</f>
        <v>0</v>
      </c>
      <c r="E1260" s="692"/>
      <c r="G1260" s="781"/>
      <c r="H1260" s="782"/>
    </row>
    <row r="1261" spans="1:8">
      <c r="A1261" s="457"/>
      <c r="B1261" s="789" t="s">
        <v>824</v>
      </c>
      <c r="C1261" s="707">
        <v>14310000</v>
      </c>
      <c r="D1261" s="826"/>
      <c r="E1261" s="692"/>
      <c r="G1261" s="781"/>
      <c r="H1261" s="782"/>
    </row>
    <row r="1262" spans="1:8">
      <c r="A1262" s="457"/>
      <c r="B1262" s="789" t="s">
        <v>825</v>
      </c>
      <c r="C1262" s="707">
        <v>14320000</v>
      </c>
      <c r="D1262" s="826"/>
      <c r="E1262" s="692"/>
      <c r="G1262" s="781"/>
      <c r="H1262" s="782"/>
    </row>
    <row r="1263" spans="1:8">
      <c r="A1263" s="457"/>
      <c r="B1263" s="789" t="s">
        <v>796</v>
      </c>
      <c r="C1263" s="707">
        <v>14330000</v>
      </c>
      <c r="D1263" s="712">
        <f>SUM(D1264:D1265)</f>
        <v>0</v>
      </c>
      <c r="E1263" s="692"/>
      <c r="G1263" s="781"/>
      <c r="H1263" s="782"/>
    </row>
    <row r="1264" spans="1:8">
      <c r="A1264" s="457"/>
      <c r="B1264" s="480" t="s">
        <v>797</v>
      </c>
      <c r="C1264" s="707">
        <v>14331000</v>
      </c>
      <c r="D1264" s="826"/>
      <c r="E1264" s="692"/>
      <c r="G1264" s="781"/>
      <c r="H1264" s="782"/>
    </row>
    <row r="1265" spans="1:8">
      <c r="A1265" s="457"/>
      <c r="B1265" s="480" t="s">
        <v>53</v>
      </c>
      <c r="C1265" s="707">
        <v>14332000</v>
      </c>
      <c r="D1265" s="826"/>
      <c r="E1265" s="692"/>
      <c r="G1265" s="781"/>
      <c r="H1265" s="782"/>
    </row>
    <row r="1266" spans="1:8">
      <c r="A1266" s="457"/>
      <c r="B1266" s="789" t="s">
        <v>799</v>
      </c>
      <c r="C1266" s="707">
        <v>14340000</v>
      </c>
      <c r="D1266" s="712">
        <f>SUM(D1267:D1268)</f>
        <v>0</v>
      </c>
      <c r="E1266" s="692"/>
      <c r="G1266" s="781"/>
      <c r="H1266" s="782"/>
    </row>
    <row r="1267" spans="1:8">
      <c r="A1267" s="457"/>
      <c r="B1267" s="480" t="s">
        <v>52</v>
      </c>
      <c r="C1267" s="707">
        <v>14341000</v>
      </c>
      <c r="D1267" s="826"/>
      <c r="E1267" s="692"/>
      <c r="G1267" s="781"/>
      <c r="H1267" s="782"/>
    </row>
    <row r="1268" spans="1:8">
      <c r="A1268" s="457"/>
      <c r="B1268" s="480" t="s">
        <v>801</v>
      </c>
      <c r="C1268" s="707">
        <v>14342000</v>
      </c>
      <c r="D1268" s="826"/>
      <c r="E1268" s="692"/>
      <c r="G1268" s="781"/>
      <c r="H1268" s="782"/>
    </row>
    <row r="1269" spans="1:8">
      <c r="A1269" s="457"/>
      <c r="B1269" s="789" t="s">
        <v>54</v>
      </c>
      <c r="C1269" s="707">
        <v>14350000</v>
      </c>
      <c r="D1269" s="826"/>
      <c r="E1269" s="692"/>
      <c r="G1269" s="781"/>
      <c r="H1269" s="782"/>
    </row>
    <row r="1270" spans="1:8" ht="25.5">
      <c r="A1270" s="457"/>
      <c r="B1270" s="789" t="s">
        <v>826</v>
      </c>
      <c r="C1270" s="707">
        <v>14360000</v>
      </c>
      <c r="D1270" s="826"/>
      <c r="E1270" s="692"/>
      <c r="G1270" s="781"/>
      <c r="H1270" s="782"/>
    </row>
    <row r="1271" spans="1:8">
      <c r="A1271" s="457"/>
      <c r="B1271" s="789" t="s">
        <v>827</v>
      </c>
      <c r="C1271" s="707">
        <v>14370000</v>
      </c>
      <c r="D1271" s="826"/>
      <c r="E1271" s="692"/>
      <c r="G1271" s="781"/>
      <c r="H1271" s="782"/>
    </row>
    <row r="1272" spans="1:8">
      <c r="A1272" s="699"/>
      <c r="B1272" s="699" t="s">
        <v>830</v>
      </c>
      <c r="C1272" s="700">
        <v>14400000</v>
      </c>
      <c r="D1272" s="783">
        <f>SUM(D1273:D1275,D1278,D1281:D1283)</f>
        <v>0</v>
      </c>
      <c r="E1272" s="692"/>
      <c r="G1272" s="781"/>
      <c r="H1272" s="782"/>
    </row>
    <row r="1273" spans="1:8">
      <c r="A1273" s="457"/>
      <c r="B1273" s="789" t="s">
        <v>824</v>
      </c>
      <c r="C1273" s="707">
        <v>14410000</v>
      </c>
      <c r="D1273" s="826"/>
      <c r="E1273" s="692"/>
      <c r="G1273" s="781"/>
      <c r="H1273" s="782"/>
    </row>
    <row r="1274" spans="1:8">
      <c r="A1274" s="457"/>
      <c r="B1274" s="789" t="s">
        <v>825</v>
      </c>
      <c r="C1274" s="707">
        <v>14420000</v>
      </c>
      <c r="D1274" s="826"/>
      <c r="E1274" s="692"/>
      <c r="G1274" s="781"/>
      <c r="H1274" s="782"/>
    </row>
    <row r="1275" spans="1:8">
      <c r="A1275" s="457"/>
      <c r="B1275" s="789" t="s">
        <v>796</v>
      </c>
      <c r="C1275" s="707">
        <v>14430000</v>
      </c>
      <c r="D1275" s="712">
        <f>SUM(D1276:D1277)</f>
        <v>0</v>
      </c>
      <c r="E1275" s="692"/>
      <c r="G1275" s="781"/>
      <c r="H1275" s="782"/>
    </row>
    <row r="1276" spans="1:8">
      <c r="A1276" s="457"/>
      <c r="B1276" s="480" t="s">
        <v>797</v>
      </c>
      <c r="C1276" s="707">
        <v>14431000</v>
      </c>
      <c r="D1276" s="826"/>
      <c r="E1276" s="692"/>
      <c r="G1276" s="781"/>
      <c r="H1276" s="782"/>
    </row>
    <row r="1277" spans="1:8">
      <c r="A1277" s="457"/>
      <c r="B1277" s="480" t="s">
        <v>53</v>
      </c>
      <c r="C1277" s="707">
        <v>14432000</v>
      </c>
      <c r="D1277" s="826"/>
      <c r="E1277" s="692"/>
      <c r="G1277" s="781"/>
      <c r="H1277" s="782"/>
    </row>
    <row r="1278" spans="1:8">
      <c r="A1278" s="457"/>
      <c r="B1278" s="789" t="s">
        <v>799</v>
      </c>
      <c r="C1278" s="707">
        <v>14440000</v>
      </c>
      <c r="D1278" s="712">
        <f>SUM(D1279:D1280)</f>
        <v>0</v>
      </c>
      <c r="E1278" s="692"/>
      <c r="G1278" s="781"/>
      <c r="H1278" s="782"/>
    </row>
    <row r="1279" spans="1:8">
      <c r="A1279" s="457"/>
      <c r="B1279" s="480" t="s">
        <v>52</v>
      </c>
      <c r="C1279" s="707">
        <v>14441000</v>
      </c>
      <c r="D1279" s="826"/>
      <c r="E1279" s="692"/>
      <c r="G1279" s="781"/>
      <c r="H1279" s="782"/>
    </row>
    <row r="1280" spans="1:8">
      <c r="A1280" s="457"/>
      <c r="B1280" s="480" t="s">
        <v>801</v>
      </c>
      <c r="C1280" s="707">
        <v>14442000</v>
      </c>
      <c r="D1280" s="826"/>
      <c r="E1280" s="692"/>
      <c r="G1280" s="781"/>
      <c r="H1280" s="782"/>
    </row>
    <row r="1281" spans="1:8">
      <c r="A1281" s="457"/>
      <c r="B1281" s="789" t="s">
        <v>54</v>
      </c>
      <c r="C1281" s="707">
        <v>14450000</v>
      </c>
      <c r="D1281" s="826"/>
      <c r="E1281" s="692"/>
      <c r="G1281" s="781"/>
      <c r="H1281" s="782"/>
    </row>
    <row r="1282" spans="1:8" ht="25.5">
      <c r="A1282" s="457"/>
      <c r="B1282" s="789" t="s">
        <v>826</v>
      </c>
      <c r="C1282" s="707">
        <v>14460000</v>
      </c>
      <c r="D1282" s="826"/>
      <c r="E1282" s="692"/>
      <c r="G1282" s="781"/>
      <c r="H1282" s="782"/>
    </row>
    <row r="1283" spans="1:8">
      <c r="A1283" s="457"/>
      <c r="B1283" s="789" t="s">
        <v>827</v>
      </c>
      <c r="C1283" s="707">
        <v>14470000</v>
      </c>
      <c r="D1283" s="826"/>
      <c r="E1283" s="692"/>
      <c r="G1283" s="781"/>
      <c r="H1283" s="782"/>
    </row>
    <row r="1284" spans="1:8">
      <c r="A1284" s="699"/>
      <c r="B1284" s="699" t="s">
        <v>831</v>
      </c>
      <c r="C1284" s="700">
        <v>14500000</v>
      </c>
      <c r="D1284" s="783">
        <f>SUM(D1285:D1287,D1290,D1293:D1295)</f>
        <v>0</v>
      </c>
      <c r="E1284" s="692"/>
      <c r="G1284" s="781"/>
      <c r="H1284" s="782"/>
    </row>
    <row r="1285" spans="1:8">
      <c r="A1285" s="457"/>
      <c r="B1285" s="789" t="s">
        <v>824</v>
      </c>
      <c r="C1285" s="707">
        <v>14510000</v>
      </c>
      <c r="D1285" s="826"/>
      <c r="E1285" s="692"/>
      <c r="G1285" s="781"/>
      <c r="H1285" s="782"/>
    </row>
    <row r="1286" spans="1:8">
      <c r="A1286" s="457"/>
      <c r="B1286" s="789" t="s">
        <v>825</v>
      </c>
      <c r="C1286" s="707">
        <v>14520000</v>
      </c>
      <c r="D1286" s="826"/>
      <c r="E1286" s="692"/>
      <c r="G1286" s="781"/>
      <c r="H1286" s="782"/>
    </row>
    <row r="1287" spans="1:8">
      <c r="A1287" s="457"/>
      <c r="B1287" s="789" t="s">
        <v>796</v>
      </c>
      <c r="C1287" s="707">
        <v>14530000</v>
      </c>
      <c r="D1287" s="712">
        <f>SUM(D1288:D1289)</f>
        <v>0</v>
      </c>
      <c r="E1287" s="692"/>
      <c r="G1287" s="781"/>
      <c r="H1287" s="782"/>
    </row>
    <row r="1288" spans="1:8">
      <c r="A1288" s="457"/>
      <c r="B1288" s="480" t="s">
        <v>797</v>
      </c>
      <c r="C1288" s="707">
        <v>14531000</v>
      </c>
      <c r="D1288" s="826"/>
      <c r="E1288" s="692"/>
      <c r="G1288" s="781"/>
      <c r="H1288" s="782"/>
    </row>
    <row r="1289" spans="1:8">
      <c r="A1289" s="457"/>
      <c r="B1289" s="480" t="s">
        <v>53</v>
      </c>
      <c r="C1289" s="707">
        <v>14532000</v>
      </c>
      <c r="D1289" s="826"/>
      <c r="E1289" s="692"/>
      <c r="G1289" s="781"/>
      <c r="H1289" s="782"/>
    </row>
    <row r="1290" spans="1:8">
      <c r="A1290" s="457"/>
      <c r="B1290" s="789" t="s">
        <v>799</v>
      </c>
      <c r="C1290" s="707">
        <v>14540000</v>
      </c>
      <c r="D1290" s="712">
        <f>SUM(D1291:D1292)</f>
        <v>0</v>
      </c>
      <c r="E1290" s="692"/>
      <c r="G1290" s="781"/>
      <c r="H1290" s="782"/>
    </row>
    <row r="1291" spans="1:8">
      <c r="A1291" s="457"/>
      <c r="B1291" s="480" t="s">
        <v>52</v>
      </c>
      <c r="C1291" s="707">
        <v>14541000</v>
      </c>
      <c r="D1291" s="826"/>
      <c r="E1291" s="692"/>
      <c r="G1291" s="781"/>
      <c r="H1291" s="782"/>
    </row>
    <row r="1292" spans="1:8">
      <c r="A1292" s="457"/>
      <c r="B1292" s="480" t="s">
        <v>801</v>
      </c>
      <c r="C1292" s="707">
        <v>14542000</v>
      </c>
      <c r="D1292" s="826"/>
      <c r="E1292" s="692"/>
      <c r="G1292" s="781"/>
      <c r="H1292" s="782"/>
    </row>
    <row r="1293" spans="1:8">
      <c r="A1293" s="457"/>
      <c r="B1293" s="789" t="s">
        <v>54</v>
      </c>
      <c r="C1293" s="707">
        <v>14550000</v>
      </c>
      <c r="D1293" s="826"/>
      <c r="E1293" s="692"/>
      <c r="G1293" s="781"/>
      <c r="H1293" s="782"/>
    </row>
    <row r="1294" spans="1:8" ht="25.5">
      <c r="A1294" s="457"/>
      <c r="B1294" s="789" t="s">
        <v>826</v>
      </c>
      <c r="C1294" s="707">
        <v>14560000</v>
      </c>
      <c r="D1294" s="826"/>
      <c r="E1294" s="692"/>
      <c r="G1294" s="781"/>
      <c r="H1294" s="782"/>
    </row>
    <row r="1295" spans="1:8">
      <c r="A1295" s="457"/>
      <c r="B1295" s="789" t="s">
        <v>827</v>
      </c>
      <c r="C1295" s="707">
        <v>14570000</v>
      </c>
      <c r="D1295" s="826"/>
      <c r="E1295" s="692"/>
      <c r="G1295" s="781"/>
      <c r="H1295" s="782"/>
    </row>
    <row r="1296" spans="1:8">
      <c r="A1296" s="714"/>
      <c r="B1296" s="776" t="s">
        <v>964</v>
      </c>
      <c r="C1296" s="787">
        <v>14600000</v>
      </c>
      <c r="D1296" s="910"/>
      <c r="E1296" s="692"/>
      <c r="G1296" s="781"/>
      <c r="H1296" s="782"/>
    </row>
    <row r="1297" spans="1:8">
      <c r="A1297" s="689"/>
      <c r="B1297" s="689" t="s">
        <v>1436</v>
      </c>
      <c r="C1297" s="690">
        <v>16000000</v>
      </c>
      <c r="D1297" s="691">
        <f>SUM(D1298,D1442,D1443,D1454,D1455,D1458)</f>
        <v>0</v>
      </c>
      <c r="E1297" s="692"/>
      <c r="G1297" s="781"/>
      <c r="H1297" s="782"/>
    </row>
    <row r="1298" spans="1:8">
      <c r="A1298" s="790"/>
      <c r="B1298" s="790" t="s">
        <v>954</v>
      </c>
      <c r="C1298" s="700">
        <v>16100000</v>
      </c>
      <c r="D1298" s="701">
        <f>SUM(D1299,D1319,D1339,D1359,D1379,-D1399,D1419,-D1439)</f>
        <v>0</v>
      </c>
      <c r="E1298" s="692"/>
      <c r="G1298" s="781"/>
      <c r="H1298" s="782"/>
    </row>
    <row r="1299" spans="1:8">
      <c r="A1299" s="473"/>
      <c r="B1299" s="791" t="s">
        <v>248</v>
      </c>
      <c r="C1299" s="705">
        <v>16110000</v>
      </c>
      <c r="D1299" s="763">
        <f>SUM(D1300,D1303,D1310,D1313,D1316)</f>
        <v>0</v>
      </c>
      <c r="E1299" s="692"/>
      <c r="G1299" s="781"/>
      <c r="H1299" s="782"/>
    </row>
    <row r="1300" spans="1:8">
      <c r="A1300" s="473"/>
      <c r="B1300" s="792" t="s">
        <v>796</v>
      </c>
      <c r="C1300" s="707">
        <v>16111000</v>
      </c>
      <c r="D1300" s="706">
        <f>SUM(D1301:D1302)</f>
        <v>0</v>
      </c>
      <c r="E1300" s="692"/>
      <c r="G1300" s="781"/>
      <c r="H1300" s="782"/>
    </row>
    <row r="1301" spans="1:8">
      <c r="A1301" s="473"/>
      <c r="B1301" s="500" t="s">
        <v>714</v>
      </c>
      <c r="C1301" s="707">
        <v>16111100</v>
      </c>
      <c r="D1301" s="712"/>
      <c r="E1301" s="692"/>
      <c r="G1301" s="781"/>
      <c r="H1301" s="782"/>
    </row>
    <row r="1302" spans="1:8">
      <c r="A1302" s="473"/>
      <c r="B1302" s="500" t="s">
        <v>83</v>
      </c>
      <c r="C1302" s="707">
        <v>16111200</v>
      </c>
      <c r="D1302" s="712"/>
      <c r="E1302" s="692"/>
      <c r="G1302" s="781"/>
      <c r="H1302" s="782"/>
    </row>
    <row r="1303" spans="1:8">
      <c r="A1303" s="473"/>
      <c r="B1303" s="792" t="s">
        <v>799</v>
      </c>
      <c r="C1303" s="707">
        <v>16112000</v>
      </c>
      <c r="D1303" s="706">
        <f>SUM(D1304,D1307)</f>
        <v>0</v>
      </c>
      <c r="E1303" s="692"/>
      <c r="G1303" s="781"/>
      <c r="H1303" s="782"/>
    </row>
    <row r="1304" spans="1:8">
      <c r="A1304" s="473"/>
      <c r="B1304" s="500" t="s">
        <v>714</v>
      </c>
      <c r="C1304" s="707">
        <v>16112100</v>
      </c>
      <c r="D1304" s="706">
        <f>SUM(D1305:D1306)</f>
        <v>0</v>
      </c>
      <c r="E1304" s="692"/>
      <c r="G1304" s="781"/>
      <c r="H1304" s="782"/>
    </row>
    <row r="1305" spans="1:8">
      <c r="A1305" s="473"/>
      <c r="B1305" s="793" t="s">
        <v>52</v>
      </c>
      <c r="C1305" s="707">
        <v>16112110</v>
      </c>
      <c r="D1305" s="712"/>
      <c r="E1305" s="692"/>
      <c r="G1305" s="781"/>
      <c r="H1305" s="782"/>
    </row>
    <row r="1306" spans="1:8">
      <c r="A1306" s="473"/>
      <c r="B1306" s="793" t="s">
        <v>801</v>
      </c>
      <c r="C1306" s="707">
        <v>16112120</v>
      </c>
      <c r="D1306" s="712"/>
      <c r="E1306" s="692"/>
      <c r="G1306" s="781"/>
      <c r="H1306" s="782"/>
    </row>
    <row r="1307" spans="1:8">
      <c r="A1307" s="473"/>
      <c r="B1307" s="500" t="s">
        <v>83</v>
      </c>
      <c r="C1307" s="707">
        <v>16112200</v>
      </c>
      <c r="D1307" s="706">
        <f>SUM(D1308:D1309)</f>
        <v>0</v>
      </c>
      <c r="E1307" s="692"/>
      <c r="G1307" s="781"/>
      <c r="H1307" s="782"/>
    </row>
    <row r="1308" spans="1:8">
      <c r="A1308" s="473"/>
      <c r="B1308" s="793" t="s">
        <v>52</v>
      </c>
      <c r="C1308" s="707">
        <v>16112210</v>
      </c>
      <c r="D1308" s="712"/>
      <c r="E1308" s="692"/>
      <c r="G1308" s="781"/>
      <c r="H1308" s="782"/>
    </row>
    <row r="1309" spans="1:8">
      <c r="A1309" s="473"/>
      <c r="B1309" s="793" t="s">
        <v>801</v>
      </c>
      <c r="C1309" s="707">
        <v>16112220</v>
      </c>
      <c r="D1309" s="712"/>
      <c r="E1309" s="692"/>
      <c r="G1309" s="781"/>
      <c r="H1309" s="782"/>
    </row>
    <row r="1310" spans="1:8">
      <c r="A1310" s="473"/>
      <c r="B1310" s="792" t="s">
        <v>54</v>
      </c>
      <c r="C1310" s="707">
        <v>16112230</v>
      </c>
      <c r="D1310" s="706">
        <f>SUM(D1311:D1312)</f>
        <v>0</v>
      </c>
      <c r="E1310" s="692"/>
      <c r="G1310" s="781"/>
      <c r="H1310" s="782"/>
    </row>
    <row r="1311" spans="1:8">
      <c r="A1311" s="473"/>
      <c r="B1311" s="500" t="s">
        <v>714</v>
      </c>
      <c r="C1311" s="707">
        <v>16112231</v>
      </c>
      <c r="D1311" s="712"/>
      <c r="E1311" s="692"/>
      <c r="G1311" s="781"/>
      <c r="H1311" s="782"/>
    </row>
    <row r="1312" spans="1:8">
      <c r="A1312" s="473"/>
      <c r="B1312" s="500" t="s">
        <v>83</v>
      </c>
      <c r="C1312" s="707">
        <v>16112232</v>
      </c>
      <c r="D1312" s="712"/>
      <c r="E1312" s="692"/>
      <c r="G1312" s="781"/>
      <c r="H1312" s="782"/>
    </row>
    <row r="1313" spans="1:8">
      <c r="A1313" s="473"/>
      <c r="B1313" s="792" t="s">
        <v>826</v>
      </c>
      <c r="C1313" s="707">
        <v>16112240</v>
      </c>
      <c r="D1313" s="706">
        <f>SUM(D1314:D1315)</f>
        <v>0</v>
      </c>
      <c r="E1313" s="692"/>
      <c r="G1313" s="781"/>
      <c r="H1313" s="782"/>
    </row>
    <row r="1314" spans="1:8">
      <c r="A1314" s="473"/>
      <c r="B1314" s="500" t="s">
        <v>714</v>
      </c>
      <c r="C1314" s="707">
        <v>16112241</v>
      </c>
      <c r="D1314" s="712"/>
      <c r="E1314" s="692"/>
      <c r="G1314" s="781"/>
      <c r="H1314" s="782"/>
    </row>
    <row r="1315" spans="1:8">
      <c r="A1315" s="473"/>
      <c r="B1315" s="500" t="s">
        <v>83</v>
      </c>
      <c r="C1315" s="707">
        <v>16112242</v>
      </c>
      <c r="D1315" s="712"/>
      <c r="E1315" s="692"/>
      <c r="G1315" s="781"/>
      <c r="H1315" s="782"/>
    </row>
    <row r="1316" spans="1:8">
      <c r="A1316" s="473"/>
      <c r="B1316" s="792" t="s">
        <v>827</v>
      </c>
      <c r="C1316" s="707">
        <v>16112250</v>
      </c>
      <c r="D1316" s="706">
        <f>SUM(D1317:D1318)</f>
        <v>0</v>
      </c>
      <c r="E1316" s="692"/>
      <c r="G1316" s="781"/>
      <c r="H1316" s="782"/>
    </row>
    <row r="1317" spans="1:8">
      <c r="A1317" s="473"/>
      <c r="B1317" s="500" t="s">
        <v>714</v>
      </c>
      <c r="C1317" s="707">
        <v>16112251</v>
      </c>
      <c r="D1317" s="712"/>
      <c r="E1317" s="692"/>
      <c r="G1317" s="781"/>
      <c r="H1317" s="782"/>
    </row>
    <row r="1318" spans="1:8">
      <c r="A1318" s="473"/>
      <c r="B1318" s="500" t="s">
        <v>83</v>
      </c>
      <c r="C1318" s="707">
        <v>16112252</v>
      </c>
      <c r="D1318" s="712"/>
      <c r="E1318" s="692"/>
      <c r="G1318" s="781"/>
      <c r="H1318" s="782"/>
    </row>
    <row r="1319" spans="1:8">
      <c r="A1319" s="473"/>
      <c r="B1319" s="495" t="s">
        <v>612</v>
      </c>
      <c r="C1319" s="705">
        <v>16120000</v>
      </c>
      <c r="D1319" s="763">
        <f>SUM(D1320,D1323,D1330,D1333,D1336)</f>
        <v>0</v>
      </c>
      <c r="E1319" s="692"/>
      <c r="G1319" s="781"/>
      <c r="H1319" s="782"/>
    </row>
    <row r="1320" spans="1:8">
      <c r="A1320" s="473"/>
      <c r="B1320" s="792" t="s">
        <v>796</v>
      </c>
      <c r="C1320" s="707">
        <v>16121000</v>
      </c>
      <c r="D1320" s="706">
        <f>SUM(D1321:D1322)</f>
        <v>0</v>
      </c>
      <c r="E1320" s="692"/>
      <c r="G1320" s="781"/>
      <c r="H1320" s="782"/>
    </row>
    <row r="1321" spans="1:8">
      <c r="A1321" s="473"/>
      <c r="B1321" s="500" t="s">
        <v>714</v>
      </c>
      <c r="C1321" s="707">
        <v>16121200</v>
      </c>
      <c r="D1321" s="712"/>
      <c r="E1321" s="692"/>
      <c r="G1321" s="781"/>
      <c r="H1321" s="782"/>
    </row>
    <row r="1322" spans="1:8">
      <c r="A1322" s="473"/>
      <c r="B1322" s="500" t="s">
        <v>83</v>
      </c>
      <c r="C1322" s="707">
        <v>16121200</v>
      </c>
      <c r="D1322" s="712"/>
      <c r="E1322" s="692"/>
      <c r="G1322" s="781"/>
      <c r="H1322" s="782"/>
    </row>
    <row r="1323" spans="1:8">
      <c r="A1323" s="473"/>
      <c r="B1323" s="792" t="s">
        <v>799</v>
      </c>
      <c r="C1323" s="707">
        <v>16122000</v>
      </c>
      <c r="D1323" s="706">
        <f>SUM(D1324,D1327)</f>
        <v>0</v>
      </c>
      <c r="E1323" s="692"/>
      <c r="G1323" s="781"/>
      <c r="H1323" s="782"/>
    </row>
    <row r="1324" spans="1:8">
      <c r="A1324" s="473"/>
      <c r="B1324" s="500" t="s">
        <v>714</v>
      </c>
      <c r="C1324" s="707">
        <v>16122100</v>
      </c>
      <c r="D1324" s="706">
        <f>SUM(D1325:D1326)</f>
        <v>0</v>
      </c>
      <c r="E1324" s="692"/>
      <c r="G1324" s="781"/>
      <c r="H1324" s="782"/>
    </row>
    <row r="1325" spans="1:8">
      <c r="A1325" s="473"/>
      <c r="B1325" s="793" t="s">
        <v>52</v>
      </c>
      <c r="C1325" s="707">
        <v>16122120</v>
      </c>
      <c r="D1325" s="712"/>
      <c r="E1325" s="692"/>
      <c r="G1325" s="781"/>
      <c r="H1325" s="782"/>
    </row>
    <row r="1326" spans="1:8">
      <c r="A1326" s="473"/>
      <c r="B1326" s="793" t="s">
        <v>801</v>
      </c>
      <c r="C1326" s="707">
        <v>16122120</v>
      </c>
      <c r="D1326" s="712"/>
      <c r="E1326" s="692"/>
      <c r="G1326" s="781"/>
      <c r="H1326" s="782"/>
    </row>
    <row r="1327" spans="1:8">
      <c r="A1327" s="473"/>
      <c r="B1327" s="500" t="s">
        <v>83</v>
      </c>
      <c r="C1327" s="707">
        <v>16122200</v>
      </c>
      <c r="D1327" s="706">
        <f>SUM(D1328:D1329)</f>
        <v>0</v>
      </c>
      <c r="E1327" s="692"/>
      <c r="G1327" s="781"/>
      <c r="H1327" s="782"/>
    </row>
    <row r="1328" spans="1:8">
      <c r="A1328" s="473"/>
      <c r="B1328" s="793" t="s">
        <v>52</v>
      </c>
      <c r="C1328" s="707">
        <v>16122210</v>
      </c>
      <c r="D1328" s="712"/>
      <c r="E1328" s="692"/>
      <c r="G1328" s="781"/>
      <c r="H1328" s="782"/>
    </row>
    <row r="1329" spans="1:8">
      <c r="A1329" s="473"/>
      <c r="B1329" s="793" t="s">
        <v>801</v>
      </c>
      <c r="C1329" s="707">
        <v>16122220</v>
      </c>
      <c r="D1329" s="712"/>
      <c r="E1329" s="692"/>
      <c r="G1329" s="781"/>
      <c r="H1329" s="782"/>
    </row>
    <row r="1330" spans="1:8">
      <c r="A1330" s="473"/>
      <c r="B1330" s="792" t="s">
        <v>54</v>
      </c>
      <c r="C1330" s="707">
        <v>16122230</v>
      </c>
      <c r="D1330" s="706">
        <f>SUM(D1331:D1332)</f>
        <v>0</v>
      </c>
      <c r="E1330" s="692"/>
      <c r="G1330" s="781"/>
      <c r="H1330" s="782"/>
    </row>
    <row r="1331" spans="1:8">
      <c r="A1331" s="473"/>
      <c r="B1331" s="500" t="s">
        <v>714</v>
      </c>
      <c r="C1331" s="707">
        <v>16122231</v>
      </c>
      <c r="D1331" s="712"/>
      <c r="E1331" s="692"/>
      <c r="G1331" s="781"/>
      <c r="H1331" s="782"/>
    </row>
    <row r="1332" spans="1:8">
      <c r="A1332" s="473"/>
      <c r="B1332" s="500" t="s">
        <v>83</v>
      </c>
      <c r="C1332" s="707">
        <v>16122232</v>
      </c>
      <c r="D1332" s="712"/>
      <c r="E1332" s="692"/>
      <c r="G1332" s="781"/>
      <c r="H1332" s="782"/>
    </row>
    <row r="1333" spans="1:8">
      <c r="A1333" s="473"/>
      <c r="B1333" s="792" t="s">
        <v>826</v>
      </c>
      <c r="C1333" s="707">
        <v>16122240</v>
      </c>
      <c r="D1333" s="706">
        <f>SUM(D1334:D1335)</f>
        <v>0</v>
      </c>
      <c r="E1333" s="692"/>
      <c r="G1333" s="781"/>
      <c r="H1333" s="782"/>
    </row>
    <row r="1334" spans="1:8">
      <c r="A1334" s="473"/>
      <c r="B1334" s="500" t="s">
        <v>714</v>
      </c>
      <c r="C1334" s="707">
        <v>16122241</v>
      </c>
      <c r="D1334" s="712"/>
      <c r="E1334" s="14"/>
      <c r="G1334" s="781"/>
      <c r="H1334" s="782"/>
    </row>
    <row r="1335" spans="1:8">
      <c r="A1335" s="473"/>
      <c r="B1335" s="500" t="s">
        <v>83</v>
      </c>
      <c r="C1335" s="707">
        <v>16122242</v>
      </c>
      <c r="D1335" s="712"/>
      <c r="E1335" s="692"/>
      <c r="G1335" s="781"/>
      <c r="H1335" s="782"/>
    </row>
    <row r="1336" spans="1:8">
      <c r="A1336" s="473"/>
      <c r="B1336" s="792" t="s">
        <v>827</v>
      </c>
      <c r="C1336" s="707">
        <v>16122250</v>
      </c>
      <c r="D1336" s="706">
        <f>SUM(D1337:D1338)</f>
        <v>0</v>
      </c>
      <c r="E1336" s="692"/>
      <c r="G1336" s="781"/>
      <c r="H1336" s="782"/>
    </row>
    <row r="1337" spans="1:8">
      <c r="A1337" s="473"/>
      <c r="B1337" s="500" t="s">
        <v>714</v>
      </c>
      <c r="C1337" s="707">
        <v>16122251</v>
      </c>
      <c r="D1337" s="712"/>
      <c r="E1337" s="692"/>
      <c r="G1337" s="781"/>
      <c r="H1337" s="782"/>
    </row>
    <row r="1338" spans="1:8">
      <c r="A1338" s="473"/>
      <c r="B1338" s="500" t="s">
        <v>83</v>
      </c>
      <c r="C1338" s="707">
        <v>16122252</v>
      </c>
      <c r="D1338" s="712"/>
      <c r="E1338" s="692"/>
      <c r="G1338" s="781"/>
      <c r="H1338" s="782"/>
    </row>
    <row r="1339" spans="1:8">
      <c r="A1339" s="473"/>
      <c r="B1339" s="495" t="s">
        <v>955</v>
      </c>
      <c r="C1339" s="705">
        <v>16130000</v>
      </c>
      <c r="D1339" s="763">
        <f>SUM(D1340,D1343,D1350,D1353,D1356)</f>
        <v>0</v>
      </c>
      <c r="E1339" s="692"/>
      <c r="G1339" s="781"/>
      <c r="H1339" s="782"/>
    </row>
    <row r="1340" spans="1:8">
      <c r="A1340" s="473"/>
      <c r="B1340" s="792" t="s">
        <v>796</v>
      </c>
      <c r="C1340" s="707">
        <v>16131000</v>
      </c>
      <c r="D1340" s="706">
        <f>SUM(D1341:D1342)</f>
        <v>0</v>
      </c>
      <c r="E1340" s="692"/>
      <c r="G1340" s="781"/>
      <c r="H1340" s="782"/>
    </row>
    <row r="1341" spans="1:8">
      <c r="A1341" s="473"/>
      <c r="B1341" s="500" t="s">
        <v>714</v>
      </c>
      <c r="C1341" s="707">
        <v>16131300</v>
      </c>
      <c r="D1341" s="712"/>
      <c r="E1341" s="692"/>
      <c r="G1341" s="781"/>
      <c r="H1341" s="782"/>
    </row>
    <row r="1342" spans="1:8">
      <c r="A1342" s="473"/>
      <c r="B1342" s="500" t="s">
        <v>83</v>
      </c>
      <c r="C1342" s="707">
        <v>16131300</v>
      </c>
      <c r="D1342" s="712"/>
      <c r="E1342" s="692"/>
      <c r="G1342" s="781"/>
      <c r="H1342" s="782"/>
    </row>
    <row r="1343" spans="1:8">
      <c r="A1343" s="473"/>
      <c r="B1343" s="792" t="s">
        <v>799</v>
      </c>
      <c r="C1343" s="707">
        <v>16132000</v>
      </c>
      <c r="D1343" s="706">
        <f>SUM(D1344,D1347)</f>
        <v>0</v>
      </c>
      <c r="E1343" s="692"/>
      <c r="G1343" s="781"/>
      <c r="H1343" s="782"/>
    </row>
    <row r="1344" spans="1:8">
      <c r="A1344" s="473"/>
      <c r="B1344" s="500" t="s">
        <v>714</v>
      </c>
      <c r="C1344" s="707">
        <v>16132100</v>
      </c>
      <c r="D1344" s="706">
        <f>SUM(D1345:D1346)</f>
        <v>0</v>
      </c>
      <c r="E1344" s="692"/>
      <c r="G1344" s="781"/>
      <c r="H1344" s="782"/>
    </row>
    <row r="1345" spans="1:8">
      <c r="A1345" s="473"/>
      <c r="B1345" s="793" t="s">
        <v>52</v>
      </c>
      <c r="C1345" s="707">
        <v>16132130</v>
      </c>
      <c r="D1345" s="712"/>
      <c r="E1345" s="692"/>
      <c r="G1345" s="781"/>
      <c r="H1345" s="782"/>
    </row>
    <row r="1346" spans="1:8">
      <c r="A1346" s="473"/>
      <c r="B1346" s="793" t="s">
        <v>801</v>
      </c>
      <c r="C1346" s="707">
        <v>16132130</v>
      </c>
      <c r="D1346" s="712"/>
      <c r="E1346" s="692"/>
      <c r="G1346" s="781"/>
      <c r="H1346" s="782"/>
    </row>
    <row r="1347" spans="1:8">
      <c r="A1347" s="473"/>
      <c r="B1347" s="500" t="s">
        <v>83</v>
      </c>
      <c r="C1347" s="707">
        <v>16132200</v>
      </c>
      <c r="D1347" s="706">
        <f>SUM(D1348:D1349)</f>
        <v>0</v>
      </c>
      <c r="E1347" s="692"/>
      <c r="G1347" s="781"/>
      <c r="H1347" s="782"/>
    </row>
    <row r="1348" spans="1:8">
      <c r="A1348" s="473"/>
      <c r="B1348" s="793" t="s">
        <v>52</v>
      </c>
      <c r="C1348" s="707">
        <v>16132210</v>
      </c>
      <c r="D1348" s="712"/>
      <c r="E1348" s="692"/>
      <c r="G1348" s="781"/>
      <c r="H1348" s="782"/>
    </row>
    <row r="1349" spans="1:8">
      <c r="A1349" s="473"/>
      <c r="B1349" s="793" t="s">
        <v>801</v>
      </c>
      <c r="C1349" s="707">
        <v>16132220</v>
      </c>
      <c r="D1349" s="712"/>
      <c r="E1349" s="692"/>
      <c r="G1349" s="781"/>
      <c r="H1349" s="782"/>
    </row>
    <row r="1350" spans="1:8">
      <c r="A1350" s="473"/>
      <c r="B1350" s="792" t="s">
        <v>54</v>
      </c>
      <c r="C1350" s="707">
        <v>16132230</v>
      </c>
      <c r="D1350" s="706">
        <f>SUM(D1351:D1352)</f>
        <v>0</v>
      </c>
      <c r="E1350" s="692"/>
      <c r="G1350" s="781"/>
      <c r="H1350" s="782"/>
    </row>
    <row r="1351" spans="1:8">
      <c r="A1351" s="473"/>
      <c r="B1351" s="500" t="s">
        <v>714</v>
      </c>
      <c r="C1351" s="707">
        <v>16132231</v>
      </c>
      <c r="D1351" s="712"/>
      <c r="E1351" s="692"/>
      <c r="G1351" s="781"/>
      <c r="H1351" s="782"/>
    </row>
    <row r="1352" spans="1:8">
      <c r="A1352" s="473"/>
      <c r="B1352" s="500" t="s">
        <v>83</v>
      </c>
      <c r="C1352" s="707">
        <v>16132232</v>
      </c>
      <c r="D1352" s="712"/>
      <c r="E1352" s="692"/>
      <c r="G1352" s="781"/>
      <c r="H1352" s="782"/>
    </row>
    <row r="1353" spans="1:8">
      <c r="A1353" s="473"/>
      <c r="B1353" s="792" t="s">
        <v>826</v>
      </c>
      <c r="C1353" s="707">
        <v>16132240</v>
      </c>
      <c r="D1353" s="706">
        <f>SUM(D1354:D1355)</f>
        <v>0</v>
      </c>
      <c r="E1353" s="692"/>
      <c r="G1353" s="781"/>
      <c r="H1353" s="782"/>
    </row>
    <row r="1354" spans="1:8">
      <c r="A1354" s="473"/>
      <c r="B1354" s="500" t="s">
        <v>714</v>
      </c>
      <c r="C1354" s="707">
        <v>16132241</v>
      </c>
      <c r="D1354" s="712"/>
      <c r="E1354" s="14"/>
      <c r="G1354" s="781"/>
      <c r="H1354" s="782"/>
    </row>
    <row r="1355" spans="1:8">
      <c r="A1355" s="473"/>
      <c r="B1355" s="500" t="s">
        <v>83</v>
      </c>
      <c r="C1355" s="707">
        <v>16132242</v>
      </c>
      <c r="D1355" s="712"/>
      <c r="E1355" s="692"/>
      <c r="G1355" s="781"/>
      <c r="H1355" s="782"/>
    </row>
    <row r="1356" spans="1:8">
      <c r="A1356" s="473"/>
      <c r="B1356" s="792" t="s">
        <v>827</v>
      </c>
      <c r="C1356" s="707">
        <v>16132250</v>
      </c>
      <c r="D1356" s="706">
        <f>SUM(D1357:D1358)</f>
        <v>0</v>
      </c>
      <c r="E1356" s="692"/>
      <c r="G1356" s="781"/>
      <c r="H1356" s="782"/>
    </row>
    <row r="1357" spans="1:8">
      <c r="A1357" s="473"/>
      <c r="B1357" s="500" t="s">
        <v>714</v>
      </c>
      <c r="C1357" s="707">
        <v>16132251</v>
      </c>
      <c r="D1357" s="712"/>
      <c r="E1357" s="692"/>
      <c r="G1357" s="781"/>
      <c r="H1357" s="782"/>
    </row>
    <row r="1358" spans="1:8">
      <c r="A1358" s="473"/>
      <c r="B1358" s="500" t="s">
        <v>83</v>
      </c>
      <c r="C1358" s="707">
        <v>16132252</v>
      </c>
      <c r="D1358" s="712"/>
      <c r="E1358" s="692"/>
      <c r="G1358" s="781"/>
      <c r="H1358" s="782"/>
    </row>
    <row r="1359" spans="1:8">
      <c r="A1359" s="473"/>
      <c r="B1359" s="495" t="s">
        <v>956</v>
      </c>
      <c r="C1359" s="705">
        <v>16140000</v>
      </c>
      <c r="D1359" s="763">
        <f>SUM(D1360,D1363,D1370,D1373,D1376)</f>
        <v>0</v>
      </c>
      <c r="E1359" s="692"/>
      <c r="G1359" s="781"/>
      <c r="H1359" s="782"/>
    </row>
    <row r="1360" spans="1:8">
      <c r="A1360" s="473"/>
      <c r="B1360" s="792" t="s">
        <v>796</v>
      </c>
      <c r="C1360" s="707">
        <v>16141000</v>
      </c>
      <c r="D1360" s="706">
        <f>SUM(D1361:D1362)</f>
        <v>0</v>
      </c>
      <c r="E1360" s="692"/>
      <c r="G1360" s="781"/>
      <c r="H1360" s="782"/>
    </row>
    <row r="1361" spans="1:8">
      <c r="A1361" s="473"/>
      <c r="B1361" s="500" t="s">
        <v>714</v>
      </c>
      <c r="C1361" s="707">
        <v>16141400</v>
      </c>
      <c r="D1361" s="712"/>
      <c r="E1361" s="692"/>
      <c r="G1361" s="781"/>
      <c r="H1361" s="782"/>
    </row>
    <row r="1362" spans="1:8">
      <c r="A1362" s="473"/>
      <c r="B1362" s="500" t="s">
        <v>83</v>
      </c>
      <c r="C1362" s="707">
        <v>16141400</v>
      </c>
      <c r="D1362" s="712"/>
      <c r="E1362" s="692"/>
      <c r="G1362" s="781"/>
      <c r="H1362" s="782"/>
    </row>
    <row r="1363" spans="1:8">
      <c r="A1363" s="473"/>
      <c r="B1363" s="792" t="s">
        <v>799</v>
      </c>
      <c r="C1363" s="707">
        <v>16142000</v>
      </c>
      <c r="D1363" s="706">
        <f>SUM(D1364,D1367)</f>
        <v>0</v>
      </c>
      <c r="E1363" s="692"/>
      <c r="G1363" s="781"/>
      <c r="H1363" s="782"/>
    </row>
    <row r="1364" spans="1:8">
      <c r="A1364" s="473"/>
      <c r="B1364" s="500" t="s">
        <v>714</v>
      </c>
      <c r="C1364" s="707">
        <v>16142100</v>
      </c>
      <c r="D1364" s="706">
        <f>SUM(D1365:D1366)</f>
        <v>0</v>
      </c>
      <c r="E1364" s="692"/>
      <c r="G1364" s="781"/>
      <c r="H1364" s="782"/>
    </row>
    <row r="1365" spans="1:8">
      <c r="A1365" s="473"/>
      <c r="B1365" s="793" t="s">
        <v>52</v>
      </c>
      <c r="C1365" s="707">
        <v>16142140</v>
      </c>
      <c r="D1365" s="712"/>
      <c r="E1365" s="692"/>
      <c r="G1365" s="781"/>
      <c r="H1365" s="782"/>
    </row>
    <row r="1366" spans="1:8">
      <c r="A1366" s="473"/>
      <c r="B1366" s="793" t="s">
        <v>801</v>
      </c>
      <c r="C1366" s="707">
        <v>16142140</v>
      </c>
      <c r="D1366" s="712"/>
      <c r="E1366" s="692"/>
      <c r="G1366" s="781"/>
      <c r="H1366" s="782"/>
    </row>
    <row r="1367" spans="1:8">
      <c r="A1367" s="473"/>
      <c r="B1367" s="500" t="s">
        <v>83</v>
      </c>
      <c r="C1367" s="707">
        <v>16142200</v>
      </c>
      <c r="D1367" s="706">
        <f>SUM(D1368:D1369)</f>
        <v>0</v>
      </c>
      <c r="E1367" s="692"/>
      <c r="G1367" s="781"/>
      <c r="H1367" s="782"/>
    </row>
    <row r="1368" spans="1:8">
      <c r="A1368" s="473"/>
      <c r="B1368" s="793" t="s">
        <v>52</v>
      </c>
      <c r="C1368" s="707">
        <v>16142210</v>
      </c>
      <c r="D1368" s="712"/>
      <c r="E1368" s="692"/>
      <c r="G1368" s="781"/>
      <c r="H1368" s="782"/>
    </row>
    <row r="1369" spans="1:8">
      <c r="A1369" s="473"/>
      <c r="B1369" s="793" t="s">
        <v>801</v>
      </c>
      <c r="C1369" s="707">
        <v>16142220</v>
      </c>
      <c r="D1369" s="712"/>
      <c r="E1369" s="692"/>
      <c r="G1369" s="781"/>
      <c r="H1369" s="782"/>
    </row>
    <row r="1370" spans="1:8">
      <c r="A1370" s="473"/>
      <c r="B1370" s="792" t="s">
        <v>54</v>
      </c>
      <c r="C1370" s="707">
        <v>16142230</v>
      </c>
      <c r="D1370" s="706">
        <f>SUM(D1371:D1372)</f>
        <v>0</v>
      </c>
      <c r="E1370" s="692"/>
      <c r="G1370" s="781"/>
      <c r="H1370" s="782"/>
    </row>
    <row r="1371" spans="1:8">
      <c r="A1371" s="473"/>
      <c r="B1371" s="500" t="s">
        <v>714</v>
      </c>
      <c r="C1371" s="707">
        <v>16142231</v>
      </c>
      <c r="D1371" s="712"/>
      <c r="E1371" s="692"/>
      <c r="G1371" s="781"/>
      <c r="H1371" s="782"/>
    </row>
    <row r="1372" spans="1:8">
      <c r="A1372" s="473"/>
      <c r="B1372" s="500" t="s">
        <v>83</v>
      </c>
      <c r="C1372" s="707">
        <v>16142232</v>
      </c>
      <c r="D1372" s="712"/>
      <c r="E1372" s="692"/>
      <c r="G1372" s="781"/>
      <c r="H1372" s="782"/>
    </row>
    <row r="1373" spans="1:8">
      <c r="A1373" s="473"/>
      <c r="B1373" s="792" t="s">
        <v>826</v>
      </c>
      <c r="C1373" s="707">
        <v>16142240</v>
      </c>
      <c r="D1373" s="706">
        <f>SUM(D1374:D1375)</f>
        <v>0</v>
      </c>
      <c r="E1373" s="692"/>
      <c r="G1373" s="781"/>
      <c r="H1373" s="782"/>
    </row>
    <row r="1374" spans="1:8">
      <c r="A1374" s="473"/>
      <c r="B1374" s="500" t="s">
        <v>714</v>
      </c>
      <c r="C1374" s="707">
        <v>16142241</v>
      </c>
      <c r="D1374" s="712"/>
      <c r="E1374" s="734"/>
      <c r="G1374" s="781"/>
      <c r="H1374" s="782"/>
    </row>
    <row r="1375" spans="1:8">
      <c r="A1375" s="473"/>
      <c r="B1375" s="500" t="s">
        <v>83</v>
      </c>
      <c r="C1375" s="707">
        <v>16142242</v>
      </c>
      <c r="D1375" s="712"/>
      <c r="E1375" s="692"/>
      <c r="G1375" s="781"/>
      <c r="H1375" s="782"/>
    </row>
    <row r="1376" spans="1:8">
      <c r="A1376" s="473"/>
      <c r="B1376" s="792" t="s">
        <v>827</v>
      </c>
      <c r="C1376" s="707">
        <v>16142250</v>
      </c>
      <c r="D1376" s="706">
        <f>SUM(D1377:D1378)</f>
        <v>0</v>
      </c>
      <c r="E1376" s="692"/>
      <c r="G1376" s="781"/>
      <c r="H1376" s="782"/>
    </row>
    <row r="1377" spans="1:8">
      <c r="A1377" s="473"/>
      <c r="B1377" s="500" t="s">
        <v>714</v>
      </c>
      <c r="C1377" s="707">
        <v>16142251</v>
      </c>
      <c r="D1377" s="712"/>
      <c r="E1377" s="14"/>
      <c r="G1377" s="781"/>
      <c r="H1377" s="782"/>
    </row>
    <row r="1378" spans="1:8">
      <c r="A1378" s="473"/>
      <c r="B1378" s="500" t="s">
        <v>83</v>
      </c>
      <c r="C1378" s="707">
        <v>16142252</v>
      </c>
      <c r="D1378" s="712"/>
      <c r="E1378" s="692"/>
      <c r="G1378" s="781"/>
      <c r="H1378" s="782"/>
    </row>
    <row r="1379" spans="1:8">
      <c r="A1379" s="473"/>
      <c r="B1379" s="495" t="s">
        <v>957</v>
      </c>
      <c r="C1379" s="705">
        <v>16150000</v>
      </c>
      <c r="D1379" s="763">
        <f>SUM(D1380,D1383,D1390,D1393,D1396)</f>
        <v>0</v>
      </c>
      <c r="E1379" s="692"/>
      <c r="G1379" s="781"/>
      <c r="H1379" s="782"/>
    </row>
    <row r="1380" spans="1:8">
      <c r="A1380" s="473"/>
      <c r="B1380" s="792" t="s">
        <v>796</v>
      </c>
      <c r="C1380" s="707">
        <v>16151000</v>
      </c>
      <c r="D1380" s="706">
        <f>SUM(D1381:D1382)</f>
        <v>0</v>
      </c>
      <c r="E1380" s="692"/>
      <c r="G1380" s="781"/>
      <c r="H1380" s="782"/>
    </row>
    <row r="1381" spans="1:8">
      <c r="A1381" s="473"/>
      <c r="B1381" s="500" t="s">
        <v>714</v>
      </c>
      <c r="C1381" s="707">
        <v>16151500</v>
      </c>
      <c r="D1381" s="712"/>
      <c r="E1381" s="692"/>
      <c r="G1381" s="781"/>
      <c r="H1381" s="782"/>
    </row>
    <row r="1382" spans="1:8">
      <c r="A1382" s="473"/>
      <c r="B1382" s="500" t="s">
        <v>83</v>
      </c>
      <c r="C1382" s="707">
        <v>16151500</v>
      </c>
      <c r="D1382" s="712"/>
      <c r="E1382" s="692"/>
      <c r="G1382" s="781"/>
      <c r="H1382" s="782"/>
    </row>
    <row r="1383" spans="1:8">
      <c r="A1383" s="473"/>
      <c r="B1383" s="792" t="s">
        <v>799</v>
      </c>
      <c r="C1383" s="707">
        <v>16152000</v>
      </c>
      <c r="D1383" s="706">
        <f>SUM(D1384,D1387)</f>
        <v>0</v>
      </c>
      <c r="E1383" s="692"/>
      <c r="G1383" s="781"/>
      <c r="H1383" s="782"/>
    </row>
    <row r="1384" spans="1:8">
      <c r="A1384" s="473"/>
      <c r="B1384" s="500" t="s">
        <v>714</v>
      </c>
      <c r="C1384" s="707">
        <v>16152100</v>
      </c>
      <c r="D1384" s="706">
        <f>SUM(D1385:D1386)</f>
        <v>0</v>
      </c>
      <c r="E1384" s="692"/>
      <c r="G1384" s="781"/>
      <c r="H1384" s="782"/>
    </row>
    <row r="1385" spans="1:8">
      <c r="A1385" s="473"/>
      <c r="B1385" s="793" t="s">
        <v>52</v>
      </c>
      <c r="C1385" s="707">
        <v>16152150</v>
      </c>
      <c r="D1385" s="712"/>
      <c r="E1385" s="692"/>
      <c r="G1385" s="781"/>
      <c r="H1385" s="782"/>
    </row>
    <row r="1386" spans="1:8">
      <c r="A1386" s="473"/>
      <c r="B1386" s="793" t="s">
        <v>801</v>
      </c>
      <c r="C1386" s="707">
        <v>16152150</v>
      </c>
      <c r="D1386" s="712"/>
      <c r="E1386" s="692"/>
      <c r="G1386" s="781"/>
      <c r="H1386" s="782"/>
    </row>
    <row r="1387" spans="1:8">
      <c r="A1387" s="473"/>
      <c r="B1387" s="500" t="s">
        <v>83</v>
      </c>
      <c r="C1387" s="707">
        <v>16152200</v>
      </c>
      <c r="D1387" s="706">
        <f>SUM(D1388:D1389)</f>
        <v>0</v>
      </c>
      <c r="E1387" s="692"/>
      <c r="G1387" s="781"/>
      <c r="H1387" s="782"/>
    </row>
    <row r="1388" spans="1:8">
      <c r="A1388" s="473"/>
      <c r="B1388" s="793" t="s">
        <v>52</v>
      </c>
      <c r="C1388" s="707">
        <v>16152210</v>
      </c>
      <c r="D1388" s="712"/>
      <c r="E1388" s="692"/>
      <c r="G1388" s="781"/>
      <c r="H1388" s="782"/>
    </row>
    <row r="1389" spans="1:8">
      <c r="A1389" s="473"/>
      <c r="B1389" s="793" t="s">
        <v>801</v>
      </c>
      <c r="C1389" s="707">
        <v>16152220</v>
      </c>
      <c r="D1389" s="712"/>
      <c r="E1389" s="692"/>
      <c r="G1389" s="781"/>
      <c r="H1389" s="782"/>
    </row>
    <row r="1390" spans="1:8">
      <c r="A1390" s="473"/>
      <c r="B1390" s="792" t="s">
        <v>54</v>
      </c>
      <c r="C1390" s="707">
        <v>16152230</v>
      </c>
      <c r="D1390" s="706">
        <f>SUM(D1391:D1392)</f>
        <v>0</v>
      </c>
      <c r="E1390" s="692"/>
      <c r="G1390" s="781"/>
      <c r="H1390" s="782"/>
    </row>
    <row r="1391" spans="1:8">
      <c r="A1391" s="473"/>
      <c r="B1391" s="500" t="s">
        <v>714</v>
      </c>
      <c r="C1391" s="707">
        <v>16152231</v>
      </c>
      <c r="D1391" s="712"/>
      <c r="E1391" s="692"/>
      <c r="G1391" s="781"/>
      <c r="H1391" s="782"/>
    </row>
    <row r="1392" spans="1:8">
      <c r="A1392" s="473"/>
      <c r="B1392" s="500" t="s">
        <v>83</v>
      </c>
      <c r="C1392" s="707">
        <v>16152232</v>
      </c>
      <c r="D1392" s="712"/>
      <c r="E1392" s="692"/>
      <c r="G1392" s="781"/>
      <c r="H1392" s="782"/>
    </row>
    <row r="1393" spans="1:8">
      <c r="A1393" s="473"/>
      <c r="B1393" s="792" t="s">
        <v>826</v>
      </c>
      <c r="C1393" s="707">
        <v>16152240</v>
      </c>
      <c r="D1393" s="706">
        <f>SUM(D1394:D1395)</f>
        <v>0</v>
      </c>
      <c r="E1393" s="692"/>
      <c r="G1393" s="781"/>
      <c r="H1393" s="782"/>
    </row>
    <row r="1394" spans="1:8">
      <c r="A1394" s="473"/>
      <c r="B1394" s="500" t="s">
        <v>714</v>
      </c>
      <c r="C1394" s="707">
        <v>16152241</v>
      </c>
      <c r="D1394" s="712"/>
      <c r="E1394" s="692"/>
      <c r="G1394" s="781"/>
      <c r="H1394" s="782"/>
    </row>
    <row r="1395" spans="1:8">
      <c r="A1395" s="473"/>
      <c r="B1395" s="500" t="s">
        <v>83</v>
      </c>
      <c r="C1395" s="707">
        <v>16152242</v>
      </c>
      <c r="D1395" s="712"/>
      <c r="E1395" s="692"/>
      <c r="G1395" s="781"/>
      <c r="H1395" s="782"/>
    </row>
    <row r="1396" spans="1:8">
      <c r="A1396" s="473"/>
      <c r="B1396" s="792" t="s">
        <v>827</v>
      </c>
      <c r="C1396" s="707">
        <v>16152250</v>
      </c>
      <c r="D1396" s="706">
        <f>SUM(D1397:D1398)</f>
        <v>0</v>
      </c>
      <c r="E1396" s="692"/>
      <c r="G1396" s="781"/>
      <c r="H1396" s="782"/>
    </row>
    <row r="1397" spans="1:8">
      <c r="A1397" s="473"/>
      <c r="B1397" s="500" t="s">
        <v>714</v>
      </c>
      <c r="C1397" s="707">
        <v>16152251</v>
      </c>
      <c r="D1397" s="712"/>
      <c r="E1397" s="692"/>
      <c r="G1397" s="781"/>
      <c r="H1397" s="782"/>
    </row>
    <row r="1398" spans="1:8">
      <c r="A1398" s="473"/>
      <c r="B1398" s="500" t="s">
        <v>83</v>
      </c>
      <c r="C1398" s="707">
        <v>16152252</v>
      </c>
      <c r="D1398" s="712"/>
      <c r="E1398" s="692"/>
      <c r="G1398" s="781"/>
      <c r="H1398" s="782"/>
    </row>
    <row r="1399" spans="1:8">
      <c r="A1399" s="478"/>
      <c r="B1399" s="516" t="s">
        <v>958</v>
      </c>
      <c r="C1399" s="786">
        <v>16160000</v>
      </c>
      <c r="D1399" s="953">
        <f>SUM(D1400,D1403,D1410,D1413,D1416)</f>
        <v>0</v>
      </c>
      <c r="E1399" s="692"/>
      <c r="G1399" s="781"/>
      <c r="H1399" s="782"/>
    </row>
    <row r="1400" spans="1:8">
      <c r="A1400" s="473"/>
      <c r="B1400" s="792" t="s">
        <v>796</v>
      </c>
      <c r="C1400" s="707">
        <v>16161000</v>
      </c>
      <c r="D1400" s="706">
        <f>SUM(D1401:D1402)</f>
        <v>0</v>
      </c>
      <c r="E1400" s="692"/>
      <c r="G1400" s="781"/>
      <c r="H1400" s="782"/>
    </row>
    <row r="1401" spans="1:8">
      <c r="A1401" s="473"/>
      <c r="B1401" s="500" t="s">
        <v>714</v>
      </c>
      <c r="C1401" s="707">
        <v>16161100</v>
      </c>
      <c r="D1401" s="712"/>
      <c r="E1401" s="692"/>
      <c r="G1401" s="781"/>
      <c r="H1401" s="782"/>
    </row>
    <row r="1402" spans="1:8">
      <c r="A1402" s="473"/>
      <c r="B1402" s="500" t="s">
        <v>83</v>
      </c>
      <c r="C1402" s="707">
        <v>16161200</v>
      </c>
      <c r="D1402" s="712"/>
      <c r="E1402" s="692"/>
      <c r="G1402" s="781"/>
      <c r="H1402" s="782"/>
    </row>
    <row r="1403" spans="1:8">
      <c r="A1403" s="473"/>
      <c r="B1403" s="792" t="s">
        <v>799</v>
      </c>
      <c r="C1403" s="707">
        <v>16162000</v>
      </c>
      <c r="D1403" s="706">
        <f>SUM(D1404,D1407)</f>
        <v>0</v>
      </c>
      <c r="E1403" s="692"/>
      <c r="G1403" s="781"/>
      <c r="H1403" s="782"/>
    </row>
    <row r="1404" spans="1:8">
      <c r="A1404" s="473"/>
      <c r="B1404" s="500" t="s">
        <v>714</v>
      </c>
      <c r="C1404" s="707">
        <v>16162100</v>
      </c>
      <c r="D1404" s="706">
        <f>SUM(D1405:D1406)</f>
        <v>0</v>
      </c>
      <c r="E1404" s="692"/>
      <c r="G1404" s="781"/>
      <c r="H1404" s="782"/>
    </row>
    <row r="1405" spans="1:8">
      <c r="A1405" s="473"/>
      <c r="B1405" s="793" t="s">
        <v>52</v>
      </c>
      <c r="C1405" s="707">
        <v>16162110</v>
      </c>
      <c r="D1405" s="712"/>
      <c r="E1405" s="692"/>
      <c r="G1405" s="781"/>
      <c r="H1405" s="782"/>
    </row>
    <row r="1406" spans="1:8">
      <c r="A1406" s="473"/>
      <c r="B1406" s="793" t="s">
        <v>801</v>
      </c>
      <c r="C1406" s="707">
        <v>16162120</v>
      </c>
      <c r="D1406" s="712"/>
      <c r="E1406" s="692"/>
      <c r="G1406" s="781"/>
      <c r="H1406" s="782"/>
    </row>
    <row r="1407" spans="1:8">
      <c r="A1407" s="473"/>
      <c r="B1407" s="500" t="s">
        <v>83</v>
      </c>
      <c r="C1407" s="707">
        <v>16162200</v>
      </c>
      <c r="D1407" s="706">
        <f>SUM(D1408:D1409)</f>
        <v>0</v>
      </c>
      <c r="E1407" s="692"/>
      <c r="G1407" s="781"/>
      <c r="H1407" s="782"/>
    </row>
    <row r="1408" spans="1:8">
      <c r="A1408" s="473"/>
      <c r="B1408" s="793" t="s">
        <v>52</v>
      </c>
      <c r="C1408" s="707">
        <v>16162210</v>
      </c>
      <c r="D1408" s="712"/>
      <c r="E1408" s="692"/>
      <c r="G1408" s="781"/>
      <c r="H1408" s="782"/>
    </row>
    <row r="1409" spans="1:8">
      <c r="A1409" s="473"/>
      <c r="B1409" s="793" t="s">
        <v>801</v>
      </c>
      <c r="C1409" s="707">
        <v>16162220</v>
      </c>
      <c r="D1409" s="712"/>
      <c r="E1409" s="692"/>
      <c r="G1409" s="781"/>
      <c r="H1409" s="782"/>
    </row>
    <row r="1410" spans="1:8">
      <c r="A1410" s="473"/>
      <c r="B1410" s="792" t="s">
        <v>54</v>
      </c>
      <c r="C1410" s="707">
        <v>16162230</v>
      </c>
      <c r="D1410" s="706">
        <f>SUM(D1411:D1412)</f>
        <v>0</v>
      </c>
      <c r="E1410" s="692"/>
      <c r="G1410" s="781"/>
      <c r="H1410" s="782"/>
    </row>
    <row r="1411" spans="1:8">
      <c r="A1411" s="473"/>
      <c r="B1411" s="500" t="s">
        <v>714</v>
      </c>
      <c r="C1411" s="707">
        <v>16162231</v>
      </c>
      <c r="D1411" s="712"/>
      <c r="E1411" s="692"/>
      <c r="G1411" s="781"/>
      <c r="H1411" s="782"/>
    </row>
    <row r="1412" spans="1:8">
      <c r="A1412" s="473"/>
      <c r="B1412" s="500" t="s">
        <v>83</v>
      </c>
      <c r="C1412" s="707">
        <v>16162232</v>
      </c>
      <c r="D1412" s="712"/>
      <c r="E1412" s="692"/>
      <c r="G1412" s="781"/>
      <c r="H1412" s="782"/>
    </row>
    <row r="1413" spans="1:8">
      <c r="A1413" s="473"/>
      <c r="B1413" s="792" t="s">
        <v>826</v>
      </c>
      <c r="C1413" s="707">
        <v>16162240</v>
      </c>
      <c r="D1413" s="706">
        <f>SUM(D1414:D1415)</f>
        <v>0</v>
      </c>
      <c r="E1413" s="692"/>
      <c r="G1413" s="781"/>
      <c r="H1413" s="782"/>
    </row>
    <row r="1414" spans="1:8">
      <c r="A1414" s="473"/>
      <c r="B1414" s="500" t="s">
        <v>714</v>
      </c>
      <c r="C1414" s="707">
        <v>16162241</v>
      </c>
      <c r="D1414" s="712"/>
      <c r="E1414" s="692"/>
      <c r="G1414" s="781"/>
      <c r="H1414" s="782"/>
    </row>
    <row r="1415" spans="1:8">
      <c r="A1415" s="473"/>
      <c r="B1415" s="500" t="s">
        <v>83</v>
      </c>
      <c r="C1415" s="707">
        <v>16162242</v>
      </c>
      <c r="D1415" s="712"/>
      <c r="E1415" s="692"/>
      <c r="G1415" s="781"/>
      <c r="H1415" s="782"/>
    </row>
    <row r="1416" spans="1:8">
      <c r="A1416" s="473"/>
      <c r="B1416" s="792" t="s">
        <v>827</v>
      </c>
      <c r="C1416" s="707">
        <v>16162250</v>
      </c>
      <c r="D1416" s="706">
        <f>SUM(D1417:D1418)</f>
        <v>0</v>
      </c>
      <c r="E1416" s="692"/>
      <c r="G1416" s="781"/>
      <c r="H1416" s="782"/>
    </row>
    <row r="1417" spans="1:8">
      <c r="A1417" s="473"/>
      <c r="B1417" s="500" t="s">
        <v>714</v>
      </c>
      <c r="C1417" s="707">
        <v>16162251</v>
      </c>
      <c r="D1417" s="712"/>
      <c r="E1417" s="692"/>
      <c r="G1417" s="781"/>
      <c r="H1417" s="782"/>
    </row>
    <row r="1418" spans="1:8">
      <c r="A1418" s="473"/>
      <c r="B1418" s="500" t="s">
        <v>83</v>
      </c>
      <c r="C1418" s="707">
        <v>16162252</v>
      </c>
      <c r="D1418" s="712"/>
      <c r="E1418" s="692"/>
      <c r="G1418" s="781"/>
      <c r="H1418" s="782"/>
    </row>
    <row r="1419" spans="1:8">
      <c r="A1419" s="477"/>
      <c r="B1419" s="542" t="s">
        <v>959</v>
      </c>
      <c r="C1419" s="707">
        <v>16100000</v>
      </c>
      <c r="D1419" s="763">
        <f>SUM(D1420,D1423,D1430,D1433,D1436)</f>
        <v>0</v>
      </c>
      <c r="E1419" s="692"/>
      <c r="G1419" s="781"/>
      <c r="H1419" s="782"/>
    </row>
    <row r="1420" spans="1:8">
      <c r="A1420" s="473"/>
      <c r="B1420" s="792" t="s">
        <v>796</v>
      </c>
      <c r="C1420" s="707">
        <v>16171000</v>
      </c>
      <c r="D1420" s="706">
        <f>SUM(D1421:D1422)</f>
        <v>0</v>
      </c>
      <c r="E1420" s="692"/>
      <c r="G1420" s="781"/>
      <c r="H1420" s="782"/>
    </row>
    <row r="1421" spans="1:8">
      <c r="A1421" s="473"/>
      <c r="B1421" s="500" t="s">
        <v>714</v>
      </c>
      <c r="C1421" s="707">
        <v>16171100</v>
      </c>
      <c r="D1421" s="712"/>
      <c r="E1421" s="692"/>
      <c r="G1421" s="781"/>
      <c r="H1421" s="782"/>
    </row>
    <row r="1422" spans="1:8">
      <c r="A1422" s="473"/>
      <c r="B1422" s="500" t="s">
        <v>83</v>
      </c>
      <c r="C1422" s="707">
        <v>16171200</v>
      </c>
      <c r="D1422" s="712"/>
      <c r="E1422" s="692"/>
      <c r="G1422" s="781"/>
      <c r="H1422" s="782"/>
    </row>
    <row r="1423" spans="1:8">
      <c r="A1423" s="473"/>
      <c r="B1423" s="792" t="s">
        <v>799</v>
      </c>
      <c r="C1423" s="707">
        <v>16172000</v>
      </c>
      <c r="D1423" s="706">
        <f>SUM(D1424,D1427)</f>
        <v>0</v>
      </c>
      <c r="E1423" s="692"/>
      <c r="G1423" s="781"/>
      <c r="H1423" s="782"/>
    </row>
    <row r="1424" spans="1:8">
      <c r="A1424" s="473"/>
      <c r="B1424" s="500" t="s">
        <v>714</v>
      </c>
      <c r="C1424" s="707">
        <v>16172100</v>
      </c>
      <c r="D1424" s="706">
        <f>SUM(D1425:D1426)</f>
        <v>0</v>
      </c>
      <c r="E1424" s="692"/>
      <c r="G1424" s="781"/>
      <c r="H1424" s="782"/>
    </row>
    <row r="1425" spans="1:8">
      <c r="A1425" s="473"/>
      <c r="B1425" s="793" t="s">
        <v>52</v>
      </c>
      <c r="C1425" s="707">
        <v>16172110</v>
      </c>
      <c r="D1425" s="712"/>
      <c r="E1425" s="692"/>
      <c r="G1425" s="781"/>
      <c r="H1425" s="782"/>
    </row>
    <row r="1426" spans="1:8">
      <c r="A1426" s="473"/>
      <c r="B1426" s="793" t="s">
        <v>801</v>
      </c>
      <c r="C1426" s="707">
        <v>16172120</v>
      </c>
      <c r="D1426" s="712"/>
      <c r="E1426" s="692"/>
      <c r="G1426" s="781"/>
      <c r="H1426" s="782"/>
    </row>
    <row r="1427" spans="1:8">
      <c r="A1427" s="473"/>
      <c r="B1427" s="500" t="s">
        <v>83</v>
      </c>
      <c r="C1427" s="707">
        <v>16172200</v>
      </c>
      <c r="D1427" s="706">
        <f>SUM(D1428:D1429)</f>
        <v>0</v>
      </c>
      <c r="E1427" s="692"/>
      <c r="G1427" s="781"/>
      <c r="H1427" s="782"/>
    </row>
    <row r="1428" spans="1:8">
      <c r="A1428" s="473"/>
      <c r="B1428" s="793" t="s">
        <v>52</v>
      </c>
      <c r="C1428" s="707">
        <v>16172210</v>
      </c>
      <c r="D1428" s="712"/>
      <c r="E1428" s="692"/>
      <c r="G1428" s="781"/>
      <c r="H1428" s="782"/>
    </row>
    <row r="1429" spans="1:8">
      <c r="A1429" s="473"/>
      <c r="B1429" s="793" t="s">
        <v>801</v>
      </c>
      <c r="C1429" s="707">
        <v>16172220</v>
      </c>
      <c r="D1429" s="712"/>
      <c r="E1429" s="692"/>
      <c r="G1429" s="781"/>
      <c r="H1429" s="782"/>
    </row>
    <row r="1430" spans="1:8">
      <c r="A1430" s="473"/>
      <c r="B1430" s="792" t="s">
        <v>54</v>
      </c>
      <c r="C1430" s="707">
        <v>16172230</v>
      </c>
      <c r="D1430" s="706">
        <f>SUM(D1431:D1432)</f>
        <v>0</v>
      </c>
      <c r="E1430" s="692"/>
      <c r="G1430" s="781"/>
      <c r="H1430" s="782"/>
    </row>
    <row r="1431" spans="1:8">
      <c r="A1431" s="473"/>
      <c r="B1431" s="500" t="s">
        <v>714</v>
      </c>
      <c r="C1431" s="707">
        <v>16172231</v>
      </c>
      <c r="D1431" s="712"/>
      <c r="E1431" s="692"/>
      <c r="G1431" s="781"/>
      <c r="H1431" s="782"/>
    </row>
    <row r="1432" spans="1:8">
      <c r="A1432" s="473"/>
      <c r="B1432" s="500" t="s">
        <v>83</v>
      </c>
      <c r="C1432" s="707">
        <v>16172232</v>
      </c>
      <c r="D1432" s="712"/>
      <c r="E1432" s="692"/>
      <c r="G1432" s="781"/>
      <c r="H1432" s="782"/>
    </row>
    <row r="1433" spans="1:8">
      <c r="A1433" s="473"/>
      <c r="B1433" s="792" t="s">
        <v>826</v>
      </c>
      <c r="C1433" s="707">
        <v>16172240</v>
      </c>
      <c r="D1433" s="706">
        <f>SUM(D1434:D1435)</f>
        <v>0</v>
      </c>
      <c r="E1433" s="692"/>
      <c r="G1433" s="781"/>
      <c r="H1433" s="782"/>
    </row>
    <row r="1434" spans="1:8">
      <c r="A1434" s="473"/>
      <c r="B1434" s="500" t="s">
        <v>714</v>
      </c>
      <c r="C1434" s="707">
        <v>16172241</v>
      </c>
      <c r="D1434" s="712"/>
      <c r="E1434" s="692"/>
      <c r="G1434" s="781"/>
      <c r="H1434" s="782"/>
    </row>
    <row r="1435" spans="1:8">
      <c r="A1435" s="473"/>
      <c r="B1435" s="500" t="s">
        <v>83</v>
      </c>
      <c r="C1435" s="707">
        <v>16172242</v>
      </c>
      <c r="D1435" s="712"/>
      <c r="E1435" s="692"/>
      <c r="G1435" s="781"/>
      <c r="H1435" s="782"/>
    </row>
    <row r="1436" spans="1:8">
      <c r="A1436" s="473"/>
      <c r="B1436" s="792" t="s">
        <v>827</v>
      </c>
      <c r="C1436" s="707">
        <v>16172250</v>
      </c>
      <c r="D1436" s="706">
        <f>SUM(D1437:D1438)</f>
        <v>0</v>
      </c>
      <c r="E1436" s="692"/>
      <c r="G1436" s="781"/>
      <c r="H1436" s="782"/>
    </row>
    <row r="1437" spans="1:8">
      <c r="A1437" s="473"/>
      <c r="B1437" s="500" t="s">
        <v>714</v>
      </c>
      <c r="C1437" s="707">
        <v>16172251</v>
      </c>
      <c r="D1437" s="712"/>
      <c r="E1437" s="692"/>
      <c r="G1437" s="781"/>
      <c r="H1437" s="782"/>
    </row>
    <row r="1438" spans="1:8">
      <c r="A1438" s="473"/>
      <c r="B1438" s="500" t="s">
        <v>83</v>
      </c>
      <c r="C1438" s="707">
        <v>16172252</v>
      </c>
      <c r="D1438" s="712"/>
      <c r="E1438" s="14"/>
      <c r="G1438" s="781"/>
      <c r="H1438" s="782"/>
    </row>
    <row r="1439" spans="1:8">
      <c r="A1439" s="478"/>
      <c r="B1439" s="954" t="s">
        <v>960</v>
      </c>
      <c r="C1439" s="786">
        <v>16180000</v>
      </c>
      <c r="D1439" s="953">
        <f>SUM(D1440:D1441)</f>
        <v>0</v>
      </c>
      <c r="E1439" s="14"/>
      <c r="G1439" s="781"/>
      <c r="H1439" s="782"/>
    </row>
    <row r="1440" spans="1:8">
      <c r="A1440" s="473"/>
      <c r="B1440" s="793" t="s">
        <v>714</v>
      </c>
      <c r="C1440" s="707">
        <v>16181000</v>
      </c>
      <c r="D1440" s="712"/>
      <c r="E1440" s="692"/>
      <c r="G1440" s="781"/>
      <c r="H1440" s="782"/>
    </row>
    <row r="1441" spans="1:8">
      <c r="A1441" s="473"/>
      <c r="B1441" s="793" t="s">
        <v>83</v>
      </c>
      <c r="C1441" s="707">
        <v>16182000</v>
      </c>
      <c r="D1441" s="712"/>
      <c r="E1441" s="692"/>
      <c r="G1441" s="781"/>
      <c r="H1441" s="782"/>
    </row>
    <row r="1442" spans="1:8">
      <c r="A1442" s="699"/>
      <c r="B1442" s="713" t="s">
        <v>966</v>
      </c>
      <c r="C1442" s="700">
        <v>16200000</v>
      </c>
      <c r="D1442" s="910"/>
      <c r="E1442" s="692"/>
      <c r="G1442" s="781"/>
      <c r="H1442" s="782"/>
    </row>
    <row r="1443" spans="1:8">
      <c r="A1443" s="699"/>
      <c r="B1443" s="713" t="s">
        <v>967</v>
      </c>
      <c r="C1443" s="700">
        <v>16300000</v>
      </c>
      <c r="D1443" s="783">
        <f>SUM(D1444,D1447,D1450:D1452,-D1453)</f>
        <v>0</v>
      </c>
      <c r="E1443" s="692"/>
      <c r="F1443" s="971" t="str">
        <f>IF(SUM(D1444,D1447,D1450:D1452)&gt;0,IF(Provision!C29=SUM(D1444,D1447,D1450:D1452),"","Provision тайланг нөхнө үү!"),"")</f>
        <v/>
      </c>
      <c r="G1443" s="781"/>
      <c r="H1443" s="782"/>
    </row>
    <row r="1444" spans="1:8">
      <c r="A1444" s="457"/>
      <c r="B1444" s="480" t="s">
        <v>796</v>
      </c>
      <c r="C1444" s="707">
        <v>16310000</v>
      </c>
      <c r="D1444" s="712">
        <f>SUM(D1445:D1446)</f>
        <v>0</v>
      </c>
      <c r="E1444" s="692"/>
      <c r="G1444" s="781"/>
      <c r="H1444" s="782"/>
    </row>
    <row r="1445" spans="1:8">
      <c r="A1445" s="457"/>
      <c r="B1445" s="709" t="s">
        <v>797</v>
      </c>
      <c r="C1445" s="707">
        <v>16320000</v>
      </c>
      <c r="D1445" s="826"/>
      <c r="E1445" s="692"/>
      <c r="G1445" s="781"/>
      <c r="H1445" s="782"/>
    </row>
    <row r="1446" spans="1:8">
      <c r="A1446" s="457"/>
      <c r="B1446" s="709" t="s">
        <v>968</v>
      </c>
      <c r="C1446" s="707">
        <v>16330000</v>
      </c>
      <c r="D1446" s="826"/>
      <c r="E1446" s="692"/>
      <c r="G1446" s="781"/>
      <c r="H1446" s="782"/>
    </row>
    <row r="1447" spans="1:8">
      <c r="A1447" s="457"/>
      <c r="B1447" s="480" t="s">
        <v>799</v>
      </c>
      <c r="C1447" s="707">
        <v>16331000</v>
      </c>
      <c r="D1447" s="712">
        <f>SUM(D1448:D1449)</f>
        <v>0</v>
      </c>
      <c r="E1447" s="692"/>
      <c r="G1447" s="781"/>
      <c r="H1447" s="782"/>
    </row>
    <row r="1448" spans="1:8">
      <c r="A1448" s="457"/>
      <c r="B1448" s="709" t="s">
        <v>52</v>
      </c>
      <c r="C1448" s="707">
        <v>16332000</v>
      </c>
      <c r="D1448" s="826"/>
      <c r="E1448" s="692"/>
      <c r="G1448" s="781"/>
      <c r="H1448" s="782"/>
    </row>
    <row r="1449" spans="1:8">
      <c r="A1449" s="457"/>
      <c r="B1449" s="709" t="s">
        <v>801</v>
      </c>
      <c r="C1449" s="707">
        <v>16340000</v>
      </c>
      <c r="D1449" s="826"/>
      <c r="E1449" s="692"/>
      <c r="G1449" s="781"/>
      <c r="H1449" s="782"/>
    </row>
    <row r="1450" spans="1:8">
      <c r="A1450" s="457"/>
      <c r="B1450" s="480" t="s">
        <v>54</v>
      </c>
      <c r="C1450" s="707">
        <v>16341000</v>
      </c>
      <c r="D1450" s="826"/>
      <c r="E1450" s="692"/>
      <c r="G1450" s="781"/>
      <c r="H1450" s="782"/>
    </row>
    <row r="1451" spans="1:8" ht="25.5">
      <c r="A1451" s="457"/>
      <c r="B1451" s="480" t="s">
        <v>826</v>
      </c>
      <c r="C1451" s="707">
        <v>16342000</v>
      </c>
      <c r="D1451" s="826"/>
      <c r="E1451" s="692"/>
      <c r="G1451" s="781"/>
      <c r="H1451" s="782"/>
    </row>
    <row r="1452" spans="1:8">
      <c r="A1452" s="457"/>
      <c r="B1452" s="480" t="s">
        <v>827</v>
      </c>
      <c r="C1452" s="707">
        <v>16350000</v>
      </c>
      <c r="D1452" s="826"/>
      <c r="E1452" s="692"/>
      <c r="G1452" s="781"/>
      <c r="H1452" s="782"/>
    </row>
    <row r="1453" spans="1:8">
      <c r="A1453" s="468"/>
      <c r="B1453" s="745" t="s">
        <v>80</v>
      </c>
      <c r="C1453" s="786">
        <v>16400000</v>
      </c>
      <c r="D1453" s="945"/>
      <c r="E1453" s="692"/>
      <c r="G1453" s="781"/>
      <c r="H1453" s="782"/>
    </row>
    <row r="1454" spans="1:8">
      <c r="A1454" s="699"/>
      <c r="B1454" s="713" t="s">
        <v>835</v>
      </c>
      <c r="C1454" s="700">
        <v>16500000</v>
      </c>
      <c r="D1454" s="826"/>
      <c r="E1454" s="692"/>
      <c r="G1454" s="781"/>
      <c r="H1454" s="782"/>
    </row>
    <row r="1455" spans="1:8">
      <c r="A1455" s="714"/>
      <c r="B1455" s="794" t="s">
        <v>969</v>
      </c>
      <c r="C1455" s="700">
        <v>16600000</v>
      </c>
      <c r="D1455" s="783">
        <f>SUM(D1456,-D1457)</f>
        <v>0</v>
      </c>
      <c r="E1455" s="692"/>
      <c r="F1455" s="971" t="str">
        <f>IF(D1456&gt;0,IF(Provision!C37=D1456,"","Provision тайланг нөхнө үү!"),"")</f>
        <v/>
      </c>
      <c r="G1455" s="781"/>
      <c r="H1455" s="782"/>
    </row>
    <row r="1456" spans="1:8">
      <c r="A1456" s="460"/>
      <c r="B1456" s="541" t="s">
        <v>970</v>
      </c>
      <c r="C1456" s="707">
        <v>16610000</v>
      </c>
      <c r="D1456" s="826"/>
      <c r="E1456" s="692"/>
      <c r="G1456" s="781"/>
      <c r="H1456" s="782"/>
    </row>
    <row r="1457" spans="1:8">
      <c r="A1457" s="468"/>
      <c r="B1457" s="745" t="s">
        <v>971</v>
      </c>
      <c r="C1457" s="786">
        <v>16620000</v>
      </c>
      <c r="D1457" s="945"/>
      <c r="E1457" s="692"/>
      <c r="G1457" s="781"/>
      <c r="H1457" s="782"/>
    </row>
    <row r="1458" spans="1:8">
      <c r="A1458" s="699"/>
      <c r="B1458" s="713" t="s">
        <v>56</v>
      </c>
      <c r="C1458" s="700">
        <v>16700000</v>
      </c>
      <c r="D1458" s="826"/>
      <c r="E1458" s="692"/>
      <c r="G1458" s="781"/>
      <c r="H1458" s="782"/>
    </row>
    <row r="1459" spans="1:8">
      <c r="A1459" s="682"/>
      <c r="B1459" s="682" t="s">
        <v>1170</v>
      </c>
      <c r="C1459" s="683">
        <v>17000000</v>
      </c>
      <c r="D1459" s="684">
        <f>SUM(D1460,D1461,D1467,D1471,D1472,D1473,D1474,D1475,D1479,D1483,D1484)</f>
        <v>0</v>
      </c>
      <c r="E1459" s="692"/>
      <c r="G1459" s="781"/>
      <c r="H1459" s="782"/>
    </row>
    <row r="1460" spans="1:8">
      <c r="A1460" s="457"/>
      <c r="B1460" s="795" t="s">
        <v>973</v>
      </c>
      <c r="C1460" s="796">
        <v>17010000</v>
      </c>
      <c r="D1460" s="838"/>
      <c r="E1460" s="692"/>
      <c r="G1460" s="781"/>
      <c r="H1460" s="782"/>
    </row>
    <row r="1461" spans="1:8">
      <c r="A1461" s="457"/>
      <c r="B1461" s="795" t="s">
        <v>1158</v>
      </c>
      <c r="C1461" s="796">
        <v>17020000</v>
      </c>
      <c r="D1461" s="797">
        <f>SUM(D1462:D1466)</f>
        <v>0</v>
      </c>
      <c r="E1461" s="692"/>
      <c r="G1461" s="781"/>
      <c r="H1461" s="782"/>
    </row>
    <row r="1462" spans="1:8">
      <c r="A1462" s="457"/>
      <c r="B1462" s="480" t="s">
        <v>81</v>
      </c>
      <c r="C1462" s="707">
        <v>17021000</v>
      </c>
      <c r="D1462" s="826"/>
      <c r="E1462" s="692"/>
      <c r="G1462" s="781"/>
      <c r="H1462" s="782"/>
    </row>
    <row r="1463" spans="1:8">
      <c r="A1463" s="457"/>
      <c r="B1463" s="480" t="s">
        <v>1159</v>
      </c>
      <c r="C1463" s="707">
        <v>17022000</v>
      </c>
      <c r="D1463" s="826"/>
      <c r="E1463" s="692"/>
      <c r="G1463" s="781"/>
      <c r="H1463" s="782"/>
    </row>
    <row r="1464" spans="1:8">
      <c r="A1464" s="457"/>
      <c r="B1464" s="480" t="s">
        <v>972</v>
      </c>
      <c r="C1464" s="707">
        <v>17023000</v>
      </c>
      <c r="D1464" s="826"/>
      <c r="E1464" s="692"/>
      <c r="G1464" s="781"/>
      <c r="H1464" s="782"/>
    </row>
    <row r="1465" spans="1:8">
      <c r="A1465" s="457"/>
      <c r="B1465" s="480" t="s">
        <v>82</v>
      </c>
      <c r="C1465" s="707">
        <v>17024000</v>
      </c>
      <c r="D1465" s="826"/>
      <c r="E1465" s="692"/>
      <c r="G1465" s="781"/>
      <c r="H1465" s="782"/>
    </row>
    <row r="1466" spans="1:8">
      <c r="A1466" s="457"/>
      <c r="B1466" s="480" t="s">
        <v>55</v>
      </c>
      <c r="C1466" s="707">
        <v>17025000</v>
      </c>
      <c r="D1466" s="826"/>
      <c r="E1466" s="692"/>
      <c r="G1466" s="781"/>
      <c r="H1466" s="782"/>
    </row>
    <row r="1467" spans="1:8">
      <c r="A1467" s="457"/>
      <c r="B1467" s="795" t="s">
        <v>974</v>
      </c>
      <c r="C1467" s="796">
        <v>17030000</v>
      </c>
      <c r="D1467" s="797">
        <f>SUM(D1468:D1469,-D1470)</f>
        <v>0</v>
      </c>
      <c r="E1467" s="692"/>
      <c r="G1467" s="781"/>
      <c r="H1467" s="782"/>
    </row>
    <row r="1468" spans="1:8">
      <c r="A1468" s="457"/>
      <c r="B1468" s="480" t="s">
        <v>975</v>
      </c>
      <c r="C1468" s="707">
        <v>17031000</v>
      </c>
      <c r="D1468" s="826"/>
      <c r="E1468" s="692"/>
      <c r="G1468" s="781"/>
      <c r="H1468" s="782"/>
    </row>
    <row r="1469" spans="1:8">
      <c r="A1469" s="457"/>
      <c r="B1469" s="480" t="s">
        <v>976</v>
      </c>
      <c r="C1469" s="707">
        <v>17032000</v>
      </c>
      <c r="D1469" s="826"/>
      <c r="E1469" s="692"/>
      <c r="G1469" s="781"/>
      <c r="H1469" s="782"/>
    </row>
    <row r="1470" spans="1:8">
      <c r="A1470" s="468"/>
      <c r="B1470" s="745" t="s">
        <v>977</v>
      </c>
      <c r="C1470" s="786">
        <v>17033000</v>
      </c>
      <c r="D1470" s="945"/>
      <c r="E1470" s="692"/>
      <c r="G1470" s="781"/>
      <c r="H1470" s="782"/>
    </row>
    <row r="1471" spans="1:8">
      <c r="A1471" s="457"/>
      <c r="B1471" s="795" t="s">
        <v>978</v>
      </c>
      <c r="C1471" s="796">
        <v>17040000</v>
      </c>
      <c r="D1471" s="838"/>
      <c r="E1471" s="692"/>
      <c r="G1471" s="781"/>
      <c r="H1471" s="782"/>
    </row>
    <row r="1472" spans="1:8">
      <c r="A1472" s="457"/>
      <c r="B1472" s="795" t="s">
        <v>979</v>
      </c>
      <c r="C1472" s="796">
        <v>17050000</v>
      </c>
      <c r="D1472" s="838"/>
      <c r="E1472" s="692"/>
      <c r="G1472" s="781"/>
      <c r="H1472" s="782"/>
    </row>
    <row r="1473" spans="1:8">
      <c r="A1473" s="457"/>
      <c r="B1473" s="795" t="s">
        <v>980</v>
      </c>
      <c r="C1473" s="796">
        <v>17060000</v>
      </c>
      <c r="D1473" s="838"/>
      <c r="E1473" s="692"/>
      <c r="G1473" s="781"/>
      <c r="H1473" s="782"/>
    </row>
    <row r="1474" spans="1:8">
      <c r="A1474" s="457"/>
      <c r="B1474" s="795" t="s">
        <v>993</v>
      </c>
      <c r="C1474" s="796">
        <v>17070000</v>
      </c>
      <c r="D1474" s="838"/>
      <c r="E1474" s="692"/>
      <c r="G1474" s="781"/>
      <c r="H1474" s="782"/>
    </row>
    <row r="1475" spans="1:8">
      <c r="A1475" s="457"/>
      <c r="B1475" s="795" t="s">
        <v>1003</v>
      </c>
      <c r="C1475" s="796">
        <v>17080000</v>
      </c>
      <c r="D1475" s="797">
        <f>SUM(D1476,-D1477,-D1478)</f>
        <v>0</v>
      </c>
      <c r="E1475" s="692"/>
      <c r="G1475" s="781"/>
      <c r="H1475" s="782"/>
    </row>
    <row r="1476" spans="1:8">
      <c r="A1476" s="457"/>
      <c r="B1476" s="480" t="s">
        <v>1003</v>
      </c>
      <c r="C1476" s="705">
        <v>17081000</v>
      </c>
      <c r="D1476" s="826"/>
      <c r="E1476" s="692"/>
      <c r="G1476" s="781"/>
      <c r="H1476" s="782"/>
    </row>
    <row r="1477" spans="1:8" ht="25.5">
      <c r="A1477" s="457"/>
      <c r="B1477" s="480" t="s">
        <v>1004</v>
      </c>
      <c r="C1477" s="705">
        <v>17082000</v>
      </c>
      <c r="D1477" s="826"/>
      <c r="E1477" s="692"/>
      <c r="G1477" s="781"/>
      <c r="H1477" s="782"/>
    </row>
    <row r="1478" spans="1:8">
      <c r="A1478" s="468"/>
      <c r="B1478" s="745" t="s">
        <v>1005</v>
      </c>
      <c r="C1478" s="786">
        <v>17083000</v>
      </c>
      <c r="D1478" s="945"/>
      <c r="E1478" s="692"/>
      <c r="G1478" s="781"/>
      <c r="H1478" s="782"/>
    </row>
    <row r="1479" spans="1:8">
      <c r="A1479" s="457"/>
      <c r="B1479" s="795" t="s">
        <v>1160</v>
      </c>
      <c r="C1479" s="796">
        <v>17090000</v>
      </c>
      <c r="D1479" s="797">
        <f>SUM(D1480,-D1481,-D1482)</f>
        <v>0</v>
      </c>
      <c r="E1479" s="692"/>
      <c r="G1479" s="781"/>
      <c r="H1479" s="782"/>
    </row>
    <row r="1480" spans="1:8">
      <c r="A1480" s="457"/>
      <c r="B1480" s="480" t="s">
        <v>1000</v>
      </c>
      <c r="C1480" s="705">
        <v>17091000</v>
      </c>
      <c r="D1480" s="826"/>
      <c r="E1480" s="692"/>
      <c r="G1480" s="781"/>
      <c r="H1480" s="782"/>
    </row>
    <row r="1481" spans="1:8" ht="25.5">
      <c r="A1481" s="457"/>
      <c r="B1481" s="480" t="s">
        <v>1001</v>
      </c>
      <c r="C1481" s="705">
        <v>17092000</v>
      </c>
      <c r="D1481" s="826"/>
      <c r="E1481" s="692"/>
      <c r="G1481" s="781"/>
      <c r="H1481" s="782"/>
    </row>
    <row r="1482" spans="1:8" ht="25.5">
      <c r="A1482" s="468"/>
      <c r="B1482" s="745" t="s">
        <v>1002</v>
      </c>
      <c r="C1482" s="786">
        <v>17093000</v>
      </c>
      <c r="D1482" s="945"/>
      <c r="E1482" s="692"/>
      <c r="G1482" s="781"/>
      <c r="H1482" s="782"/>
    </row>
    <row r="1483" spans="1:8">
      <c r="A1483" s="457"/>
      <c r="B1483" s="795" t="s">
        <v>56</v>
      </c>
      <c r="C1483" s="798">
        <v>17100000</v>
      </c>
      <c r="D1483" s="838"/>
      <c r="E1483" s="692"/>
      <c r="G1483" s="781"/>
      <c r="H1483" s="782"/>
    </row>
    <row r="1484" spans="1:8" ht="25.5">
      <c r="A1484" s="467"/>
      <c r="B1484" s="799" t="s">
        <v>1171</v>
      </c>
      <c r="C1484" s="800">
        <v>18000000</v>
      </c>
      <c r="D1484" s="801">
        <f>SUM(D1485,D1514)</f>
        <v>0</v>
      </c>
      <c r="E1484" s="692"/>
      <c r="G1484" s="781"/>
      <c r="H1484" s="782"/>
    </row>
    <row r="1485" spans="1:8">
      <c r="A1485" s="457"/>
      <c r="B1485" s="754" t="s">
        <v>981</v>
      </c>
      <c r="C1485" s="758">
        <v>18100000</v>
      </c>
      <c r="D1485" s="717">
        <f>SUM(D1486,D1490,D1494,D1498,D1502,D1506,D1510)</f>
        <v>0</v>
      </c>
      <c r="E1485" s="692"/>
      <c r="G1485" s="781"/>
      <c r="H1485" s="782"/>
    </row>
    <row r="1486" spans="1:8">
      <c r="A1486" s="457"/>
      <c r="B1486" s="709" t="s">
        <v>982</v>
      </c>
      <c r="C1486" s="705">
        <v>18110000</v>
      </c>
      <c r="D1486" s="712">
        <f>D1487-D1488-D1489</f>
        <v>0</v>
      </c>
      <c r="E1486" s="692"/>
      <c r="G1486" s="781"/>
      <c r="H1486" s="782"/>
    </row>
    <row r="1487" spans="1:8">
      <c r="A1487" s="457"/>
      <c r="B1487" s="709" t="s">
        <v>1173</v>
      </c>
      <c r="C1487" s="705">
        <v>18110000</v>
      </c>
      <c r="D1487" s="826"/>
      <c r="E1487" s="692"/>
      <c r="G1487" s="781"/>
      <c r="H1487" s="782"/>
    </row>
    <row r="1488" spans="1:8">
      <c r="A1488" s="460"/>
      <c r="B1488" s="802" t="s">
        <v>86</v>
      </c>
      <c r="C1488" s="707">
        <v>18111000</v>
      </c>
      <c r="D1488" s="826"/>
      <c r="E1488" s="692"/>
      <c r="G1488" s="781"/>
      <c r="H1488" s="782"/>
    </row>
    <row r="1489" spans="1:8">
      <c r="A1489" s="468"/>
      <c r="B1489" s="728" t="s">
        <v>983</v>
      </c>
      <c r="C1489" s="786">
        <v>18112000</v>
      </c>
      <c r="D1489" s="945"/>
      <c r="E1489" s="692"/>
      <c r="G1489" s="781"/>
      <c r="H1489" s="782"/>
    </row>
    <row r="1490" spans="1:8">
      <c r="A1490" s="460"/>
      <c r="B1490" s="756" t="s">
        <v>984</v>
      </c>
      <c r="C1490" s="705">
        <v>18120000</v>
      </c>
      <c r="D1490" s="712">
        <f>D1491-D1492-D1493</f>
        <v>0</v>
      </c>
      <c r="E1490" s="692"/>
      <c r="G1490" s="781"/>
      <c r="H1490" s="782"/>
    </row>
    <row r="1491" spans="1:8">
      <c r="A1491" s="460"/>
      <c r="B1491" s="756" t="s">
        <v>1174</v>
      </c>
      <c r="C1491" s="705">
        <v>18120000</v>
      </c>
      <c r="D1491" s="826"/>
      <c r="E1491" s="692"/>
      <c r="G1491" s="781"/>
      <c r="H1491" s="782"/>
    </row>
    <row r="1492" spans="1:8">
      <c r="A1492" s="460"/>
      <c r="B1492" s="802" t="s">
        <v>985</v>
      </c>
      <c r="C1492" s="707">
        <v>18121000</v>
      </c>
      <c r="D1492" s="826"/>
      <c r="E1492" s="692"/>
      <c r="G1492" s="781"/>
      <c r="H1492" s="782"/>
    </row>
    <row r="1493" spans="1:8">
      <c r="A1493" s="468"/>
      <c r="B1493" s="728" t="s">
        <v>986</v>
      </c>
      <c r="C1493" s="786">
        <v>18122000</v>
      </c>
      <c r="D1493" s="945"/>
      <c r="E1493" s="692"/>
      <c r="G1493" s="781"/>
      <c r="H1493" s="782"/>
    </row>
    <row r="1494" spans="1:8">
      <c r="A1494" s="460"/>
      <c r="B1494" s="756" t="s">
        <v>987</v>
      </c>
      <c r="C1494" s="705">
        <v>18130000</v>
      </c>
      <c r="D1494" s="712">
        <f>D1495-D1496-D1497</f>
        <v>0</v>
      </c>
      <c r="E1494" s="692"/>
      <c r="G1494" s="781"/>
      <c r="H1494" s="782"/>
    </row>
    <row r="1495" spans="1:8">
      <c r="A1495" s="460"/>
      <c r="B1495" s="756" t="s">
        <v>1175</v>
      </c>
      <c r="C1495" s="705">
        <v>18130000</v>
      </c>
      <c r="D1495" s="826"/>
      <c r="E1495" s="692"/>
      <c r="G1495" s="781"/>
      <c r="H1495" s="782"/>
    </row>
    <row r="1496" spans="1:8">
      <c r="A1496" s="460"/>
      <c r="B1496" s="802" t="s">
        <v>988</v>
      </c>
      <c r="C1496" s="707">
        <v>18131000</v>
      </c>
      <c r="D1496" s="826"/>
      <c r="E1496" s="692"/>
      <c r="G1496" s="781"/>
      <c r="H1496" s="782"/>
    </row>
    <row r="1497" spans="1:8">
      <c r="A1497" s="468"/>
      <c r="B1497" s="728" t="s">
        <v>989</v>
      </c>
      <c r="C1497" s="786">
        <v>18132000</v>
      </c>
      <c r="D1497" s="945"/>
      <c r="E1497" s="692"/>
      <c r="G1497" s="781"/>
      <c r="H1497" s="782"/>
    </row>
    <row r="1498" spans="1:8">
      <c r="A1498" s="460"/>
      <c r="B1498" s="756" t="s">
        <v>990</v>
      </c>
      <c r="C1498" s="705">
        <v>18140000</v>
      </c>
      <c r="D1498" s="712">
        <f>D1499-D1500-D1501</f>
        <v>0</v>
      </c>
      <c r="E1498" s="692"/>
      <c r="G1498" s="781"/>
      <c r="H1498" s="782"/>
    </row>
    <row r="1499" spans="1:8">
      <c r="A1499" s="460"/>
      <c r="B1499" s="756" t="s">
        <v>1176</v>
      </c>
      <c r="C1499" s="705">
        <v>18140000</v>
      </c>
      <c r="D1499" s="826"/>
      <c r="E1499" s="692"/>
      <c r="G1499" s="781"/>
      <c r="H1499" s="782"/>
    </row>
    <row r="1500" spans="1:8">
      <c r="A1500" s="460"/>
      <c r="B1500" s="802" t="s">
        <v>991</v>
      </c>
      <c r="C1500" s="707">
        <v>18141000</v>
      </c>
      <c r="D1500" s="826"/>
      <c r="E1500" s="692"/>
      <c r="G1500" s="781"/>
      <c r="H1500" s="782"/>
    </row>
    <row r="1501" spans="1:8">
      <c r="A1501" s="468"/>
      <c r="B1501" s="728" t="s">
        <v>992</v>
      </c>
      <c r="C1501" s="786">
        <v>18142000</v>
      </c>
      <c r="D1501" s="945"/>
      <c r="E1501" s="692"/>
      <c r="G1501" s="781"/>
      <c r="H1501" s="782"/>
    </row>
    <row r="1502" spans="1:8">
      <c r="A1502" s="457"/>
      <c r="B1502" s="709" t="s">
        <v>1172</v>
      </c>
      <c r="C1502" s="705">
        <v>18150000</v>
      </c>
      <c r="D1502" s="712">
        <f>D1503-D1504-D1505</f>
        <v>0</v>
      </c>
      <c r="E1502" s="692"/>
      <c r="G1502" s="781"/>
      <c r="H1502" s="782"/>
    </row>
    <row r="1503" spans="1:8">
      <c r="A1503" s="457"/>
      <c r="B1503" s="709" t="s">
        <v>1177</v>
      </c>
      <c r="C1503" s="705">
        <v>18150000</v>
      </c>
      <c r="D1503" s="826"/>
      <c r="E1503" s="692"/>
      <c r="G1503" s="781"/>
      <c r="H1503" s="782"/>
    </row>
    <row r="1504" spans="1:8">
      <c r="A1504" s="457"/>
      <c r="B1504" s="709" t="s">
        <v>1178</v>
      </c>
      <c r="C1504" s="707">
        <v>18151000</v>
      </c>
      <c r="D1504" s="826"/>
      <c r="E1504" s="692"/>
      <c r="G1504" s="781"/>
      <c r="H1504" s="782"/>
    </row>
    <row r="1505" spans="1:8">
      <c r="A1505" s="468"/>
      <c r="B1505" s="726" t="s">
        <v>1179</v>
      </c>
      <c r="C1505" s="786">
        <v>18152000</v>
      </c>
      <c r="D1505" s="945"/>
      <c r="E1505" s="692"/>
      <c r="G1505" s="781"/>
      <c r="H1505" s="782"/>
    </row>
    <row r="1506" spans="1:8">
      <c r="A1506" s="457"/>
      <c r="B1506" s="709" t="s">
        <v>994</v>
      </c>
      <c r="C1506" s="705">
        <v>18160000</v>
      </c>
      <c r="D1506" s="712">
        <f>D1507-D1508-D1509</f>
        <v>0</v>
      </c>
      <c r="E1506" s="692"/>
      <c r="G1506" s="781"/>
      <c r="H1506" s="782"/>
    </row>
    <row r="1507" spans="1:8">
      <c r="A1507" s="457"/>
      <c r="B1507" s="709" t="s">
        <v>1180</v>
      </c>
      <c r="C1507" s="705">
        <v>18160000</v>
      </c>
      <c r="D1507" s="826"/>
      <c r="E1507" s="692"/>
      <c r="G1507" s="781"/>
      <c r="H1507" s="782"/>
    </row>
    <row r="1508" spans="1:8" ht="12.75" customHeight="1">
      <c r="A1508" s="457"/>
      <c r="B1508" s="718" t="s">
        <v>995</v>
      </c>
      <c r="C1508" s="707">
        <v>18161000</v>
      </c>
      <c r="D1508" s="826"/>
      <c r="E1508" s="692"/>
      <c r="G1508" s="781"/>
      <c r="H1508" s="782"/>
    </row>
    <row r="1509" spans="1:8">
      <c r="A1509" s="468"/>
      <c r="B1509" s="728" t="s">
        <v>996</v>
      </c>
      <c r="C1509" s="786">
        <v>18162000</v>
      </c>
      <c r="D1509" s="945"/>
      <c r="E1509" s="692"/>
      <c r="G1509" s="781"/>
      <c r="H1509" s="782"/>
    </row>
    <row r="1510" spans="1:8">
      <c r="A1510" s="457"/>
      <c r="B1510" s="709" t="s">
        <v>997</v>
      </c>
      <c r="C1510" s="705">
        <v>18170000</v>
      </c>
      <c r="D1510" s="712">
        <f>D1511-D1512-D1513</f>
        <v>0</v>
      </c>
      <c r="E1510" s="692"/>
      <c r="G1510" s="781"/>
      <c r="H1510" s="782"/>
    </row>
    <row r="1511" spans="1:8">
      <c r="A1511" s="457"/>
      <c r="B1511" s="709" t="s">
        <v>1181</v>
      </c>
      <c r="C1511" s="705">
        <v>18170000</v>
      </c>
      <c r="D1511" s="826"/>
      <c r="E1511" s="692"/>
      <c r="G1511" s="781"/>
      <c r="H1511" s="782"/>
    </row>
    <row r="1512" spans="1:8">
      <c r="A1512" s="457"/>
      <c r="B1512" s="718" t="s">
        <v>998</v>
      </c>
      <c r="C1512" s="707">
        <v>18171000</v>
      </c>
      <c r="D1512" s="826"/>
      <c r="E1512" s="692"/>
      <c r="G1512" s="781"/>
      <c r="H1512" s="782"/>
    </row>
    <row r="1513" spans="1:8">
      <c r="A1513" s="468"/>
      <c r="B1513" s="728" t="s">
        <v>999</v>
      </c>
      <c r="C1513" s="786">
        <v>18172000</v>
      </c>
      <c r="D1513" s="945"/>
      <c r="E1513" s="692"/>
      <c r="G1513" s="781"/>
      <c r="H1513" s="782"/>
    </row>
    <row r="1514" spans="1:8">
      <c r="A1514" s="457"/>
      <c r="B1514" s="754" t="s">
        <v>85</v>
      </c>
      <c r="C1514" s="758">
        <v>18200000</v>
      </c>
      <c r="D1514" s="717">
        <f>SUM(D1515,D1519,D1523,D1527,D1531,D1535,D1539,D1543,D1547)</f>
        <v>0</v>
      </c>
      <c r="E1514" s="692"/>
      <c r="G1514" s="781"/>
      <c r="H1514" s="782"/>
    </row>
    <row r="1515" spans="1:8">
      <c r="A1515" s="457"/>
      <c r="B1515" s="726" t="s">
        <v>1006</v>
      </c>
      <c r="C1515" s="705">
        <v>18210000</v>
      </c>
      <c r="D1515" s="712">
        <f>+D1516-D1517-D1518</f>
        <v>0</v>
      </c>
      <c r="E1515" s="692"/>
      <c r="G1515" s="781"/>
      <c r="H1515" s="782"/>
    </row>
    <row r="1516" spans="1:8">
      <c r="A1516" s="460"/>
      <c r="B1516" s="726" t="s">
        <v>1184</v>
      </c>
      <c r="C1516" s="707">
        <v>18210000</v>
      </c>
      <c r="D1516" s="826"/>
      <c r="E1516" s="692"/>
      <c r="G1516" s="781"/>
      <c r="H1516" s="782"/>
    </row>
    <row r="1517" spans="1:8">
      <c r="A1517" s="468"/>
      <c r="B1517" s="709" t="s">
        <v>1185</v>
      </c>
      <c r="C1517" s="707">
        <v>18211000</v>
      </c>
      <c r="D1517" s="826"/>
      <c r="E1517" s="692"/>
      <c r="G1517" s="781"/>
      <c r="H1517" s="782"/>
    </row>
    <row r="1518" spans="1:8">
      <c r="A1518" s="468"/>
      <c r="B1518" s="726" t="s">
        <v>1186</v>
      </c>
      <c r="C1518" s="786">
        <v>18212000</v>
      </c>
      <c r="D1518" s="945"/>
      <c r="E1518" s="692"/>
      <c r="G1518" s="781"/>
      <c r="H1518" s="782"/>
    </row>
    <row r="1519" spans="1:8">
      <c r="A1519" s="457"/>
      <c r="B1519" s="709" t="s">
        <v>1182</v>
      </c>
      <c r="C1519" s="707">
        <v>18220000</v>
      </c>
      <c r="D1519" s="712">
        <f>+D1520-D1521-D1522</f>
        <v>0</v>
      </c>
      <c r="E1519" s="692"/>
      <c r="G1519" s="781"/>
      <c r="H1519" s="782"/>
    </row>
    <row r="1520" spans="1:8">
      <c r="A1520" s="468"/>
      <c r="B1520" s="709" t="s">
        <v>1187</v>
      </c>
      <c r="C1520" s="707">
        <v>18220000</v>
      </c>
      <c r="D1520" s="826"/>
      <c r="E1520" s="692"/>
      <c r="G1520" s="781"/>
      <c r="H1520" s="782"/>
    </row>
    <row r="1521" spans="1:8">
      <c r="A1521" s="457"/>
      <c r="B1521" s="756" t="s">
        <v>1188</v>
      </c>
      <c r="C1521" s="705">
        <v>18221000</v>
      </c>
      <c r="D1521" s="826"/>
      <c r="E1521" s="692"/>
      <c r="G1521" s="781"/>
      <c r="H1521" s="782"/>
    </row>
    <row r="1522" spans="1:8">
      <c r="A1522" s="468"/>
      <c r="B1522" s="726" t="s">
        <v>1189</v>
      </c>
      <c r="C1522" s="786">
        <v>18222000</v>
      </c>
      <c r="D1522" s="945"/>
      <c r="E1522" s="692"/>
      <c r="G1522" s="781"/>
      <c r="H1522" s="782"/>
    </row>
    <row r="1523" spans="1:8">
      <c r="A1523" s="468"/>
      <c r="B1523" s="709" t="s">
        <v>1183</v>
      </c>
      <c r="C1523" s="707">
        <v>18230000</v>
      </c>
      <c r="D1523" s="712">
        <f>+D1524-D1525-D1526</f>
        <v>0</v>
      </c>
      <c r="E1523" s="692"/>
      <c r="G1523" s="781"/>
      <c r="H1523" s="782"/>
    </row>
    <row r="1524" spans="1:8">
      <c r="A1524" s="457"/>
      <c r="B1524" s="709" t="s">
        <v>1190</v>
      </c>
      <c r="C1524" s="705">
        <v>18230000</v>
      </c>
      <c r="D1524" s="826"/>
      <c r="E1524" s="692"/>
      <c r="G1524" s="781"/>
      <c r="H1524" s="782"/>
    </row>
    <row r="1525" spans="1:8">
      <c r="A1525" s="457"/>
      <c r="B1525" s="756" t="s">
        <v>1191</v>
      </c>
      <c r="C1525" s="707">
        <v>18231000</v>
      </c>
      <c r="D1525" s="826"/>
      <c r="E1525" s="692"/>
      <c r="G1525" s="781"/>
      <c r="H1525" s="782"/>
    </row>
    <row r="1526" spans="1:8">
      <c r="A1526" s="468"/>
      <c r="B1526" s="726" t="s">
        <v>1192</v>
      </c>
      <c r="C1526" s="786">
        <v>18232000</v>
      </c>
      <c r="D1526" s="945"/>
      <c r="E1526" s="692"/>
      <c r="G1526" s="781"/>
      <c r="H1526" s="782"/>
    </row>
    <row r="1527" spans="1:8">
      <c r="A1527" s="457"/>
      <c r="B1527" s="709" t="s">
        <v>1007</v>
      </c>
      <c r="C1527" s="705">
        <v>18240000</v>
      </c>
      <c r="D1527" s="712">
        <f>+D1528-D1529-D1530</f>
        <v>0</v>
      </c>
      <c r="E1527" s="692"/>
      <c r="G1527" s="781"/>
      <c r="H1527" s="782"/>
    </row>
    <row r="1528" spans="1:8">
      <c r="A1528" s="457"/>
      <c r="B1528" s="709" t="s">
        <v>1193</v>
      </c>
      <c r="C1528" s="707">
        <v>18240000</v>
      </c>
      <c r="D1528" s="826"/>
      <c r="E1528" s="692"/>
      <c r="G1528" s="781"/>
      <c r="H1528" s="782"/>
    </row>
    <row r="1529" spans="1:8">
      <c r="A1529" s="468"/>
      <c r="B1529" s="709" t="s">
        <v>1194</v>
      </c>
      <c r="C1529" s="707">
        <v>18241000</v>
      </c>
      <c r="D1529" s="826"/>
      <c r="E1529" s="692"/>
      <c r="G1529" s="781"/>
      <c r="H1529" s="782"/>
    </row>
    <row r="1530" spans="1:8">
      <c r="A1530" s="468"/>
      <c r="B1530" s="726" t="s">
        <v>1195</v>
      </c>
      <c r="C1530" s="786">
        <v>18242000</v>
      </c>
      <c r="D1530" s="945"/>
      <c r="E1530" s="692"/>
      <c r="G1530" s="781"/>
      <c r="H1530" s="782"/>
    </row>
    <row r="1531" spans="1:8">
      <c r="A1531" s="457"/>
      <c r="B1531" s="709" t="s">
        <v>1008</v>
      </c>
      <c r="C1531" s="707">
        <v>18250000</v>
      </c>
      <c r="D1531" s="712">
        <f>+D1532-D1533-D1534</f>
        <v>0</v>
      </c>
      <c r="E1531" s="692"/>
      <c r="G1531" s="781"/>
      <c r="H1531" s="782"/>
    </row>
    <row r="1532" spans="1:8">
      <c r="A1532" s="468"/>
      <c r="B1532" s="709" t="s">
        <v>1196</v>
      </c>
      <c r="C1532" s="707">
        <v>18250000</v>
      </c>
      <c r="D1532" s="826"/>
      <c r="E1532" s="692"/>
      <c r="G1532" s="781"/>
      <c r="H1532" s="782"/>
    </row>
    <row r="1533" spans="1:8">
      <c r="A1533" s="457"/>
      <c r="B1533" s="709" t="s">
        <v>1197</v>
      </c>
      <c r="C1533" s="705">
        <v>18251000</v>
      </c>
      <c r="D1533" s="826"/>
      <c r="E1533" s="692"/>
      <c r="G1533" s="781"/>
      <c r="H1533" s="782"/>
    </row>
    <row r="1534" spans="1:8">
      <c r="A1534" s="468"/>
      <c r="B1534" s="726" t="s">
        <v>1198</v>
      </c>
      <c r="C1534" s="786">
        <v>18252000</v>
      </c>
      <c r="D1534" s="945"/>
      <c r="E1534" s="692"/>
      <c r="G1534" s="781"/>
      <c r="H1534" s="782"/>
    </row>
    <row r="1535" spans="1:8">
      <c r="A1535" s="468"/>
      <c r="B1535" s="709" t="s">
        <v>1009</v>
      </c>
      <c r="C1535" s="707">
        <v>18260000</v>
      </c>
      <c r="D1535" s="712">
        <f>+D1536-D1537-D1538</f>
        <v>0</v>
      </c>
      <c r="E1535" s="692"/>
      <c r="G1535" s="781"/>
      <c r="H1535" s="782"/>
    </row>
    <row r="1536" spans="1:8">
      <c r="A1536" s="457"/>
      <c r="B1536" s="709" t="s">
        <v>1199</v>
      </c>
      <c r="C1536" s="705">
        <v>18260000</v>
      </c>
      <c r="D1536" s="826"/>
      <c r="E1536" s="692"/>
      <c r="G1536" s="781"/>
      <c r="H1536" s="782"/>
    </row>
    <row r="1537" spans="1:8">
      <c r="A1537" s="457"/>
      <c r="B1537" s="709" t="s">
        <v>1200</v>
      </c>
      <c r="C1537" s="707">
        <v>18261000</v>
      </c>
      <c r="D1537" s="826"/>
      <c r="E1537" s="692"/>
      <c r="G1537" s="781"/>
      <c r="H1537" s="782"/>
    </row>
    <row r="1538" spans="1:8">
      <c r="A1538" s="468"/>
      <c r="B1538" s="726" t="s">
        <v>1201</v>
      </c>
      <c r="C1538" s="786">
        <v>18262000</v>
      </c>
      <c r="D1538" s="945"/>
      <c r="E1538" s="692"/>
      <c r="G1538" s="781"/>
      <c r="H1538" s="782"/>
    </row>
    <row r="1539" spans="1:8">
      <c r="A1539" s="465"/>
      <c r="B1539" s="709" t="s">
        <v>1010</v>
      </c>
      <c r="C1539" s="705">
        <v>18270000</v>
      </c>
      <c r="D1539" s="712">
        <f>+D1540-D1541-D1542</f>
        <v>0</v>
      </c>
      <c r="E1539" s="692"/>
      <c r="G1539" s="781"/>
      <c r="H1539" s="782"/>
    </row>
    <row r="1540" spans="1:8">
      <c r="A1540" s="457"/>
      <c r="B1540" s="709" t="s">
        <v>1202</v>
      </c>
      <c r="C1540" s="707">
        <v>18270000</v>
      </c>
      <c r="D1540" s="826"/>
      <c r="E1540" s="692"/>
      <c r="G1540" s="781"/>
      <c r="H1540" s="782"/>
    </row>
    <row r="1541" spans="1:8">
      <c r="A1541" s="468"/>
      <c r="B1541" s="709" t="s">
        <v>1203</v>
      </c>
      <c r="C1541" s="707">
        <v>18271000</v>
      </c>
      <c r="D1541" s="826"/>
      <c r="E1541" s="692"/>
      <c r="G1541" s="781"/>
      <c r="H1541" s="782"/>
    </row>
    <row r="1542" spans="1:8">
      <c r="A1542" s="468"/>
      <c r="B1542" s="726" t="s">
        <v>1204</v>
      </c>
      <c r="C1542" s="786">
        <v>18272000</v>
      </c>
      <c r="D1542" s="945"/>
      <c r="E1542" s="692"/>
      <c r="G1542" s="781"/>
      <c r="H1542" s="782"/>
    </row>
    <row r="1543" spans="1:8">
      <c r="A1543" s="457"/>
      <c r="B1543" s="726" t="s">
        <v>1011</v>
      </c>
      <c r="C1543" s="707">
        <v>18280000</v>
      </c>
      <c r="D1543" s="712">
        <f>+D1544-D1545-D1546</f>
        <v>0</v>
      </c>
      <c r="E1543" s="692"/>
      <c r="G1543" s="781"/>
      <c r="H1543" s="782"/>
    </row>
    <row r="1544" spans="1:8">
      <c r="A1544" s="468"/>
      <c r="B1544" s="726" t="s">
        <v>1205</v>
      </c>
      <c r="C1544" s="707">
        <v>18280000</v>
      </c>
      <c r="D1544" s="826"/>
      <c r="E1544" s="692"/>
      <c r="G1544" s="781"/>
      <c r="H1544" s="782"/>
    </row>
    <row r="1545" spans="1:8">
      <c r="A1545" s="468"/>
      <c r="B1545" s="709" t="s">
        <v>1206</v>
      </c>
      <c r="C1545" s="707">
        <v>18281000</v>
      </c>
      <c r="D1545" s="826"/>
      <c r="E1545" s="692"/>
      <c r="G1545" s="781"/>
      <c r="H1545" s="782"/>
    </row>
    <row r="1546" spans="1:8">
      <c r="A1546" s="468"/>
      <c r="B1546" s="726" t="s">
        <v>1207</v>
      </c>
      <c r="C1546" s="786">
        <v>18282000</v>
      </c>
      <c r="D1546" s="945"/>
      <c r="E1546" s="692"/>
      <c r="G1546" s="781"/>
      <c r="H1546" s="782"/>
    </row>
    <row r="1547" spans="1:8">
      <c r="A1547" s="468"/>
      <c r="B1547" s="709" t="s">
        <v>1012</v>
      </c>
      <c r="C1547" s="707">
        <v>18290000</v>
      </c>
      <c r="D1547" s="712">
        <f>+D1548-D1549-D1550</f>
        <v>0</v>
      </c>
      <c r="E1547" s="692"/>
      <c r="G1547" s="781"/>
      <c r="H1547" s="782"/>
    </row>
    <row r="1548" spans="1:8">
      <c r="A1548" s="468"/>
      <c r="B1548" s="709" t="s">
        <v>1208</v>
      </c>
      <c r="C1548" s="707">
        <v>18290000</v>
      </c>
      <c r="D1548" s="826"/>
      <c r="E1548" s="692"/>
      <c r="G1548" s="781"/>
      <c r="H1548" s="782"/>
    </row>
    <row r="1549" spans="1:8">
      <c r="A1549" s="468"/>
      <c r="B1549" s="709" t="s">
        <v>1209</v>
      </c>
      <c r="C1549" s="707">
        <v>18291000</v>
      </c>
      <c r="D1549" s="826"/>
      <c r="E1549" s="692"/>
      <c r="G1549" s="781"/>
      <c r="H1549" s="782"/>
    </row>
    <row r="1550" spans="1:8">
      <c r="A1550" s="468"/>
      <c r="B1550" s="726" t="s">
        <v>1210</v>
      </c>
      <c r="C1550" s="786">
        <v>18292000</v>
      </c>
      <c r="D1550" s="945"/>
      <c r="E1550" s="692"/>
      <c r="G1550" s="781"/>
      <c r="H1550" s="782"/>
    </row>
    <row r="1551" spans="1:8">
      <c r="A1551" s="677"/>
      <c r="B1551" s="677" t="s">
        <v>1013</v>
      </c>
      <c r="C1551" s="678" t="s">
        <v>1014</v>
      </c>
      <c r="D1551" s="679">
        <f>SUM(D1552,D1581,D1657,D1667,D1670)</f>
        <v>0</v>
      </c>
      <c r="E1551" s="692"/>
      <c r="G1551" s="781"/>
      <c r="H1551" s="782"/>
    </row>
    <row r="1552" spans="1:8">
      <c r="A1552" s="768"/>
      <c r="B1552" s="514" t="s">
        <v>1015</v>
      </c>
      <c r="C1552" s="769">
        <v>51000000</v>
      </c>
      <c r="D1552" s="804">
        <f>SUM(D1553,D1567,D1573,D1577,-D1580)</f>
        <v>0</v>
      </c>
      <c r="E1552" s="692"/>
      <c r="G1552" s="781"/>
      <c r="H1552" s="782"/>
    </row>
    <row r="1553" spans="1:8">
      <c r="A1553" s="457"/>
      <c r="B1553" s="495" t="s">
        <v>1016</v>
      </c>
      <c r="C1553" s="773">
        <v>51100000</v>
      </c>
      <c r="D1553" s="755">
        <f>+D1554</f>
        <v>0</v>
      </c>
      <c r="E1553" s="692"/>
      <c r="G1553" s="781"/>
      <c r="H1553" s="782"/>
    </row>
    <row r="1554" spans="1:8" ht="13.5">
      <c r="A1554" s="457"/>
      <c r="B1554" s="805" t="s">
        <v>1017</v>
      </c>
      <c r="C1554" s="773">
        <v>51110000</v>
      </c>
      <c r="D1554" s="712">
        <f>SUM(D1555,D1561)</f>
        <v>0</v>
      </c>
      <c r="E1554" s="692"/>
      <c r="G1554" s="781"/>
      <c r="H1554" s="782"/>
    </row>
    <row r="1555" spans="1:8">
      <c r="A1555" s="457"/>
      <c r="B1555" s="500" t="s">
        <v>716</v>
      </c>
      <c r="C1555" s="773">
        <v>51111000</v>
      </c>
      <c r="D1555" s="712">
        <f>SUM(D1556:D1560)</f>
        <v>0</v>
      </c>
      <c r="E1555" s="692"/>
      <c r="G1555" s="781"/>
      <c r="H1555" s="782"/>
    </row>
    <row r="1556" spans="1:8">
      <c r="A1556" s="457"/>
      <c r="B1556" s="793" t="s">
        <v>796</v>
      </c>
      <c r="C1556" s="773">
        <v>51111100</v>
      </c>
      <c r="D1556" s="826"/>
      <c r="E1556" s="692"/>
      <c r="G1556" s="781"/>
      <c r="H1556" s="782"/>
    </row>
    <row r="1557" spans="1:8">
      <c r="A1557" s="457"/>
      <c r="B1557" s="793" t="s">
        <v>799</v>
      </c>
      <c r="C1557" s="773">
        <v>51111200</v>
      </c>
      <c r="D1557" s="826"/>
      <c r="E1557" s="692"/>
      <c r="G1557" s="781"/>
      <c r="H1557" s="782"/>
    </row>
    <row r="1558" spans="1:8">
      <c r="A1558" s="457"/>
      <c r="B1558" s="793" t="s">
        <v>54</v>
      </c>
      <c r="C1558" s="773">
        <v>51111300</v>
      </c>
      <c r="D1558" s="826"/>
      <c r="E1558" s="692"/>
      <c r="G1558" s="781"/>
      <c r="H1558" s="782"/>
    </row>
    <row r="1559" spans="1:8">
      <c r="A1559" s="457"/>
      <c r="B1559" s="793" t="s">
        <v>1018</v>
      </c>
      <c r="C1559" s="773">
        <v>51111400</v>
      </c>
      <c r="D1559" s="826"/>
      <c r="E1559" s="692"/>
      <c r="G1559" s="781"/>
      <c r="H1559" s="782"/>
    </row>
    <row r="1560" spans="1:8">
      <c r="A1560" s="457"/>
      <c r="B1560" s="793" t="s">
        <v>1019</v>
      </c>
      <c r="C1560" s="773">
        <v>51111500</v>
      </c>
      <c r="D1560" s="826"/>
      <c r="E1560" s="692"/>
      <c r="G1560" s="781"/>
      <c r="H1560" s="782"/>
    </row>
    <row r="1561" spans="1:8">
      <c r="A1561" s="457"/>
      <c r="B1561" s="500" t="s">
        <v>717</v>
      </c>
      <c r="C1561" s="773">
        <v>51112000</v>
      </c>
      <c r="D1561" s="712">
        <f>SUM(D1562:D1566)</f>
        <v>0</v>
      </c>
      <c r="E1561" s="692"/>
      <c r="G1561" s="781"/>
      <c r="H1561" s="782"/>
    </row>
    <row r="1562" spans="1:8">
      <c r="A1562" s="457"/>
      <c r="B1562" s="793" t="s">
        <v>796</v>
      </c>
      <c r="C1562" s="773">
        <v>51112100</v>
      </c>
      <c r="D1562" s="826"/>
      <c r="E1562" s="692"/>
      <c r="G1562" s="781"/>
      <c r="H1562" s="782"/>
    </row>
    <row r="1563" spans="1:8">
      <c r="A1563" s="457"/>
      <c r="B1563" s="793" t="s">
        <v>799</v>
      </c>
      <c r="C1563" s="773">
        <v>51112200</v>
      </c>
      <c r="D1563" s="826"/>
      <c r="E1563" s="692"/>
      <c r="G1563" s="781"/>
      <c r="H1563" s="782"/>
    </row>
    <row r="1564" spans="1:8">
      <c r="A1564" s="457"/>
      <c r="B1564" s="793" t="s">
        <v>54</v>
      </c>
      <c r="C1564" s="773">
        <v>51112300</v>
      </c>
      <c r="D1564" s="826"/>
      <c r="E1564" s="692"/>
      <c r="G1564" s="781"/>
      <c r="H1564" s="782"/>
    </row>
    <row r="1565" spans="1:8">
      <c r="A1565" s="457"/>
      <c r="B1565" s="793" t="s">
        <v>826</v>
      </c>
      <c r="C1565" s="773">
        <v>51112400</v>
      </c>
      <c r="D1565" s="826"/>
      <c r="E1565" s="692"/>
      <c r="G1565" s="781"/>
      <c r="H1565" s="782"/>
    </row>
    <row r="1566" spans="1:8">
      <c r="A1566" s="457"/>
      <c r="B1566" s="793" t="s">
        <v>1019</v>
      </c>
      <c r="C1566" s="773">
        <v>51112500</v>
      </c>
      <c r="D1566" s="826"/>
      <c r="E1566" s="692"/>
      <c r="G1566" s="781"/>
      <c r="H1566" s="782"/>
    </row>
    <row r="1567" spans="1:8">
      <c r="A1567" s="457"/>
      <c r="B1567" s="495" t="s">
        <v>1020</v>
      </c>
      <c r="C1567" s="773">
        <v>51200000</v>
      </c>
      <c r="D1567" s="755">
        <f>SUM(D1568:D1572)</f>
        <v>0</v>
      </c>
      <c r="E1567" s="692"/>
      <c r="G1567" s="781"/>
      <c r="H1567" s="782"/>
    </row>
    <row r="1568" spans="1:8">
      <c r="A1568" s="457"/>
      <c r="B1568" s="500" t="s">
        <v>1021</v>
      </c>
      <c r="C1568" s="773">
        <v>51210000</v>
      </c>
      <c r="D1568" s="826"/>
      <c r="E1568" s="692"/>
      <c r="G1568" s="781"/>
      <c r="H1568" s="782"/>
    </row>
    <row r="1569" spans="1:8">
      <c r="A1569" s="457"/>
      <c r="B1569" s="500" t="s">
        <v>1022</v>
      </c>
      <c r="C1569" s="773">
        <v>51220000</v>
      </c>
      <c r="D1569" s="826"/>
      <c r="E1569" s="692"/>
      <c r="G1569" s="781"/>
      <c r="H1569" s="782"/>
    </row>
    <row r="1570" spans="1:8">
      <c r="A1570" s="481"/>
      <c r="B1570" s="509" t="s">
        <v>1023</v>
      </c>
      <c r="C1570" s="773">
        <v>51230000</v>
      </c>
      <c r="D1570" s="826"/>
      <c r="E1570" s="692"/>
      <c r="G1570" s="781"/>
      <c r="H1570" s="782"/>
    </row>
    <row r="1571" spans="1:8">
      <c r="A1571" s="457"/>
      <c r="B1571" s="500" t="s">
        <v>1024</v>
      </c>
      <c r="C1571" s="773">
        <v>51240000</v>
      </c>
      <c r="D1571" s="826"/>
      <c r="E1571" s="692"/>
      <c r="G1571" s="781"/>
      <c r="H1571" s="782"/>
    </row>
    <row r="1572" spans="1:8">
      <c r="A1572" s="457"/>
      <c r="B1572" s="500" t="s">
        <v>1025</v>
      </c>
      <c r="C1572" s="773">
        <v>51250000</v>
      </c>
      <c r="D1572" s="826"/>
      <c r="E1572" s="692"/>
      <c r="G1572" s="781"/>
      <c r="H1572" s="782"/>
    </row>
    <row r="1573" spans="1:8">
      <c r="A1573" s="457"/>
      <c r="B1573" s="495" t="s">
        <v>1026</v>
      </c>
      <c r="C1573" s="773">
        <v>51400000</v>
      </c>
      <c r="D1573" s="755">
        <f>SUM(D1574:D1576)</f>
        <v>0</v>
      </c>
      <c r="E1573" s="692"/>
      <c r="G1573" s="781"/>
      <c r="H1573" s="782"/>
    </row>
    <row r="1574" spans="1:8">
      <c r="A1574" s="457"/>
      <c r="B1574" s="500" t="s">
        <v>1027</v>
      </c>
      <c r="C1574" s="773">
        <v>51410000</v>
      </c>
      <c r="D1574" s="826"/>
      <c r="E1574" s="692"/>
      <c r="G1574" s="781"/>
      <c r="H1574" s="782"/>
    </row>
    <row r="1575" spans="1:8">
      <c r="A1575" s="457"/>
      <c r="B1575" s="500" t="s">
        <v>1028</v>
      </c>
      <c r="C1575" s="773">
        <v>51420000</v>
      </c>
      <c r="D1575" s="826"/>
      <c r="E1575" s="692"/>
      <c r="G1575" s="781"/>
      <c r="H1575" s="782"/>
    </row>
    <row r="1576" spans="1:8">
      <c r="A1576" s="457"/>
      <c r="B1576" s="500" t="s">
        <v>1430</v>
      </c>
      <c r="C1576" s="773">
        <v>51430000</v>
      </c>
      <c r="D1576" s="826"/>
      <c r="E1576" s="692"/>
      <c r="G1576" s="781"/>
      <c r="H1576" s="782"/>
    </row>
    <row r="1577" spans="1:8">
      <c r="A1577" s="457"/>
      <c r="B1577" s="495" t="s">
        <v>1029</v>
      </c>
      <c r="C1577" s="773">
        <v>51500000</v>
      </c>
      <c r="D1577" s="755">
        <f>SUM(D1578:D1579)</f>
        <v>0</v>
      </c>
      <c r="E1577" s="692"/>
      <c r="G1577" s="781"/>
      <c r="H1577" s="782"/>
    </row>
    <row r="1578" spans="1:8">
      <c r="A1578" s="457"/>
      <c r="B1578" s="500" t="s">
        <v>1030</v>
      </c>
      <c r="C1578" s="773">
        <v>51510000</v>
      </c>
      <c r="D1578" s="826"/>
      <c r="E1578" s="692"/>
      <c r="G1578" s="781"/>
      <c r="H1578" s="782"/>
    </row>
    <row r="1579" spans="1:8">
      <c r="A1579" s="457"/>
      <c r="B1579" s="500" t="s">
        <v>1029</v>
      </c>
      <c r="C1579" s="773">
        <v>51520000</v>
      </c>
      <c r="D1579" s="826"/>
      <c r="E1579" s="692"/>
      <c r="G1579" s="781"/>
      <c r="H1579" s="782"/>
    </row>
    <row r="1580" spans="1:8">
      <c r="A1580" s="468"/>
      <c r="B1580" s="516" t="s">
        <v>87</v>
      </c>
      <c r="C1580" s="806">
        <v>51600000</v>
      </c>
      <c r="D1580" s="945"/>
      <c r="E1580" s="692"/>
      <c r="G1580" s="781"/>
      <c r="H1580" s="782"/>
    </row>
    <row r="1581" spans="1:8">
      <c r="A1581" s="768"/>
      <c r="B1581" s="811" t="s">
        <v>88</v>
      </c>
      <c r="C1581" s="812">
        <v>52000000</v>
      </c>
      <c r="D1581" s="813">
        <f>SUM(D1582,D1592,D1596,D1601,D1605)</f>
        <v>0</v>
      </c>
      <c r="E1581" s="692"/>
      <c r="G1581" s="781"/>
      <c r="H1581" s="782"/>
    </row>
    <row r="1582" spans="1:8">
      <c r="A1582" s="457"/>
      <c r="B1582" s="495" t="s">
        <v>1031</v>
      </c>
      <c r="C1582" s="773">
        <v>52100000</v>
      </c>
      <c r="D1582" s="755">
        <f>SUM(D1583:D1591)</f>
        <v>0</v>
      </c>
      <c r="E1582" s="692"/>
      <c r="G1582" s="781"/>
      <c r="H1582" s="782"/>
    </row>
    <row r="1583" spans="1:8">
      <c r="A1583" s="457"/>
      <c r="B1583" s="500" t="s">
        <v>1032</v>
      </c>
      <c r="C1583" s="773">
        <v>52110000</v>
      </c>
      <c r="D1583" s="826"/>
      <c r="E1583" s="692"/>
      <c r="G1583" s="781"/>
      <c r="H1583" s="782"/>
    </row>
    <row r="1584" spans="1:8">
      <c r="A1584" s="457"/>
      <c r="B1584" s="500" t="s">
        <v>1033</v>
      </c>
      <c r="C1584" s="773">
        <v>52120000</v>
      </c>
      <c r="D1584" s="826"/>
      <c r="E1584" s="692"/>
      <c r="G1584" s="781"/>
      <c r="H1584" s="782"/>
    </row>
    <row r="1585" spans="1:8">
      <c r="A1585" s="457"/>
      <c r="B1585" s="500" t="s">
        <v>1034</v>
      </c>
      <c r="C1585" s="773">
        <v>52130000</v>
      </c>
      <c r="D1585" s="826"/>
      <c r="E1585" s="692"/>
      <c r="G1585" s="781"/>
      <c r="H1585" s="782"/>
    </row>
    <row r="1586" spans="1:8">
      <c r="A1586" s="457"/>
      <c r="B1586" s="500" t="s">
        <v>1035</v>
      </c>
      <c r="C1586" s="773">
        <v>52140000</v>
      </c>
      <c r="D1586" s="826"/>
      <c r="E1586" s="692"/>
      <c r="G1586" s="781"/>
      <c r="H1586" s="782"/>
    </row>
    <row r="1587" spans="1:8">
      <c r="A1587" s="457"/>
      <c r="B1587" s="500" t="s">
        <v>1036</v>
      </c>
      <c r="C1587" s="773">
        <v>52150000</v>
      </c>
      <c r="D1587" s="826"/>
      <c r="E1587" s="692"/>
      <c r="G1587" s="781"/>
      <c r="H1587" s="782"/>
    </row>
    <row r="1588" spans="1:8">
      <c r="A1588" s="457"/>
      <c r="B1588" s="500" t="s">
        <v>1037</v>
      </c>
      <c r="C1588" s="773">
        <v>52160000</v>
      </c>
      <c r="D1588" s="826"/>
      <c r="E1588" s="692"/>
      <c r="G1588" s="781"/>
      <c r="H1588" s="782"/>
    </row>
    <row r="1589" spans="1:8">
      <c r="A1589" s="457"/>
      <c r="B1589" s="500" t="s">
        <v>1038</v>
      </c>
      <c r="C1589" s="773">
        <v>52170000</v>
      </c>
      <c r="D1589" s="826"/>
      <c r="E1589" s="692"/>
      <c r="G1589" s="781"/>
      <c r="H1589" s="782"/>
    </row>
    <row r="1590" spans="1:8">
      <c r="A1590" s="457"/>
      <c r="B1590" s="500" t="s">
        <v>1039</v>
      </c>
      <c r="C1590" s="773">
        <v>52180000</v>
      </c>
      <c r="D1590" s="826"/>
      <c r="E1590" s="692"/>
      <c r="G1590" s="781"/>
      <c r="H1590" s="782"/>
    </row>
    <row r="1591" spans="1:8">
      <c r="A1591" s="457"/>
      <c r="B1591" s="500" t="s">
        <v>1040</v>
      </c>
      <c r="C1591" s="773">
        <v>52190000</v>
      </c>
      <c r="D1591" s="826"/>
      <c r="E1591" s="692"/>
      <c r="G1591" s="781"/>
      <c r="H1591" s="782"/>
    </row>
    <row r="1592" spans="1:8">
      <c r="A1592" s="457"/>
      <c r="B1592" s="495" t="s">
        <v>1041</v>
      </c>
      <c r="C1592" s="773">
        <v>52200000</v>
      </c>
      <c r="D1592" s="755">
        <f>SUM(D1593:D1595)</f>
        <v>0</v>
      </c>
      <c r="E1592" s="692"/>
      <c r="G1592" s="781"/>
      <c r="H1592" s="782"/>
    </row>
    <row r="1593" spans="1:8">
      <c r="A1593" s="457"/>
      <c r="B1593" s="500" t="s">
        <v>89</v>
      </c>
      <c r="C1593" s="773">
        <v>52210000</v>
      </c>
      <c r="D1593" s="826"/>
      <c r="E1593" s="692"/>
      <c r="G1593" s="781"/>
      <c r="H1593" s="782"/>
    </row>
    <row r="1594" spans="1:8">
      <c r="A1594" s="457"/>
      <c r="B1594" s="500" t="s">
        <v>90</v>
      </c>
      <c r="C1594" s="773">
        <v>52220000</v>
      </c>
      <c r="D1594" s="826"/>
      <c r="E1594" s="692"/>
      <c r="G1594" s="781"/>
      <c r="H1594" s="782"/>
    </row>
    <row r="1595" spans="1:8">
      <c r="A1595" s="457"/>
      <c r="B1595" s="500" t="s">
        <v>1042</v>
      </c>
      <c r="C1595" s="773">
        <v>52230000</v>
      </c>
      <c r="D1595" s="826"/>
      <c r="E1595" s="692"/>
      <c r="G1595" s="781"/>
      <c r="H1595" s="782"/>
    </row>
    <row r="1596" spans="1:8">
      <c r="A1596" s="457"/>
      <c r="B1596" s="495" t="s">
        <v>1043</v>
      </c>
      <c r="C1596" s="773">
        <v>52300000</v>
      </c>
      <c r="D1596" s="755">
        <f>SUM(D1597:D1600)</f>
        <v>0</v>
      </c>
      <c r="E1596" s="692"/>
      <c r="G1596" s="781"/>
      <c r="H1596" s="782"/>
    </row>
    <row r="1597" spans="1:8">
      <c r="A1597" s="457"/>
      <c r="B1597" s="500" t="s">
        <v>91</v>
      </c>
      <c r="C1597" s="773">
        <v>52310000</v>
      </c>
      <c r="D1597" s="826"/>
      <c r="E1597" s="692"/>
      <c r="G1597" s="781"/>
      <c r="H1597" s="782"/>
    </row>
    <row r="1598" spans="1:8">
      <c r="A1598" s="457"/>
      <c r="B1598" s="500" t="s">
        <v>92</v>
      </c>
      <c r="C1598" s="773">
        <v>52320000</v>
      </c>
      <c r="D1598" s="826"/>
      <c r="E1598" s="692"/>
      <c r="G1598" s="781"/>
      <c r="H1598" s="782"/>
    </row>
    <row r="1599" spans="1:8">
      <c r="A1599" s="457"/>
      <c r="B1599" s="500" t="s">
        <v>1044</v>
      </c>
      <c r="C1599" s="773">
        <v>52330000</v>
      </c>
      <c r="D1599" s="826"/>
      <c r="E1599" s="692"/>
      <c r="G1599" s="781"/>
      <c r="H1599" s="782"/>
    </row>
    <row r="1600" spans="1:8">
      <c r="A1600" s="457"/>
      <c r="B1600" s="500" t="s">
        <v>1045</v>
      </c>
      <c r="C1600" s="773">
        <v>52340000</v>
      </c>
      <c r="D1600" s="826"/>
      <c r="E1600" s="692"/>
      <c r="G1600" s="781"/>
      <c r="H1600" s="782"/>
    </row>
    <row r="1601" spans="1:8">
      <c r="A1601" s="465"/>
      <c r="B1601" s="516" t="s">
        <v>1046</v>
      </c>
      <c r="C1601" s="806">
        <v>52400000</v>
      </c>
      <c r="D1601" s="807">
        <f>SUM(D1602:D1604)</f>
        <v>0</v>
      </c>
      <c r="E1601" s="692"/>
      <c r="G1601" s="781"/>
      <c r="H1601" s="782"/>
    </row>
    <row r="1602" spans="1:8">
      <c r="A1602" s="465"/>
      <c r="B1602" s="518" t="s">
        <v>29</v>
      </c>
      <c r="C1602" s="806">
        <v>52410000</v>
      </c>
      <c r="D1602" s="826"/>
      <c r="E1602" s="692"/>
      <c r="G1602" s="781"/>
      <c r="H1602" s="782"/>
    </row>
    <row r="1603" spans="1:8">
      <c r="A1603" s="465"/>
      <c r="B1603" s="518" t="s">
        <v>1047</v>
      </c>
      <c r="C1603" s="806">
        <v>52420000</v>
      </c>
      <c r="D1603" s="826"/>
      <c r="E1603" s="692"/>
      <c r="G1603" s="781"/>
      <c r="H1603" s="782"/>
    </row>
    <row r="1604" spans="1:8">
      <c r="A1604" s="465"/>
      <c r="B1604" s="518" t="s">
        <v>919</v>
      </c>
      <c r="C1604" s="806">
        <v>52430000</v>
      </c>
      <c r="D1604" s="826"/>
      <c r="E1604" s="692"/>
      <c r="G1604" s="781"/>
      <c r="H1604" s="782"/>
    </row>
    <row r="1605" spans="1:8">
      <c r="A1605" s="465"/>
      <c r="B1605" s="516" t="s">
        <v>1048</v>
      </c>
      <c r="C1605" s="806">
        <v>52500000</v>
      </c>
      <c r="D1605" s="807">
        <f>SUM(D1606,D1617,D1618,D1619,D1625:D1626,D1631,D1636,D1640:D1656)</f>
        <v>0</v>
      </c>
      <c r="E1605" s="692"/>
      <c r="G1605" s="781"/>
      <c r="H1605" s="782"/>
    </row>
    <row r="1606" spans="1:8">
      <c r="A1606" s="465"/>
      <c r="B1606" s="520" t="s">
        <v>1049</v>
      </c>
      <c r="C1606" s="806">
        <v>52501000</v>
      </c>
      <c r="D1606" s="730">
        <f>SUM(D1607,D1614)</f>
        <v>0</v>
      </c>
      <c r="E1606" s="692"/>
      <c r="G1606" s="781"/>
      <c r="H1606" s="782"/>
    </row>
    <row r="1607" spans="1:8">
      <c r="A1607" s="465"/>
      <c r="B1607" s="524" t="s">
        <v>1050</v>
      </c>
      <c r="C1607" s="806">
        <v>52501100</v>
      </c>
      <c r="D1607" s="730">
        <f>SUM(D1608:D1613)</f>
        <v>0</v>
      </c>
      <c r="E1607" s="692"/>
      <c r="G1607" s="781"/>
      <c r="H1607" s="782"/>
    </row>
    <row r="1608" spans="1:8">
      <c r="A1608" s="465"/>
      <c r="B1608" s="808" t="s">
        <v>93</v>
      </c>
      <c r="C1608" s="806">
        <v>52501110</v>
      </c>
      <c r="D1608" s="826"/>
      <c r="E1608" s="734"/>
      <c r="G1608" s="781"/>
      <c r="H1608" s="782"/>
    </row>
    <row r="1609" spans="1:8">
      <c r="A1609" s="465"/>
      <c r="B1609" s="808" t="s">
        <v>94</v>
      </c>
      <c r="C1609" s="806">
        <v>52501120</v>
      </c>
      <c r="D1609" s="826"/>
      <c r="E1609" s="692"/>
      <c r="G1609" s="781"/>
      <c r="H1609" s="782"/>
    </row>
    <row r="1610" spans="1:8">
      <c r="A1610" s="465"/>
      <c r="B1610" s="808" t="s">
        <v>1051</v>
      </c>
      <c r="C1610" s="806">
        <v>52501130</v>
      </c>
      <c r="D1610" s="826"/>
      <c r="E1610" s="692"/>
      <c r="G1610" s="781"/>
      <c r="H1610" s="782"/>
    </row>
    <row r="1611" spans="1:8">
      <c r="A1611" s="465"/>
      <c r="B1611" s="808" t="s">
        <v>1052</v>
      </c>
      <c r="C1611" s="806">
        <v>52501140</v>
      </c>
      <c r="D1611" s="826"/>
      <c r="E1611" s="14"/>
      <c r="G1611" s="781"/>
      <c r="H1611" s="782"/>
    </row>
    <row r="1612" spans="1:8">
      <c r="A1612" s="465"/>
      <c r="B1612" s="808" t="s">
        <v>1053</v>
      </c>
      <c r="C1612" s="806">
        <v>52501150</v>
      </c>
      <c r="D1612" s="826"/>
      <c r="E1612" s="14"/>
      <c r="G1612" s="781"/>
      <c r="H1612" s="782"/>
    </row>
    <row r="1613" spans="1:8">
      <c r="A1613" s="465"/>
      <c r="B1613" s="808" t="s">
        <v>55</v>
      </c>
      <c r="C1613" s="806">
        <v>52501160</v>
      </c>
      <c r="D1613" s="826"/>
      <c r="E1613" s="692"/>
      <c r="G1613" s="781"/>
      <c r="H1613" s="782"/>
    </row>
    <row r="1614" spans="1:8">
      <c r="A1614" s="465"/>
      <c r="B1614" s="524" t="s">
        <v>1054</v>
      </c>
      <c r="C1614" s="806">
        <v>52501200</v>
      </c>
      <c r="D1614" s="730">
        <f>SUM(D1615:D1616)</f>
        <v>0</v>
      </c>
      <c r="E1614" s="692"/>
      <c r="G1614" s="781"/>
      <c r="H1614" s="782"/>
    </row>
    <row r="1615" spans="1:8">
      <c r="A1615" s="465"/>
      <c r="B1615" s="808" t="s">
        <v>1055</v>
      </c>
      <c r="C1615" s="806">
        <v>52501210</v>
      </c>
      <c r="D1615" s="826"/>
      <c r="E1615" s="692"/>
      <c r="G1615" s="781"/>
      <c r="H1615" s="782"/>
    </row>
    <row r="1616" spans="1:8">
      <c r="A1616" s="465"/>
      <c r="B1616" s="808" t="s">
        <v>1056</v>
      </c>
      <c r="C1616" s="806">
        <v>52501220</v>
      </c>
      <c r="D1616" s="826"/>
      <c r="E1616" s="692"/>
      <c r="G1616" s="781"/>
      <c r="H1616" s="782"/>
    </row>
    <row r="1617" spans="1:8">
      <c r="A1617" s="465"/>
      <c r="B1617" s="520" t="s">
        <v>1057</v>
      </c>
      <c r="C1617" s="806">
        <v>52502000</v>
      </c>
      <c r="D1617" s="826"/>
      <c r="E1617" s="692"/>
      <c r="G1617" s="781"/>
      <c r="H1617" s="782"/>
    </row>
    <row r="1618" spans="1:8">
      <c r="A1618" s="465"/>
      <c r="B1618" s="520" t="s">
        <v>1058</v>
      </c>
      <c r="C1618" s="806">
        <v>52503000</v>
      </c>
      <c r="D1618" s="826"/>
      <c r="E1618" s="692"/>
      <c r="G1618" s="781"/>
      <c r="H1618" s="782"/>
    </row>
    <row r="1619" spans="1:8">
      <c r="A1619" s="465"/>
      <c r="B1619" s="520" t="s">
        <v>1059</v>
      </c>
      <c r="C1619" s="806">
        <v>52504000</v>
      </c>
      <c r="D1619" s="730">
        <f>SUM(D1620:D1624)</f>
        <v>0</v>
      </c>
      <c r="E1619" s="692"/>
      <c r="G1619" s="781"/>
      <c r="H1619" s="782"/>
    </row>
    <row r="1620" spans="1:8">
      <c r="A1620" s="465"/>
      <c r="B1620" s="518" t="s">
        <v>1060</v>
      </c>
      <c r="C1620" s="806">
        <v>52504100</v>
      </c>
      <c r="D1620" s="826"/>
      <c r="E1620" s="692"/>
      <c r="G1620" s="781"/>
      <c r="H1620" s="782"/>
    </row>
    <row r="1621" spans="1:8">
      <c r="A1621" s="465"/>
      <c r="B1621" s="518" t="s">
        <v>1061</v>
      </c>
      <c r="C1621" s="806">
        <v>52504200</v>
      </c>
      <c r="D1621" s="826"/>
      <c r="E1621" s="692"/>
      <c r="G1621" s="781"/>
      <c r="H1621" s="782"/>
    </row>
    <row r="1622" spans="1:8">
      <c r="A1622" s="465"/>
      <c r="B1622" s="518" t="s">
        <v>1062</v>
      </c>
      <c r="C1622" s="806">
        <v>52504300</v>
      </c>
      <c r="D1622" s="826"/>
      <c r="E1622" s="692"/>
      <c r="G1622" s="781"/>
      <c r="H1622" s="782"/>
    </row>
    <row r="1623" spans="1:8">
      <c r="A1623" s="465"/>
      <c r="B1623" s="518" t="s">
        <v>1063</v>
      </c>
      <c r="C1623" s="806">
        <v>52504400</v>
      </c>
      <c r="D1623" s="826"/>
      <c r="E1623" s="692"/>
      <c r="G1623" s="781"/>
      <c r="H1623" s="782"/>
    </row>
    <row r="1624" spans="1:8">
      <c r="A1624" s="465"/>
      <c r="B1624" s="518" t="s">
        <v>1064</v>
      </c>
      <c r="C1624" s="806">
        <v>52504500</v>
      </c>
      <c r="D1624" s="826"/>
      <c r="E1624" s="692"/>
      <c r="G1624" s="781"/>
      <c r="H1624" s="782"/>
    </row>
    <row r="1625" spans="1:8">
      <c r="A1625" s="465"/>
      <c r="B1625" s="520" t="s">
        <v>1065</v>
      </c>
      <c r="C1625" s="806">
        <v>52505000</v>
      </c>
      <c r="D1625" s="826"/>
      <c r="E1625" s="734"/>
      <c r="G1625" s="781"/>
      <c r="H1625" s="782"/>
    </row>
    <row r="1626" spans="1:8">
      <c r="A1626" s="465"/>
      <c r="B1626" s="520" t="s">
        <v>1066</v>
      </c>
      <c r="C1626" s="809">
        <v>52506000</v>
      </c>
      <c r="D1626" s="730">
        <f>SUM(D1627:D1630)</f>
        <v>0</v>
      </c>
      <c r="E1626" s="692"/>
      <c r="G1626" s="781"/>
      <c r="H1626" s="782"/>
    </row>
    <row r="1627" spans="1:8">
      <c r="A1627" s="465"/>
      <c r="B1627" s="518" t="s">
        <v>1067</v>
      </c>
      <c r="C1627" s="809">
        <v>52506100</v>
      </c>
      <c r="D1627" s="826"/>
      <c r="E1627" s="692"/>
      <c r="G1627" s="781"/>
      <c r="H1627" s="782"/>
    </row>
    <row r="1628" spans="1:8">
      <c r="A1628" s="465"/>
      <c r="B1628" s="518" t="s">
        <v>100</v>
      </c>
      <c r="C1628" s="809">
        <v>52506200</v>
      </c>
      <c r="D1628" s="826"/>
      <c r="E1628" s="692"/>
      <c r="G1628" s="781"/>
      <c r="H1628" s="782"/>
    </row>
    <row r="1629" spans="1:8">
      <c r="A1629" s="465"/>
      <c r="B1629" s="518" t="s">
        <v>96</v>
      </c>
      <c r="C1629" s="809">
        <v>52506300</v>
      </c>
      <c r="D1629" s="826"/>
      <c r="E1629" s="692"/>
      <c r="G1629" s="781"/>
      <c r="H1629" s="782"/>
    </row>
    <row r="1630" spans="1:8">
      <c r="A1630" s="465"/>
      <c r="B1630" s="518" t="s">
        <v>1068</v>
      </c>
      <c r="C1630" s="809">
        <v>52506400</v>
      </c>
      <c r="D1630" s="826"/>
      <c r="E1630" s="692"/>
      <c r="G1630" s="781"/>
      <c r="H1630" s="782"/>
    </row>
    <row r="1631" spans="1:8">
      <c r="A1631" s="465"/>
      <c r="B1631" s="520" t="s">
        <v>1069</v>
      </c>
      <c r="C1631" s="809">
        <v>52507000</v>
      </c>
      <c r="D1631" s="730">
        <f>SUM(D1632:D1635)</f>
        <v>0</v>
      </c>
      <c r="E1631" s="692"/>
      <c r="G1631" s="781"/>
      <c r="H1631" s="782"/>
    </row>
    <row r="1632" spans="1:8">
      <c r="A1632" s="465"/>
      <c r="B1632" s="518" t="s">
        <v>1070</v>
      </c>
      <c r="C1632" s="809">
        <v>52507100</v>
      </c>
      <c r="D1632" s="826"/>
      <c r="E1632" s="692"/>
      <c r="G1632" s="781"/>
      <c r="H1632" s="782"/>
    </row>
    <row r="1633" spans="1:8">
      <c r="A1633" s="465"/>
      <c r="B1633" s="518" t="s">
        <v>1071</v>
      </c>
      <c r="C1633" s="809">
        <v>52507200</v>
      </c>
      <c r="D1633" s="826"/>
      <c r="E1633" s="14"/>
      <c r="G1633" s="781"/>
      <c r="H1633" s="782"/>
    </row>
    <row r="1634" spans="1:8">
      <c r="A1634" s="465"/>
      <c r="B1634" s="518" t="s">
        <v>1072</v>
      </c>
      <c r="C1634" s="809">
        <v>52507300</v>
      </c>
      <c r="D1634" s="826"/>
      <c r="E1634" s="692"/>
      <c r="G1634" s="781"/>
      <c r="H1634" s="782"/>
    </row>
    <row r="1635" spans="1:8">
      <c r="A1635" s="465"/>
      <c r="B1635" s="518" t="s">
        <v>1073</v>
      </c>
      <c r="C1635" s="806">
        <v>52507400</v>
      </c>
      <c r="D1635" s="826"/>
      <c r="E1635" s="692"/>
      <c r="G1635" s="781"/>
      <c r="H1635" s="782"/>
    </row>
    <row r="1636" spans="1:8">
      <c r="A1636" s="465"/>
      <c r="B1636" s="520" t="s">
        <v>1074</v>
      </c>
      <c r="C1636" s="806">
        <v>52508000</v>
      </c>
      <c r="D1636" s="730">
        <f>SUM(D1637:D1639)</f>
        <v>0</v>
      </c>
      <c r="E1636" s="14"/>
      <c r="G1636" s="781"/>
      <c r="H1636" s="782"/>
    </row>
    <row r="1637" spans="1:8">
      <c r="A1637" s="465"/>
      <c r="B1637" s="518" t="s">
        <v>1075</v>
      </c>
      <c r="C1637" s="806">
        <v>52508100</v>
      </c>
      <c r="D1637" s="826"/>
      <c r="E1637" s="734"/>
      <c r="G1637" s="781"/>
      <c r="H1637" s="782"/>
    </row>
    <row r="1638" spans="1:8">
      <c r="A1638" s="465"/>
      <c r="B1638" s="518" t="s">
        <v>1076</v>
      </c>
      <c r="C1638" s="806">
        <v>52508200</v>
      </c>
      <c r="D1638" s="826"/>
      <c r="E1638" s="14"/>
      <c r="G1638" s="781"/>
      <c r="H1638" s="782"/>
    </row>
    <row r="1639" spans="1:8">
      <c r="A1639" s="465"/>
      <c r="B1639" s="518" t="s">
        <v>1077</v>
      </c>
      <c r="C1639" s="806">
        <v>52508300</v>
      </c>
      <c r="D1639" s="826"/>
      <c r="E1639" s="14"/>
      <c r="G1639" s="781"/>
      <c r="H1639" s="782"/>
    </row>
    <row r="1640" spans="1:8">
      <c r="A1640" s="465"/>
      <c r="B1640" s="520" t="s">
        <v>1078</v>
      </c>
      <c r="C1640" s="806">
        <v>52509000</v>
      </c>
      <c r="D1640" s="826"/>
      <c r="E1640" s="734"/>
      <c r="G1640" s="781"/>
      <c r="H1640" s="782"/>
    </row>
    <row r="1641" spans="1:8">
      <c r="A1641" s="465"/>
      <c r="B1641" s="520" t="s">
        <v>1079</v>
      </c>
      <c r="C1641" s="806">
        <v>52510000</v>
      </c>
      <c r="D1641" s="826"/>
      <c r="E1641" s="14"/>
      <c r="G1641" s="781"/>
      <c r="H1641" s="782"/>
    </row>
    <row r="1642" spans="1:8">
      <c r="A1642" s="465"/>
      <c r="B1642" s="520" t="s">
        <v>1080</v>
      </c>
      <c r="C1642" s="806">
        <v>52511000</v>
      </c>
      <c r="D1642" s="826"/>
      <c r="E1642" s="14"/>
      <c r="G1642" s="781"/>
      <c r="H1642" s="782"/>
    </row>
    <row r="1643" spans="1:8">
      <c r="A1643" s="465"/>
      <c r="B1643" s="520" t="s">
        <v>1081</v>
      </c>
      <c r="C1643" s="806">
        <v>52512000</v>
      </c>
      <c r="D1643" s="826"/>
      <c r="E1643" s="734"/>
      <c r="G1643" s="781"/>
      <c r="H1643" s="782"/>
    </row>
    <row r="1644" spans="1:8">
      <c r="A1644" s="465"/>
      <c r="B1644" s="520" t="s">
        <v>97</v>
      </c>
      <c r="C1644" s="806">
        <v>52513000</v>
      </c>
      <c r="D1644" s="826"/>
      <c r="E1644" s="14"/>
      <c r="G1644" s="781"/>
      <c r="H1644" s="782"/>
    </row>
    <row r="1645" spans="1:8">
      <c r="A1645" s="465"/>
      <c r="B1645" s="520" t="s">
        <v>1082</v>
      </c>
      <c r="C1645" s="806">
        <v>52514000</v>
      </c>
      <c r="D1645" s="826"/>
      <c r="E1645" s="14"/>
      <c r="G1645" s="781"/>
      <c r="H1645" s="782"/>
    </row>
    <row r="1646" spans="1:8">
      <c r="A1646" s="465"/>
      <c r="B1646" s="520" t="s">
        <v>1083</v>
      </c>
      <c r="C1646" s="806">
        <v>52515000</v>
      </c>
      <c r="D1646" s="826"/>
      <c r="E1646" s="734"/>
      <c r="G1646" s="781"/>
      <c r="H1646" s="782"/>
    </row>
    <row r="1647" spans="1:8">
      <c r="A1647" s="465"/>
      <c r="B1647" s="520" t="s">
        <v>1084</v>
      </c>
      <c r="C1647" s="806">
        <v>52516000</v>
      </c>
      <c r="D1647" s="826"/>
      <c r="E1647" s="692"/>
      <c r="G1647" s="781"/>
      <c r="H1647" s="782"/>
    </row>
    <row r="1648" spans="1:8">
      <c r="A1648" s="465"/>
      <c r="B1648" s="520" t="s">
        <v>1085</v>
      </c>
      <c r="C1648" s="806">
        <v>52517000</v>
      </c>
      <c r="D1648" s="826"/>
      <c r="E1648" s="692"/>
      <c r="G1648" s="781"/>
      <c r="H1648" s="782"/>
    </row>
    <row r="1649" spans="1:8">
      <c r="A1649" s="465"/>
      <c r="B1649" s="520" t="s">
        <v>95</v>
      </c>
      <c r="C1649" s="806">
        <v>52518000</v>
      </c>
      <c r="D1649" s="826"/>
      <c r="E1649" s="692"/>
      <c r="G1649" s="781"/>
      <c r="H1649" s="782"/>
    </row>
    <row r="1650" spans="1:8">
      <c r="A1650" s="465"/>
      <c r="B1650" s="520" t="s">
        <v>1086</v>
      </c>
      <c r="C1650" s="806">
        <v>52519000</v>
      </c>
      <c r="D1650" s="826"/>
      <c r="E1650" s="734"/>
      <c r="G1650" s="781"/>
      <c r="H1650" s="782"/>
    </row>
    <row r="1651" spans="1:8">
      <c r="A1651" s="465"/>
      <c r="B1651" s="520" t="s">
        <v>99</v>
      </c>
      <c r="C1651" s="806">
        <v>52520000</v>
      </c>
      <c r="D1651" s="826"/>
      <c r="E1651" s="692"/>
      <c r="G1651" s="781"/>
      <c r="H1651" s="782"/>
    </row>
    <row r="1652" spans="1:8">
      <c r="A1652" s="465"/>
      <c r="B1652" s="520" t="s">
        <v>98</v>
      </c>
      <c r="C1652" s="806">
        <v>52521000</v>
      </c>
      <c r="D1652" s="826"/>
      <c r="E1652" s="692"/>
      <c r="G1652" s="781"/>
      <c r="H1652" s="782"/>
    </row>
    <row r="1653" spans="1:8">
      <c r="A1653" s="465"/>
      <c r="B1653" s="520" t="s">
        <v>1087</v>
      </c>
      <c r="C1653" s="806">
        <v>52522000</v>
      </c>
      <c r="D1653" s="826"/>
      <c r="E1653" s="734"/>
      <c r="G1653" s="781"/>
      <c r="H1653" s="782"/>
    </row>
    <row r="1654" spans="1:8">
      <c r="A1654" s="465"/>
      <c r="B1654" s="520" t="s">
        <v>1088</v>
      </c>
      <c r="C1654" s="806">
        <v>52523000</v>
      </c>
      <c r="D1654" s="826"/>
      <c r="E1654" s="692"/>
      <c r="G1654" s="781"/>
      <c r="H1654" s="782"/>
    </row>
    <row r="1655" spans="1:8">
      <c r="A1655" s="465"/>
      <c r="B1655" s="520" t="s">
        <v>1089</v>
      </c>
      <c r="C1655" s="806">
        <v>52524000</v>
      </c>
      <c r="D1655" s="826"/>
      <c r="E1655" s="692"/>
      <c r="G1655" s="781"/>
      <c r="H1655" s="782"/>
    </row>
    <row r="1656" spans="1:8">
      <c r="A1656" s="465"/>
      <c r="B1656" s="520" t="s">
        <v>1090</v>
      </c>
      <c r="C1656" s="806">
        <v>52525000</v>
      </c>
      <c r="D1656" s="826"/>
      <c r="E1656" s="734"/>
      <c r="G1656" s="781"/>
      <c r="H1656" s="782"/>
    </row>
    <row r="1657" spans="1:8">
      <c r="A1657" s="810"/>
      <c r="B1657" s="811" t="s">
        <v>1091</v>
      </c>
      <c r="C1657" s="812" t="s">
        <v>1092</v>
      </c>
      <c r="D1657" s="813">
        <f>SUM(D1658:D1666)</f>
        <v>0</v>
      </c>
      <c r="E1657" s="692"/>
      <c r="G1657" s="781"/>
      <c r="H1657" s="782"/>
    </row>
    <row r="1658" spans="1:8">
      <c r="A1658" s="465"/>
      <c r="B1658" s="814" t="s">
        <v>101</v>
      </c>
      <c r="C1658" s="806">
        <v>53010000</v>
      </c>
      <c r="D1658" s="826"/>
      <c r="E1658" s="692"/>
      <c r="G1658" s="781"/>
      <c r="H1658" s="782"/>
    </row>
    <row r="1659" spans="1:8">
      <c r="A1659" s="465"/>
      <c r="B1659" s="814" t="s">
        <v>1093</v>
      </c>
      <c r="C1659" s="806">
        <v>53020000</v>
      </c>
      <c r="D1659" s="826"/>
      <c r="E1659" s="734"/>
      <c r="G1659" s="781"/>
      <c r="H1659" s="782"/>
    </row>
    <row r="1660" spans="1:8">
      <c r="A1660" s="465"/>
      <c r="B1660" s="814" t="s">
        <v>1094</v>
      </c>
      <c r="C1660" s="806">
        <v>53030000</v>
      </c>
      <c r="D1660" s="826"/>
      <c r="E1660" s="692"/>
      <c r="G1660" s="781"/>
      <c r="H1660" s="782"/>
    </row>
    <row r="1661" spans="1:8">
      <c r="A1661" s="465"/>
      <c r="B1661" s="814" t="s">
        <v>79</v>
      </c>
      <c r="C1661" s="806">
        <v>53040000</v>
      </c>
      <c r="D1661" s="826"/>
      <c r="E1661" s="692"/>
      <c r="G1661" s="781"/>
      <c r="H1661" s="782"/>
    </row>
    <row r="1662" spans="1:8">
      <c r="A1662" s="465"/>
      <c r="B1662" s="814" t="s">
        <v>1095</v>
      </c>
      <c r="C1662" s="806">
        <v>53050000</v>
      </c>
      <c r="D1662" s="826"/>
      <c r="E1662" s="734"/>
      <c r="G1662" s="781"/>
      <c r="H1662" s="782"/>
    </row>
    <row r="1663" spans="1:8">
      <c r="A1663" s="465"/>
      <c r="B1663" s="814" t="s">
        <v>1096</v>
      </c>
      <c r="C1663" s="806">
        <v>53060000</v>
      </c>
      <c r="D1663" s="826"/>
      <c r="E1663" s="692"/>
      <c r="G1663" s="781"/>
      <c r="H1663" s="782"/>
    </row>
    <row r="1664" spans="1:8">
      <c r="A1664" s="465"/>
      <c r="B1664" s="814" t="s">
        <v>1097</v>
      </c>
      <c r="C1664" s="806">
        <v>53070000</v>
      </c>
      <c r="D1664" s="826"/>
      <c r="E1664" s="692"/>
      <c r="G1664" s="781"/>
      <c r="H1664" s="782"/>
    </row>
    <row r="1665" spans="1:8">
      <c r="A1665" s="465"/>
      <c r="B1665" s="814" t="s">
        <v>1098</v>
      </c>
      <c r="C1665" s="806">
        <v>53080000</v>
      </c>
      <c r="D1665" s="826"/>
      <c r="E1665" s="14"/>
      <c r="G1665" s="781"/>
      <c r="H1665" s="782"/>
    </row>
    <row r="1666" spans="1:8">
      <c r="A1666" s="465"/>
      <c r="B1666" s="814" t="s">
        <v>55</v>
      </c>
      <c r="C1666" s="806">
        <v>53090000</v>
      </c>
      <c r="D1666" s="826"/>
      <c r="E1666" s="734"/>
      <c r="G1666" s="781"/>
      <c r="H1666" s="782"/>
    </row>
    <row r="1667" spans="1:8">
      <c r="A1667" s="810"/>
      <c r="B1667" s="811" t="s">
        <v>102</v>
      </c>
      <c r="C1667" s="812" t="s">
        <v>1099</v>
      </c>
      <c r="D1667" s="813">
        <f>SUM(D1668:D1669)</f>
        <v>0</v>
      </c>
      <c r="E1667" s="721"/>
      <c r="G1667" s="781"/>
      <c r="H1667" s="782"/>
    </row>
    <row r="1668" spans="1:8">
      <c r="A1668" s="465"/>
      <c r="B1668" s="520" t="s">
        <v>1100</v>
      </c>
      <c r="C1668" s="806">
        <v>54100000</v>
      </c>
      <c r="D1668" s="826"/>
      <c r="E1668" s="692"/>
      <c r="G1668" s="781"/>
      <c r="H1668" s="782"/>
    </row>
    <row r="1669" spans="1:8">
      <c r="A1669" s="465"/>
      <c r="B1669" s="520" t="s">
        <v>1101</v>
      </c>
      <c r="C1669" s="806">
        <v>54200000</v>
      </c>
      <c r="D1669" s="826"/>
      <c r="E1669" s="734"/>
      <c r="G1669" s="781"/>
      <c r="H1669" s="782"/>
    </row>
    <row r="1670" spans="1:8">
      <c r="A1670" s="810"/>
      <c r="B1670" s="811" t="s">
        <v>1102</v>
      </c>
      <c r="C1670" s="812">
        <v>55000000</v>
      </c>
      <c r="D1670" s="826"/>
      <c r="E1670" s="692"/>
      <c r="G1670" s="781"/>
      <c r="H1670" s="782"/>
    </row>
    <row r="1671" spans="1:8">
      <c r="A1671" s="677"/>
      <c r="B1671" s="677" t="s">
        <v>103</v>
      </c>
      <c r="C1671" s="678"/>
      <c r="D1671" s="679">
        <f>+D8+D1459+D1551</f>
        <v>0</v>
      </c>
      <c r="E1671" s="815"/>
      <c r="F1671" s="677" t="s">
        <v>103</v>
      </c>
      <c r="G1671" s="678"/>
      <c r="H1671" s="816">
        <f>H8+H402+H416+H455</f>
        <v>0</v>
      </c>
    </row>
    <row r="1672" spans="1:8">
      <c r="A1672" s="460"/>
      <c r="B1672" s="460"/>
      <c r="C1672" s="707"/>
      <c r="D1672" s="803"/>
      <c r="E1672" s="14"/>
      <c r="G1672" s="969" t="str">
        <f>+IF(D1671=H1671,"","ТЭНЦЛИЙН ДҮН ЗӨРҮҮТЭЙ")</f>
        <v/>
      </c>
      <c r="H1672" s="970">
        <f>+D1671-H1671</f>
        <v>0</v>
      </c>
    </row>
    <row r="1673" spans="1:8">
      <c r="A1673" s="677"/>
      <c r="B1673" s="677" t="s">
        <v>104</v>
      </c>
      <c r="C1673" s="678" t="s">
        <v>43</v>
      </c>
      <c r="D1673" s="679" t="s">
        <v>475</v>
      </c>
      <c r="E1673" s="817"/>
      <c r="G1673" s="818" t="s">
        <v>105</v>
      </c>
      <c r="H1673" s="819">
        <f>+H1674-H1675</f>
        <v>0</v>
      </c>
    </row>
    <row r="1674" spans="1:8">
      <c r="A1674" s="768"/>
      <c r="B1674" s="768" t="s">
        <v>1103</v>
      </c>
      <c r="C1674" s="769">
        <v>61000000</v>
      </c>
      <c r="D1674" s="804">
        <f>SUM(D1675:D1685)</f>
        <v>0</v>
      </c>
      <c r="E1674" s="692"/>
      <c r="G1674" s="674" t="s">
        <v>106</v>
      </c>
      <c r="H1674" s="252">
        <f>H455</f>
        <v>0</v>
      </c>
    </row>
    <row r="1675" spans="1:8">
      <c r="A1675" s="457"/>
      <c r="B1675" s="480" t="s">
        <v>1104</v>
      </c>
      <c r="C1675" s="773">
        <v>61010000</v>
      </c>
      <c r="D1675" s="826"/>
      <c r="E1675" s="692"/>
      <c r="G1675" s="674" t="s">
        <v>107</v>
      </c>
      <c r="H1675" s="252">
        <f>D1551</f>
        <v>0</v>
      </c>
    </row>
    <row r="1676" spans="1:8">
      <c r="A1676" s="457"/>
      <c r="B1676" s="480" t="s">
        <v>1105</v>
      </c>
      <c r="C1676" s="773">
        <v>61020000</v>
      </c>
      <c r="D1676" s="826"/>
      <c r="E1676" s="692"/>
    </row>
    <row r="1677" spans="1:8">
      <c r="A1677" s="457"/>
      <c r="B1677" s="480" t="s">
        <v>1106</v>
      </c>
      <c r="C1677" s="773">
        <v>61030000</v>
      </c>
      <c r="D1677" s="826"/>
      <c r="E1677" s="692"/>
    </row>
    <row r="1678" spans="1:8">
      <c r="A1678" s="457"/>
      <c r="B1678" s="480" t="s">
        <v>1107</v>
      </c>
      <c r="C1678" s="773">
        <v>61040000</v>
      </c>
      <c r="D1678" s="826"/>
      <c r="E1678" s="692"/>
      <c r="G1678" s="820"/>
      <c r="H1678" s="820" t="s">
        <v>1108</v>
      </c>
    </row>
    <row r="1679" spans="1:8">
      <c r="A1679" s="457"/>
      <c r="B1679" s="480" t="s">
        <v>108</v>
      </c>
      <c r="C1679" s="773">
        <v>61050000</v>
      </c>
      <c r="D1679" s="826"/>
      <c r="E1679" s="692"/>
      <c r="G1679" s="821" t="s">
        <v>111</v>
      </c>
      <c r="H1679" s="486">
        <v>3465.69</v>
      </c>
    </row>
    <row r="1680" spans="1:8">
      <c r="A1680" s="457"/>
      <c r="B1680" s="480" t="s">
        <v>1109</v>
      </c>
      <c r="C1680" s="773">
        <v>61060000</v>
      </c>
      <c r="D1680" s="826"/>
      <c r="E1680" s="692"/>
      <c r="G1680" s="821" t="s">
        <v>113</v>
      </c>
      <c r="H1680" s="486">
        <v>3630.48</v>
      </c>
    </row>
    <row r="1681" spans="1:8">
      <c r="A1681" s="457"/>
      <c r="B1681" s="480" t="s">
        <v>1110</v>
      </c>
      <c r="C1681" s="773">
        <v>61070000</v>
      </c>
      <c r="D1681" s="826"/>
      <c r="E1681" s="692"/>
      <c r="G1681" s="821" t="s">
        <v>115</v>
      </c>
      <c r="H1681" s="486">
        <v>23.22</v>
      </c>
    </row>
    <row r="1682" spans="1:8">
      <c r="A1682" s="457"/>
      <c r="B1682" s="480" t="s">
        <v>109</v>
      </c>
      <c r="C1682" s="773">
        <v>61080000</v>
      </c>
      <c r="D1682" s="826"/>
      <c r="E1682" s="692"/>
      <c r="G1682" s="821" t="s">
        <v>116</v>
      </c>
      <c r="H1682" s="486">
        <v>3866.02</v>
      </c>
    </row>
    <row r="1683" spans="1:8">
      <c r="A1683" s="457"/>
      <c r="B1683" s="480" t="s">
        <v>1111</v>
      </c>
      <c r="C1683" s="773">
        <v>61090000</v>
      </c>
      <c r="D1683" s="826"/>
      <c r="E1683" s="692"/>
      <c r="G1683" s="821" t="s">
        <v>117</v>
      </c>
      <c r="H1683" s="486">
        <v>4389.82</v>
      </c>
    </row>
    <row r="1684" spans="1:8">
      <c r="A1684" s="473"/>
      <c r="B1684" s="792" t="s">
        <v>1112</v>
      </c>
      <c r="C1684" s="773">
        <v>61100000</v>
      </c>
      <c r="D1684" s="828"/>
      <c r="E1684" s="822"/>
      <c r="G1684" s="821" t="s">
        <v>119</v>
      </c>
      <c r="H1684" s="486">
        <v>476.87</v>
      </c>
    </row>
    <row r="1685" spans="1:8">
      <c r="A1685" s="473"/>
      <c r="B1685" s="792" t="s">
        <v>1113</v>
      </c>
      <c r="C1685" s="773">
        <v>61110000</v>
      </c>
      <c r="D1685" s="828"/>
      <c r="E1685" s="822"/>
      <c r="G1685" s="821" t="s">
        <v>120</v>
      </c>
      <c r="H1685" s="486">
        <v>39.74</v>
      </c>
    </row>
    <row r="1686" spans="1:8">
      <c r="A1686" s="768"/>
      <c r="B1686" s="768" t="s">
        <v>1114</v>
      </c>
      <c r="C1686" s="769">
        <v>62000000</v>
      </c>
      <c r="D1686" s="804">
        <f>SUM(D1687:D1691)</f>
        <v>0</v>
      </c>
      <c r="E1686" s="692"/>
      <c r="G1686" s="821" t="s">
        <v>121</v>
      </c>
      <c r="H1686" s="486">
        <v>2.4</v>
      </c>
    </row>
    <row r="1687" spans="1:8">
      <c r="A1687" s="457"/>
      <c r="B1687" s="480" t="s">
        <v>257</v>
      </c>
      <c r="C1687" s="773">
        <v>62010000</v>
      </c>
      <c r="D1687" s="826"/>
      <c r="E1687" s="692"/>
      <c r="G1687" s="821" t="s">
        <v>55</v>
      </c>
      <c r="H1687" s="487"/>
    </row>
    <row r="1688" spans="1:8">
      <c r="A1688" s="457"/>
      <c r="B1688" s="480" t="s">
        <v>976</v>
      </c>
      <c r="C1688" s="773">
        <v>62020000</v>
      </c>
      <c r="D1688" s="826"/>
      <c r="E1688" s="692"/>
      <c r="G1688" s="781"/>
      <c r="H1688" s="304"/>
    </row>
    <row r="1689" spans="1:8">
      <c r="A1689" s="457"/>
      <c r="B1689" s="480" t="s">
        <v>975</v>
      </c>
      <c r="C1689" s="773">
        <v>62030000</v>
      </c>
      <c r="D1689" s="826"/>
      <c r="E1689" s="692"/>
      <c r="G1689" s="781"/>
      <c r="H1689" s="304"/>
    </row>
    <row r="1690" spans="1:8">
      <c r="A1690" s="457"/>
      <c r="B1690" s="480" t="s">
        <v>1115</v>
      </c>
      <c r="C1690" s="773">
        <v>62040000</v>
      </c>
      <c r="D1690" s="826"/>
      <c r="E1690" s="692"/>
      <c r="G1690" s="781"/>
      <c r="H1690" s="304"/>
    </row>
    <row r="1691" spans="1:8">
      <c r="A1691" s="457"/>
      <c r="B1691" s="480" t="s">
        <v>1116</v>
      </c>
      <c r="C1691" s="773">
        <v>62050000</v>
      </c>
      <c r="D1691" s="826"/>
      <c r="E1691" s="692"/>
      <c r="G1691" s="781"/>
      <c r="H1691" s="304"/>
    </row>
    <row r="1692" spans="1:8">
      <c r="A1692" s="768"/>
      <c r="B1692" s="768" t="s">
        <v>1117</v>
      </c>
      <c r="C1692" s="769">
        <v>63000000</v>
      </c>
      <c r="D1692" s="838">
        <f>SUM(D1693:D1700)</f>
        <v>0</v>
      </c>
      <c r="E1692" s="692"/>
      <c r="G1692" s="781"/>
      <c r="H1692" s="304"/>
    </row>
    <row r="1693" spans="1:8">
      <c r="A1693" s="457"/>
      <c r="B1693" s="480" t="s">
        <v>872</v>
      </c>
      <c r="C1693" s="773">
        <v>63100000</v>
      </c>
      <c r="D1693" s="826"/>
      <c r="E1693" s="692"/>
      <c r="G1693" s="781"/>
      <c r="H1693" s="304"/>
    </row>
    <row r="1694" spans="1:8">
      <c r="A1694" s="457"/>
      <c r="B1694" s="480" t="s">
        <v>1118</v>
      </c>
      <c r="C1694" s="773">
        <v>63200000</v>
      </c>
      <c r="D1694" s="826"/>
      <c r="E1694" s="692"/>
      <c r="G1694" s="781"/>
      <c r="H1694" s="304"/>
    </row>
    <row r="1695" spans="1:8">
      <c r="A1695" s="457"/>
      <c r="B1695" s="480" t="s">
        <v>1119</v>
      </c>
      <c r="C1695" s="773">
        <v>63300000</v>
      </c>
      <c r="D1695" s="826"/>
      <c r="E1695" s="692"/>
      <c r="G1695" s="781"/>
      <c r="H1695" s="304"/>
    </row>
    <row r="1696" spans="1:8">
      <c r="A1696" s="457"/>
      <c r="B1696" s="480" t="s">
        <v>1120</v>
      </c>
      <c r="C1696" s="773">
        <v>63400000</v>
      </c>
      <c r="D1696" s="829"/>
      <c r="E1696" s="692"/>
      <c r="G1696" s="781"/>
      <c r="H1696" s="304"/>
    </row>
    <row r="1697" spans="1:8">
      <c r="A1697" s="457"/>
      <c r="B1697" s="480" t="s">
        <v>1121</v>
      </c>
      <c r="C1697" s="773">
        <v>63500000</v>
      </c>
      <c r="D1697" s="829"/>
      <c r="E1697" s="692"/>
      <c r="G1697" s="781"/>
      <c r="H1697" s="304"/>
    </row>
    <row r="1698" spans="1:8">
      <c r="A1698" s="457"/>
      <c r="B1698" s="480" t="s">
        <v>1122</v>
      </c>
      <c r="C1698" s="773">
        <v>63600000</v>
      </c>
      <c r="D1698" s="826"/>
      <c r="E1698" s="692"/>
      <c r="G1698" s="781"/>
      <c r="H1698" s="304"/>
    </row>
    <row r="1699" spans="1:8">
      <c r="A1699" s="457"/>
      <c r="B1699" s="480" t="s">
        <v>1123</v>
      </c>
      <c r="C1699" s="773">
        <v>63700000</v>
      </c>
      <c r="D1699" s="826"/>
      <c r="E1699" s="692"/>
      <c r="G1699" s="781"/>
      <c r="H1699" s="304"/>
    </row>
    <row r="1700" spans="1:8">
      <c r="A1700" s="457"/>
      <c r="B1700" s="480" t="s">
        <v>1124</v>
      </c>
      <c r="C1700" s="773">
        <v>63800000</v>
      </c>
      <c r="D1700" s="755">
        <f>SUM(D1701:D1706)</f>
        <v>0</v>
      </c>
      <c r="E1700" s="692"/>
      <c r="G1700" s="781"/>
      <c r="H1700" s="304"/>
    </row>
    <row r="1701" spans="1:8">
      <c r="A1701" s="457"/>
      <c r="B1701" s="709" t="s">
        <v>131</v>
      </c>
      <c r="C1701" s="773">
        <v>63810000</v>
      </c>
      <c r="D1701" s="826"/>
      <c r="E1701" s="692"/>
      <c r="G1701" s="781"/>
      <c r="H1701" s="304"/>
    </row>
    <row r="1702" spans="1:8">
      <c r="A1702" s="457"/>
      <c r="B1702" s="709" t="s">
        <v>57</v>
      </c>
      <c r="C1702" s="773">
        <v>63820000</v>
      </c>
      <c r="D1702" s="826"/>
      <c r="E1702" s="692"/>
      <c r="G1702" s="781"/>
      <c r="H1702" s="304"/>
    </row>
    <row r="1703" spans="1:8">
      <c r="A1703" s="457"/>
      <c r="B1703" s="709" t="s">
        <v>1125</v>
      </c>
      <c r="C1703" s="773">
        <v>63830000</v>
      </c>
      <c r="D1703" s="826"/>
      <c r="E1703" s="692"/>
      <c r="G1703" s="781"/>
      <c r="H1703" s="304"/>
    </row>
    <row r="1704" spans="1:8">
      <c r="A1704" s="457"/>
      <c r="B1704" s="709" t="s">
        <v>1126</v>
      </c>
      <c r="C1704" s="773">
        <v>63840000</v>
      </c>
      <c r="D1704" s="829"/>
      <c r="E1704" s="692"/>
      <c r="G1704" s="781"/>
      <c r="H1704" s="304"/>
    </row>
    <row r="1705" spans="1:8">
      <c r="A1705" s="457"/>
      <c r="B1705" s="709" t="s">
        <v>1127</v>
      </c>
      <c r="C1705" s="773">
        <v>63850000</v>
      </c>
      <c r="D1705" s="829"/>
      <c r="E1705" s="692"/>
      <c r="G1705" s="781"/>
      <c r="H1705" s="304"/>
    </row>
    <row r="1706" spans="1:8">
      <c r="A1706" s="457"/>
      <c r="B1706" s="709" t="s">
        <v>71</v>
      </c>
      <c r="C1706" s="773">
        <v>63860000</v>
      </c>
      <c r="D1706" s="826"/>
      <c r="E1706" s="692"/>
      <c r="G1706" s="781"/>
      <c r="H1706" s="304"/>
    </row>
    <row r="1707" spans="1:8">
      <c r="A1707" s="768"/>
      <c r="B1707" s="768" t="s">
        <v>1128</v>
      </c>
      <c r="C1707" s="769">
        <v>64000000</v>
      </c>
      <c r="D1707" s="804">
        <f>SUM(D1708,D1713,D1718,D1729,D1734,D1741,D1748)</f>
        <v>0</v>
      </c>
      <c r="E1707" s="692"/>
      <c r="G1707" s="781"/>
      <c r="H1707" s="304"/>
    </row>
    <row r="1708" spans="1:8">
      <c r="A1708" s="457"/>
      <c r="B1708" s="480" t="s">
        <v>1129</v>
      </c>
      <c r="C1708" s="773">
        <v>64100000</v>
      </c>
      <c r="D1708" s="755">
        <f>SUM(D1709:D1712)</f>
        <v>0</v>
      </c>
      <c r="E1708" s="692"/>
      <c r="G1708" s="781"/>
      <c r="H1708" s="304"/>
    </row>
    <row r="1709" spans="1:8">
      <c r="A1709" s="457"/>
      <c r="B1709" s="709" t="s">
        <v>1130</v>
      </c>
      <c r="C1709" s="773">
        <v>64101000</v>
      </c>
      <c r="D1709" s="826"/>
      <c r="E1709" s="692"/>
      <c r="G1709" s="781"/>
      <c r="H1709" s="304"/>
    </row>
    <row r="1710" spans="1:8">
      <c r="A1710" s="457"/>
      <c r="B1710" s="709" t="s">
        <v>1131</v>
      </c>
      <c r="C1710" s="773">
        <v>64102000</v>
      </c>
      <c r="D1710" s="826"/>
      <c r="E1710" s="692"/>
      <c r="G1710" s="781"/>
      <c r="H1710" s="304"/>
    </row>
    <row r="1711" spans="1:8">
      <c r="A1711" s="457"/>
      <c r="B1711" s="709" t="s">
        <v>1132</v>
      </c>
      <c r="C1711" s="773">
        <v>64103000</v>
      </c>
      <c r="D1711" s="826"/>
      <c r="E1711" s="692"/>
      <c r="G1711" s="781"/>
      <c r="H1711" s="304"/>
    </row>
    <row r="1712" spans="1:8">
      <c r="A1712" s="457"/>
      <c r="B1712" s="709" t="s">
        <v>1133</v>
      </c>
      <c r="C1712" s="773">
        <v>64104000</v>
      </c>
      <c r="D1712" s="826"/>
      <c r="E1712" s="692"/>
      <c r="G1712" s="781"/>
      <c r="H1712" s="304"/>
    </row>
    <row r="1713" spans="1:8">
      <c r="A1713" s="457"/>
      <c r="B1713" s="480" t="s">
        <v>1134</v>
      </c>
      <c r="C1713" s="773">
        <v>64200000</v>
      </c>
      <c r="D1713" s="755">
        <f>SUM(D1714:D1717)</f>
        <v>0</v>
      </c>
      <c r="E1713" s="692"/>
      <c r="G1713" s="781"/>
      <c r="H1713" s="304"/>
    </row>
    <row r="1714" spans="1:8">
      <c r="A1714" s="457"/>
      <c r="B1714" s="709" t="s">
        <v>1130</v>
      </c>
      <c r="C1714" s="773">
        <v>64201000</v>
      </c>
      <c r="D1714" s="826"/>
      <c r="E1714" s="692"/>
      <c r="G1714" s="781"/>
      <c r="H1714" s="304"/>
    </row>
    <row r="1715" spans="1:8">
      <c r="A1715" s="457"/>
      <c r="B1715" s="709" t="s">
        <v>1131</v>
      </c>
      <c r="C1715" s="773">
        <v>64202000</v>
      </c>
      <c r="D1715" s="826"/>
      <c r="E1715" s="692"/>
      <c r="G1715" s="781"/>
      <c r="H1715" s="304"/>
    </row>
    <row r="1716" spans="1:8">
      <c r="A1716" s="457"/>
      <c r="B1716" s="709" t="s">
        <v>1132</v>
      </c>
      <c r="C1716" s="773">
        <v>64203000</v>
      </c>
      <c r="D1716" s="826"/>
      <c r="E1716" s="692"/>
      <c r="G1716" s="781"/>
      <c r="H1716" s="304"/>
    </row>
    <row r="1717" spans="1:8">
      <c r="A1717" s="457"/>
      <c r="B1717" s="709" t="s">
        <v>1133</v>
      </c>
      <c r="C1717" s="773">
        <v>64204000</v>
      </c>
      <c r="D1717" s="826"/>
      <c r="E1717" s="692"/>
      <c r="G1717" s="781"/>
      <c r="H1717" s="304"/>
    </row>
    <row r="1718" spans="1:8">
      <c r="A1718" s="457"/>
      <c r="B1718" s="480" t="s">
        <v>1135</v>
      </c>
      <c r="C1718" s="773">
        <v>64300000</v>
      </c>
      <c r="D1718" s="755">
        <f>SUM(D1719:D1728)</f>
        <v>0</v>
      </c>
      <c r="E1718" s="692"/>
      <c r="G1718" s="781"/>
      <c r="H1718" s="304"/>
    </row>
    <row r="1719" spans="1:8">
      <c r="A1719" s="457"/>
      <c r="B1719" s="709" t="s">
        <v>1130</v>
      </c>
      <c r="C1719" s="773">
        <v>64301000</v>
      </c>
      <c r="D1719" s="826"/>
      <c r="E1719" s="692"/>
      <c r="G1719" s="781"/>
      <c r="H1719" s="304"/>
    </row>
    <row r="1720" spans="1:8">
      <c r="A1720" s="457"/>
      <c r="B1720" s="709" t="s">
        <v>1131</v>
      </c>
      <c r="C1720" s="773">
        <v>64302000</v>
      </c>
      <c r="D1720" s="826"/>
      <c r="E1720" s="692"/>
      <c r="G1720" s="781"/>
      <c r="H1720" s="304"/>
    </row>
    <row r="1721" spans="1:8">
      <c r="A1721" s="457"/>
      <c r="B1721" s="709" t="s">
        <v>1132</v>
      </c>
      <c r="C1721" s="773">
        <v>64303000</v>
      </c>
      <c r="D1721" s="826"/>
      <c r="E1721" s="692"/>
      <c r="G1721" s="781"/>
      <c r="H1721" s="304"/>
    </row>
    <row r="1722" spans="1:8">
      <c r="A1722" s="457"/>
      <c r="B1722" s="709" t="s">
        <v>1133</v>
      </c>
      <c r="C1722" s="773">
        <v>64304000</v>
      </c>
      <c r="D1722" s="826"/>
      <c r="E1722" s="692"/>
      <c r="G1722" s="781"/>
      <c r="H1722" s="304"/>
    </row>
    <row r="1723" spans="1:8">
      <c r="A1723" s="457"/>
      <c r="B1723" s="709" t="s">
        <v>1136</v>
      </c>
      <c r="C1723" s="773">
        <v>64305000</v>
      </c>
      <c r="D1723" s="826"/>
      <c r="E1723" s="692"/>
      <c r="G1723" s="781"/>
      <c r="H1723" s="304"/>
    </row>
    <row r="1724" spans="1:8">
      <c r="A1724" s="457"/>
      <c r="B1724" s="709" t="s">
        <v>1137</v>
      </c>
      <c r="C1724" s="773">
        <v>64306000</v>
      </c>
      <c r="D1724" s="826"/>
      <c r="E1724" s="692"/>
      <c r="G1724" s="781"/>
      <c r="H1724" s="304"/>
    </row>
    <row r="1725" spans="1:8">
      <c r="A1725" s="457"/>
      <c r="B1725" s="709" t="s">
        <v>1138</v>
      </c>
      <c r="C1725" s="773">
        <v>64307000</v>
      </c>
      <c r="D1725" s="826"/>
      <c r="E1725" s="692"/>
      <c r="G1725" s="781"/>
      <c r="H1725" s="304"/>
    </row>
    <row r="1726" spans="1:8">
      <c r="A1726" s="457"/>
      <c r="B1726" s="709" t="s">
        <v>55</v>
      </c>
      <c r="C1726" s="773">
        <v>64308000</v>
      </c>
      <c r="D1726" s="826"/>
      <c r="E1726" s="692"/>
      <c r="G1726" s="781"/>
      <c r="H1726" s="304"/>
    </row>
    <row r="1727" spans="1:8">
      <c r="A1727" s="457"/>
      <c r="B1727" s="709" t="s">
        <v>1139</v>
      </c>
      <c r="C1727" s="773">
        <v>64309000</v>
      </c>
      <c r="D1727" s="826"/>
      <c r="E1727" s="692"/>
      <c r="G1727" s="781"/>
      <c r="H1727" s="304"/>
    </row>
    <row r="1728" spans="1:8">
      <c r="A1728" s="457"/>
      <c r="B1728" s="709" t="s">
        <v>1130</v>
      </c>
      <c r="C1728" s="773">
        <v>64310000</v>
      </c>
      <c r="D1728" s="826"/>
      <c r="E1728" s="692"/>
      <c r="G1728" s="781"/>
      <c r="H1728" s="304"/>
    </row>
    <row r="1729" spans="1:8">
      <c r="A1729" s="457"/>
      <c r="B1729" s="480" t="s">
        <v>1131</v>
      </c>
      <c r="C1729" s="773">
        <v>64400000</v>
      </c>
      <c r="D1729" s="755">
        <f>SUM(D1730:D1733)</f>
        <v>0</v>
      </c>
      <c r="E1729" s="692"/>
      <c r="G1729" s="781"/>
      <c r="H1729" s="304"/>
    </row>
    <row r="1730" spans="1:8">
      <c r="A1730" s="457"/>
      <c r="B1730" s="709" t="s">
        <v>1132</v>
      </c>
      <c r="C1730" s="773">
        <v>64401000</v>
      </c>
      <c r="D1730" s="826"/>
      <c r="E1730" s="692"/>
      <c r="G1730" s="781"/>
      <c r="H1730" s="304"/>
    </row>
    <row r="1731" spans="1:8">
      <c r="A1731" s="457"/>
      <c r="B1731" s="709" t="s">
        <v>1133</v>
      </c>
      <c r="C1731" s="773">
        <v>64402000</v>
      </c>
      <c r="D1731" s="826"/>
      <c r="E1731" s="692"/>
      <c r="G1731" s="781"/>
      <c r="H1731" s="304"/>
    </row>
    <row r="1732" spans="1:8">
      <c r="A1732" s="457"/>
      <c r="B1732" s="709" t="s">
        <v>1140</v>
      </c>
      <c r="C1732" s="773">
        <v>64403000</v>
      </c>
      <c r="D1732" s="826"/>
      <c r="E1732" s="692"/>
      <c r="G1732" s="781"/>
      <c r="H1732" s="304"/>
    </row>
    <row r="1733" spans="1:8">
      <c r="A1733" s="457"/>
      <c r="B1733" s="709" t="s">
        <v>1141</v>
      </c>
      <c r="C1733" s="773">
        <v>64404000</v>
      </c>
      <c r="D1733" s="826"/>
      <c r="E1733" s="692"/>
      <c r="G1733" s="781"/>
      <c r="H1733" s="304"/>
    </row>
    <row r="1734" spans="1:8">
      <c r="A1734" s="457"/>
      <c r="B1734" s="480" t="s">
        <v>1142</v>
      </c>
      <c r="C1734" s="773">
        <v>64500000</v>
      </c>
      <c r="D1734" s="755">
        <f>SUM(D1735:D1740)</f>
        <v>0</v>
      </c>
      <c r="E1734" s="692"/>
      <c r="G1734" s="781"/>
      <c r="H1734" s="304"/>
    </row>
    <row r="1735" spans="1:8">
      <c r="A1735" s="457"/>
      <c r="B1735" s="709" t="s">
        <v>1130</v>
      </c>
      <c r="C1735" s="773">
        <v>64501000</v>
      </c>
      <c r="D1735" s="826"/>
      <c r="E1735" s="692"/>
      <c r="G1735" s="781"/>
      <c r="H1735" s="304"/>
    </row>
    <row r="1736" spans="1:8">
      <c r="A1736" s="457"/>
      <c r="B1736" s="709" t="s">
        <v>1131</v>
      </c>
      <c r="C1736" s="773">
        <v>64502000</v>
      </c>
      <c r="D1736" s="826"/>
      <c r="E1736" s="692"/>
      <c r="G1736" s="781"/>
      <c r="H1736" s="304"/>
    </row>
    <row r="1737" spans="1:8">
      <c r="A1737" s="457"/>
      <c r="B1737" s="709" t="s">
        <v>1132</v>
      </c>
      <c r="C1737" s="773">
        <v>64503000</v>
      </c>
      <c r="D1737" s="826"/>
      <c r="E1737" s="692"/>
      <c r="G1737" s="781"/>
      <c r="H1737" s="304"/>
    </row>
    <row r="1738" spans="1:8">
      <c r="A1738" s="457"/>
      <c r="B1738" s="709" t="s">
        <v>1133</v>
      </c>
      <c r="C1738" s="773">
        <v>64504000</v>
      </c>
      <c r="D1738" s="826"/>
      <c r="E1738" s="692"/>
      <c r="G1738" s="781"/>
      <c r="H1738" s="304"/>
    </row>
    <row r="1739" spans="1:8">
      <c r="A1739" s="457"/>
      <c r="B1739" s="709" t="s">
        <v>1140</v>
      </c>
      <c r="C1739" s="773">
        <v>64505000</v>
      </c>
      <c r="D1739" s="826"/>
      <c r="E1739" s="692"/>
      <c r="G1739" s="781"/>
      <c r="H1739" s="304"/>
    </row>
    <row r="1740" spans="1:8">
      <c r="A1740" s="457"/>
      <c r="B1740" s="709" t="s">
        <v>1141</v>
      </c>
      <c r="C1740" s="773">
        <v>64506000</v>
      </c>
      <c r="D1740" s="826"/>
      <c r="E1740" s="692"/>
      <c r="G1740" s="781"/>
      <c r="H1740" s="304"/>
    </row>
    <row r="1741" spans="1:8">
      <c r="A1741" s="457"/>
      <c r="B1741" s="480" t="s">
        <v>1143</v>
      </c>
      <c r="C1741" s="773">
        <v>64600000</v>
      </c>
      <c r="D1741" s="755">
        <f>SUM(D1742:D1747)</f>
        <v>0</v>
      </c>
      <c r="E1741" s="692"/>
      <c r="G1741" s="781"/>
      <c r="H1741" s="304"/>
    </row>
    <row r="1742" spans="1:8">
      <c r="A1742" s="457"/>
      <c r="B1742" s="709" t="s">
        <v>1130</v>
      </c>
      <c r="C1742" s="773">
        <v>64601000</v>
      </c>
      <c r="D1742" s="826"/>
      <c r="E1742" s="692"/>
      <c r="G1742" s="781"/>
      <c r="H1742" s="304"/>
    </row>
    <row r="1743" spans="1:8">
      <c r="A1743" s="457"/>
      <c r="B1743" s="709" t="s">
        <v>1131</v>
      </c>
      <c r="C1743" s="773">
        <v>64602000</v>
      </c>
      <c r="D1743" s="826"/>
      <c r="E1743" s="692"/>
      <c r="G1743" s="781"/>
      <c r="H1743" s="304"/>
    </row>
    <row r="1744" spans="1:8">
      <c r="A1744" s="457"/>
      <c r="B1744" s="709" t="s">
        <v>1132</v>
      </c>
      <c r="C1744" s="773">
        <v>64603000</v>
      </c>
      <c r="D1744" s="826"/>
      <c r="E1744" s="692"/>
      <c r="G1744" s="781"/>
      <c r="H1744" s="304"/>
    </row>
    <row r="1745" spans="1:8">
      <c r="A1745" s="457"/>
      <c r="B1745" s="709" t="s">
        <v>1133</v>
      </c>
      <c r="C1745" s="773">
        <v>64604000</v>
      </c>
      <c r="D1745" s="826"/>
      <c r="E1745" s="692"/>
      <c r="G1745" s="781"/>
      <c r="H1745" s="304"/>
    </row>
    <row r="1746" spans="1:8">
      <c r="A1746" s="457"/>
      <c r="B1746" s="709" t="s">
        <v>1140</v>
      </c>
      <c r="C1746" s="773">
        <v>64605000</v>
      </c>
      <c r="D1746" s="826"/>
      <c r="E1746" s="692"/>
      <c r="G1746" s="781"/>
      <c r="H1746" s="304"/>
    </row>
    <row r="1747" spans="1:8">
      <c r="A1747" s="457"/>
      <c r="B1747" s="709" t="s">
        <v>1141</v>
      </c>
      <c r="C1747" s="773">
        <v>64606000</v>
      </c>
      <c r="D1747" s="826"/>
      <c r="E1747" s="692"/>
      <c r="G1747" s="781"/>
      <c r="H1747" s="304"/>
    </row>
    <row r="1748" spans="1:8">
      <c r="A1748" s="457"/>
      <c r="B1748" s="480" t="s">
        <v>1144</v>
      </c>
      <c r="C1748" s="773">
        <v>64700000</v>
      </c>
      <c r="D1748" s="826"/>
      <c r="E1748" s="692"/>
      <c r="G1748" s="781"/>
      <c r="H1748" s="304"/>
    </row>
    <row r="1749" spans="1:8">
      <c r="A1749" s="768"/>
      <c r="B1749" s="768" t="s">
        <v>1145</v>
      </c>
      <c r="C1749" s="769">
        <v>65000000</v>
      </c>
      <c r="D1749" s="804">
        <f>SUM(D1750:D1756)</f>
        <v>0</v>
      </c>
      <c r="E1749" s="692"/>
      <c r="G1749" s="781"/>
      <c r="H1749" s="304"/>
    </row>
    <row r="1750" spans="1:8" ht="25.5">
      <c r="A1750" s="457"/>
      <c r="B1750" s="480" t="s">
        <v>1146</v>
      </c>
      <c r="C1750" s="806">
        <v>65100000</v>
      </c>
      <c r="D1750" s="826"/>
      <c r="E1750" s="692"/>
      <c r="G1750" s="781"/>
      <c r="H1750" s="304"/>
    </row>
    <row r="1751" spans="1:8">
      <c r="A1751" s="457"/>
      <c r="B1751" s="480" t="s">
        <v>257</v>
      </c>
      <c r="C1751" s="773">
        <v>65200000</v>
      </c>
      <c r="D1751" s="826"/>
      <c r="E1751" s="692"/>
      <c r="G1751" s="781"/>
      <c r="H1751" s="304"/>
    </row>
    <row r="1752" spans="1:8">
      <c r="A1752" s="457"/>
      <c r="B1752" s="480" t="s">
        <v>278</v>
      </c>
      <c r="C1752" s="773">
        <v>65300000</v>
      </c>
      <c r="D1752" s="826"/>
      <c r="E1752" s="692"/>
      <c r="G1752" s="781"/>
      <c r="H1752" s="304"/>
    </row>
    <row r="1753" spans="1:8">
      <c r="A1753" s="457"/>
      <c r="B1753" s="480" t="s">
        <v>29</v>
      </c>
      <c r="C1753" s="773">
        <v>65400000</v>
      </c>
      <c r="D1753" s="826"/>
      <c r="E1753" s="692"/>
      <c r="G1753" s="781"/>
      <c r="H1753" s="304"/>
    </row>
    <row r="1754" spans="1:8">
      <c r="A1754" s="457"/>
      <c r="B1754" s="480" t="s">
        <v>1147</v>
      </c>
      <c r="C1754" s="773">
        <v>65500000</v>
      </c>
      <c r="D1754" s="826"/>
      <c r="E1754" s="692"/>
      <c r="G1754" s="781"/>
      <c r="H1754" s="304"/>
    </row>
    <row r="1755" spans="1:8">
      <c r="A1755" s="457"/>
      <c r="B1755" s="480" t="s">
        <v>1148</v>
      </c>
      <c r="C1755" s="773">
        <v>65600000</v>
      </c>
      <c r="D1755" s="826"/>
      <c r="E1755" s="692"/>
      <c r="G1755" s="781"/>
      <c r="H1755" s="304"/>
    </row>
    <row r="1756" spans="1:8">
      <c r="A1756" s="457"/>
      <c r="B1756" s="480" t="s">
        <v>1149</v>
      </c>
      <c r="C1756" s="773">
        <v>65700000</v>
      </c>
      <c r="D1756" s="826"/>
      <c r="E1756" s="692"/>
      <c r="G1756" s="781"/>
      <c r="H1756" s="304"/>
    </row>
    <row r="1757" spans="1:8">
      <c r="A1757" s="768"/>
      <c r="B1757" s="768" t="s">
        <v>1150</v>
      </c>
      <c r="C1757" s="769">
        <v>66000000</v>
      </c>
      <c r="D1757" s="804">
        <f>SUM(D1758:D1766)</f>
        <v>0</v>
      </c>
      <c r="E1757" s="692"/>
      <c r="G1757" s="781"/>
      <c r="H1757" s="304"/>
    </row>
    <row r="1758" spans="1:8">
      <c r="A1758" s="457"/>
      <c r="B1758" s="480" t="s">
        <v>110</v>
      </c>
      <c r="C1758" s="773">
        <v>66010000</v>
      </c>
      <c r="D1758" s="829"/>
      <c r="E1758" s="692"/>
      <c r="G1758" s="781"/>
      <c r="H1758" s="304"/>
    </row>
    <row r="1759" spans="1:8">
      <c r="A1759" s="457"/>
      <c r="B1759" s="480" t="s">
        <v>112</v>
      </c>
      <c r="C1759" s="773">
        <v>66020000</v>
      </c>
      <c r="D1759" s="826"/>
      <c r="E1759" s="692"/>
      <c r="G1759" s="781"/>
      <c r="H1759" s="304"/>
    </row>
    <row r="1760" spans="1:8">
      <c r="A1760" s="457"/>
      <c r="B1760" s="480" t="s">
        <v>114</v>
      </c>
      <c r="C1760" s="773">
        <v>66030000</v>
      </c>
      <c r="D1760" s="826"/>
      <c r="E1760" s="692"/>
      <c r="G1760" s="781"/>
      <c r="H1760" s="304"/>
    </row>
    <row r="1761" spans="1:8">
      <c r="A1761" s="457"/>
      <c r="B1761" s="480" t="s">
        <v>1151</v>
      </c>
      <c r="C1761" s="773">
        <v>66040000</v>
      </c>
      <c r="D1761" s="826"/>
      <c r="E1761" s="692"/>
      <c r="G1761" s="781"/>
      <c r="H1761" s="304"/>
    </row>
    <row r="1762" spans="1:8">
      <c r="A1762" s="457"/>
      <c r="B1762" s="480" t="s">
        <v>1152</v>
      </c>
      <c r="C1762" s="773">
        <v>66050000</v>
      </c>
      <c r="D1762" s="826"/>
      <c r="E1762" s="692"/>
      <c r="G1762" s="781"/>
      <c r="H1762" s="304"/>
    </row>
    <row r="1763" spans="1:8">
      <c r="A1763" s="457"/>
      <c r="B1763" s="480" t="s">
        <v>1153</v>
      </c>
      <c r="C1763" s="773">
        <v>66060000</v>
      </c>
      <c r="D1763" s="826"/>
      <c r="E1763" s="692"/>
      <c r="G1763" s="781"/>
      <c r="H1763" s="304"/>
    </row>
    <row r="1764" spans="1:8">
      <c r="A1764" s="457"/>
      <c r="B1764" s="480" t="s">
        <v>1154</v>
      </c>
      <c r="C1764" s="773">
        <v>66070000</v>
      </c>
      <c r="D1764" s="829"/>
      <c r="E1764" s="692"/>
      <c r="G1764" s="781"/>
      <c r="H1764" s="304"/>
    </row>
    <row r="1765" spans="1:8">
      <c r="A1765" s="457"/>
      <c r="B1765" s="480" t="s">
        <v>118</v>
      </c>
      <c r="C1765" s="773">
        <v>66080000</v>
      </c>
      <c r="D1765" s="829"/>
      <c r="E1765" s="692"/>
      <c r="G1765" s="781"/>
      <c r="H1765" s="304"/>
    </row>
    <row r="1766" spans="1:8">
      <c r="A1766" s="457"/>
      <c r="B1766" s="480" t="s">
        <v>55</v>
      </c>
      <c r="C1766" s="773">
        <v>66090000</v>
      </c>
      <c r="D1766" s="826"/>
      <c r="E1766" s="692"/>
      <c r="G1766" s="781"/>
      <c r="H1766" s="304"/>
    </row>
    <row r="1767" spans="1:8">
      <c r="A1767" s="304"/>
      <c r="B1767" s="14"/>
      <c r="C1767" s="781"/>
      <c r="E1767" s="823"/>
      <c r="G1767" s="781"/>
      <c r="H1767" s="304"/>
    </row>
    <row r="1768" spans="1:8">
      <c r="A1768" s="304"/>
      <c r="B1768" s="14"/>
      <c r="C1768" s="781"/>
      <c r="E1768" s="823"/>
      <c r="G1768" s="781"/>
      <c r="H1768" s="304"/>
    </row>
    <row r="1769" spans="1:8">
      <c r="A1769" s="304"/>
      <c r="B1769" s="14"/>
      <c r="C1769" s="824" t="s">
        <v>33</v>
      </c>
      <c r="E1769" s="823"/>
      <c r="G1769" s="781"/>
      <c r="H1769" s="304"/>
    </row>
    <row r="1770" spans="1:8">
      <c r="A1770" s="304"/>
      <c r="B1770" s="14"/>
      <c r="C1770" s="305"/>
      <c r="E1770" s="823"/>
      <c r="G1770" s="781"/>
      <c r="H1770" s="304"/>
    </row>
    <row r="1771" spans="1:8">
      <c r="A1771" s="304"/>
      <c r="B1771" s="14"/>
      <c r="C1771" s="305" t="s">
        <v>122</v>
      </c>
      <c r="E1771" s="823"/>
      <c r="F1771" s="13"/>
      <c r="G1771" s="825"/>
      <c r="H1771" s="304"/>
    </row>
    <row r="1772" spans="1:8">
      <c r="A1772" s="304"/>
      <c r="B1772" s="14"/>
      <c r="C1772" s="305"/>
      <c r="E1772" s="823"/>
      <c r="F1772" s="13"/>
      <c r="G1772" s="825"/>
      <c r="H1772" s="304"/>
    </row>
    <row r="1773" spans="1:8">
      <c r="A1773" s="304"/>
      <c r="B1773" s="14"/>
      <c r="C1773" s="305" t="str">
        <f>+Statistic!B60</f>
        <v>ГҮЙЦЭТГЭХ ЗАХИРАЛ.......................//</v>
      </c>
      <c r="E1773" s="823"/>
      <c r="F1773" s="13"/>
      <c r="G1773" s="825"/>
      <c r="H1773" s="304"/>
    </row>
    <row r="1774" spans="1:8">
      <c r="A1774" s="304"/>
      <c r="B1774" s="14"/>
      <c r="C1774" s="305"/>
      <c r="E1774" s="823"/>
      <c r="F1774" s="13"/>
      <c r="G1774" s="825"/>
      <c r="H1774" s="304"/>
    </row>
    <row r="1775" spans="1:8">
      <c r="A1775" s="304"/>
      <c r="B1775" s="14"/>
      <c r="C1775" s="305" t="str">
        <f>+Statistic!B62</f>
        <v>ЕРӨНХИЙ НЯГТЛАН БОДОГЧ...................................................//</v>
      </c>
      <c r="E1775" s="823"/>
      <c r="F1775" s="13"/>
      <c r="G1775" s="825"/>
      <c r="H1775" s="304"/>
    </row>
    <row r="1776" spans="1:8">
      <c r="G1776" s="825"/>
    </row>
    <row r="1777" spans="7:7">
      <c r="G1777" s="825"/>
    </row>
  </sheetData>
  <sheetProtection algorithmName="SHA-512" hashValue="wgKfJU360XGZ6ULvzL1IyVojurOkdH0wJvhQnZcgb3+00/lT3HuncM1WMyyeYRI0CX3ErIvQ/oBhfPxJUdWwnQ==" saltValue="nyGOqNskxasz7FJDPYRISQ==" spinCount="100000" sheet="1" objects="1" scenarios="1"/>
  <autoFilter ref="A7:H1766" xr:uid="{2CDF4339-69D8-4B10-8A8C-3B8FB1AB390A}"/>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8">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 allowBlank="1" showInputMessage="1" showErrorMessage="1" prompt="Давуу эрхийн хувьцаатай ББСБ-д хамаарна." sqref="H418" xr:uid="{8208A3EA-CA77-4C96-845D-C0B76F4376EA}"/>
    <dataValidation allowBlank="1" showInputMessage="1" showErrorMessage="1" prompt="Олон нийтэд хувьцаа санал болгоогүй ББСБ-д хамаарна." sqref="H419" xr:uid="{5E7E8E04-6F3C-485F-89F9-385074B7E7D6}"/>
    <dataValidation allowBlank="1" showInputMessage="1" showErrorMessage="1" prompt="Олон нийтэд хувьцаа санал болгосон ББСБ-д хамаарна." sqref="H420" xr:uid="{5A51C9C9-180F-41C3-83E6-6ECF6C2FE003}"/>
    <dataValidation allowBlank="1" showInputMessage="1" showErrorMessage="1" promptTitle="Хоёрдогч өглөг" prompt="Хувьцаанд хөрвөх нөхцөлтэй гэрээтэй ББСБ-д хамаарна." sqref="H421" xr:uid="{FAF09BD4-47AE-4106-A1BC-D2D6ADDA597E}"/>
    <dataValidation allowBlank="1" showInputMessage="1" showErrorMessage="1" promptTitle="Хоёрдогч өглөг" prompt="Буцаан олгох нөхцөлтэй гэрээтэй ББСБ-д хамаарна." sqref="H422" xr:uid="{FAC75000-8E32-4F1E-973A-501D86592893}"/>
  </dataValidations>
  <pageMargins left="0.25" right="0.25" top="0.75" bottom="0.75" header="0.3" footer="0.3"/>
  <pageSetup paperSize="9" scale="4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11" activePane="bottomRight" state="frozen"/>
      <selection pane="topRight" activeCell="F1" sqref="F1"/>
      <selection pane="bottomLeft" activeCell="A8" sqref="A8"/>
      <selection pane="bottomRight"/>
    </sheetView>
  </sheetViews>
  <sheetFormatPr defaultRowHeight="12.75"/>
  <cols>
    <col min="1" max="1" width="10.140625" style="450" customWidth="1"/>
    <col min="2" max="2" width="52.85546875" style="3" customWidth="1"/>
    <col min="3" max="3" width="8.85546875" style="3" customWidth="1"/>
    <col min="4" max="4" width="27.85546875" style="453" customWidth="1"/>
    <col min="5" max="5" width="13.5703125" style="33" customWidth="1"/>
    <col min="6" max="6" width="7.140625" style="3" customWidth="1"/>
    <col min="7" max="7" width="54.7109375" style="3" customWidth="1"/>
    <col min="8" max="8" width="10.140625" style="3" customWidth="1"/>
    <col min="9" max="9" width="27.85546875" style="453" customWidth="1"/>
    <col min="10" max="10" width="13.5703125" style="33" customWidth="1"/>
    <col min="11" max="16384" width="9.140625" style="3"/>
  </cols>
  <sheetData>
    <row r="1" spans="1:13">
      <c r="J1" s="581" t="s">
        <v>1214</v>
      </c>
    </row>
    <row r="2" spans="1:13">
      <c r="A2" s="1028" t="s">
        <v>1215</v>
      </c>
      <c r="B2" s="1028"/>
      <c r="C2" s="1028"/>
      <c r="D2" s="1028"/>
      <c r="E2" s="1028"/>
      <c r="F2" s="1028"/>
      <c r="G2" s="1028"/>
      <c r="H2" s="1028"/>
      <c r="I2" s="1028"/>
      <c r="J2" s="1028"/>
      <c r="K2" s="36"/>
      <c r="L2" s="36"/>
      <c r="M2" s="36"/>
    </row>
    <row r="3" spans="1:13">
      <c r="A3" s="1029" t="str">
        <f>+Statistic!A3</f>
        <v xml:space="preserve">БАНК БУС САНХҮҮГИЙН БАЙГУУЛЛАГЫН НЭР </v>
      </c>
      <c r="B3" s="1029"/>
      <c r="C3" s="1029"/>
      <c r="D3" s="1029"/>
      <c r="E3" s="1029"/>
      <c r="F3" s="1029"/>
      <c r="G3" s="1029"/>
      <c r="H3" s="1029"/>
      <c r="I3" s="1029"/>
      <c r="J3" s="1029"/>
      <c r="K3" s="127"/>
      <c r="L3" s="127"/>
      <c r="M3" s="127"/>
    </row>
    <row r="4" spans="1:13">
      <c r="A4" s="1030" t="s">
        <v>1</v>
      </c>
      <c r="B4" s="1030"/>
      <c r="C4" s="1030"/>
      <c r="D4" s="1030"/>
      <c r="E4" s="1030"/>
      <c r="F4" s="1030"/>
      <c r="G4" s="1030"/>
      <c r="H4" s="1030"/>
      <c r="I4" s="1030"/>
      <c r="J4" s="1030"/>
      <c r="K4" s="447"/>
      <c r="L4" s="447"/>
      <c r="M4" s="447"/>
    </row>
    <row r="5" spans="1:13" ht="13.5" thickBot="1">
      <c r="A5" s="532">
        <f>+Statistic!A7</f>
        <v>45716</v>
      </c>
      <c r="B5" s="532"/>
      <c r="J5" s="581" t="s">
        <v>1216</v>
      </c>
    </row>
    <row r="6" spans="1:13" s="451" customFormat="1" ht="24.75" customHeight="1">
      <c r="A6" s="587" t="s">
        <v>1217</v>
      </c>
      <c r="B6" s="588" t="s">
        <v>1218</v>
      </c>
      <c r="C6" s="588" t="s">
        <v>43</v>
      </c>
      <c r="D6" s="589" t="s">
        <v>664</v>
      </c>
      <c r="E6" s="590" t="s">
        <v>124</v>
      </c>
      <c r="F6" s="587" t="s">
        <v>1217</v>
      </c>
      <c r="G6" s="588" t="s">
        <v>1218</v>
      </c>
      <c r="H6" s="588" t="s">
        <v>43</v>
      </c>
      <c r="I6" s="589" t="s">
        <v>664</v>
      </c>
      <c r="J6" s="590" t="s">
        <v>124</v>
      </c>
    </row>
    <row r="7" spans="1:13">
      <c r="A7" s="591">
        <v>1</v>
      </c>
      <c r="B7" s="544" t="s">
        <v>123</v>
      </c>
      <c r="C7" s="545"/>
      <c r="D7" s="575"/>
      <c r="E7" s="592"/>
      <c r="F7" s="615">
        <v>2</v>
      </c>
      <c r="G7" s="547" t="s">
        <v>1221</v>
      </c>
      <c r="H7" s="547"/>
      <c r="I7" s="578"/>
      <c r="J7" s="616"/>
    </row>
    <row r="8" spans="1:13">
      <c r="A8" s="593">
        <v>1.1000000000000001</v>
      </c>
      <c r="B8" s="538" t="s">
        <v>1219</v>
      </c>
      <c r="C8" s="548">
        <v>11000000</v>
      </c>
      <c r="D8" s="559">
        <f>+GB!D9</f>
        <v>0</v>
      </c>
      <c r="E8" s="594" t="e">
        <f t="shared" ref="E8:E39" si="0">+D8/$D$102</f>
        <v>#DIV/0!</v>
      </c>
      <c r="F8" s="617">
        <v>2.1</v>
      </c>
      <c r="G8" s="540" t="s">
        <v>710</v>
      </c>
      <c r="H8" s="548">
        <v>20100000</v>
      </c>
      <c r="I8" s="549">
        <f>+GB!H9</f>
        <v>0</v>
      </c>
      <c r="J8" s="618" t="e">
        <f t="shared" ref="J8:J39" si="1">+I8/$I$102</f>
        <v>#DIV/0!</v>
      </c>
    </row>
    <row r="9" spans="1:13">
      <c r="A9" s="595" t="s">
        <v>139</v>
      </c>
      <c r="B9" s="457" t="s">
        <v>711</v>
      </c>
      <c r="C9" s="458">
        <v>11100000</v>
      </c>
      <c r="D9" s="459">
        <f>+GB!D11</f>
        <v>0</v>
      </c>
      <c r="E9" s="596" t="e">
        <f t="shared" si="0"/>
        <v>#DIV/0!</v>
      </c>
      <c r="F9" s="598" t="s">
        <v>1287</v>
      </c>
      <c r="G9" s="457" t="s">
        <v>712</v>
      </c>
      <c r="H9" s="470">
        <v>20110000</v>
      </c>
      <c r="I9" s="474">
        <f>+GB!H10</f>
        <v>0</v>
      </c>
      <c r="J9" s="619" t="e">
        <f t="shared" si="1"/>
        <v>#DIV/0!</v>
      </c>
    </row>
    <row r="10" spans="1:13" ht="25.5">
      <c r="A10" s="595" t="s">
        <v>140</v>
      </c>
      <c r="B10" s="460" t="s">
        <v>722</v>
      </c>
      <c r="C10" s="458">
        <v>11200000</v>
      </c>
      <c r="D10" s="461">
        <f>+GB!D27</f>
        <v>0</v>
      </c>
      <c r="E10" s="596" t="e">
        <f t="shared" si="0"/>
        <v>#DIV/0!</v>
      </c>
      <c r="F10" s="598" t="s">
        <v>1288</v>
      </c>
      <c r="G10" s="457" t="s">
        <v>719</v>
      </c>
      <c r="H10" s="470">
        <v>20120000</v>
      </c>
      <c r="I10" s="474">
        <f>+GB!H17</f>
        <v>0</v>
      </c>
      <c r="J10" s="619" t="e">
        <f t="shared" si="1"/>
        <v>#DIV/0!</v>
      </c>
    </row>
    <row r="11" spans="1:13" ht="25.5">
      <c r="A11" s="595" t="s">
        <v>141</v>
      </c>
      <c r="B11" s="460" t="s">
        <v>737</v>
      </c>
      <c r="C11" s="458">
        <v>11300000</v>
      </c>
      <c r="D11" s="461">
        <f>+GB!D68</f>
        <v>0</v>
      </c>
      <c r="E11" s="596" t="e">
        <f t="shared" si="0"/>
        <v>#DIV/0!</v>
      </c>
      <c r="F11" s="598" t="s">
        <v>1289</v>
      </c>
      <c r="G11" s="457" t="s">
        <v>721</v>
      </c>
      <c r="H11" s="470">
        <v>20130000</v>
      </c>
      <c r="I11" s="474">
        <f>+GB!H24</f>
        <v>0</v>
      </c>
      <c r="J11" s="619" t="e">
        <f t="shared" si="1"/>
        <v>#DIV/0!</v>
      </c>
    </row>
    <row r="12" spans="1:13">
      <c r="A12" s="595" t="s">
        <v>142</v>
      </c>
      <c r="B12" s="460" t="s">
        <v>749</v>
      </c>
      <c r="C12" s="458">
        <v>11400000</v>
      </c>
      <c r="D12" s="461">
        <f>+GB!D81</f>
        <v>0</v>
      </c>
      <c r="E12" s="596" t="e">
        <f t="shared" si="0"/>
        <v>#DIV/0!</v>
      </c>
      <c r="F12" s="598" t="s">
        <v>1290</v>
      </c>
      <c r="G12" s="457" t="s">
        <v>726</v>
      </c>
      <c r="H12" s="470">
        <v>20140000</v>
      </c>
      <c r="I12" s="474">
        <f>+GB!H31</f>
        <v>0</v>
      </c>
      <c r="J12" s="619" t="e">
        <f t="shared" si="1"/>
        <v>#DIV/0!</v>
      </c>
      <c r="K12" s="582"/>
    </row>
    <row r="13" spans="1:13" ht="25.5">
      <c r="A13" s="595" t="s">
        <v>143</v>
      </c>
      <c r="B13" s="460" t="s">
        <v>757</v>
      </c>
      <c r="C13" s="464">
        <v>11500000</v>
      </c>
      <c r="D13" s="461">
        <f>+GB!D122</f>
        <v>0</v>
      </c>
      <c r="E13" s="596" t="e">
        <f t="shared" si="0"/>
        <v>#DIV/0!</v>
      </c>
      <c r="F13" s="598" t="s">
        <v>1291</v>
      </c>
      <c r="G13" s="460" t="s">
        <v>729</v>
      </c>
      <c r="H13" s="458">
        <v>20150000</v>
      </c>
      <c r="I13" s="550">
        <f>+GB!H38</f>
        <v>0</v>
      </c>
      <c r="J13" s="619" t="e">
        <f t="shared" si="1"/>
        <v>#DIV/0!</v>
      </c>
    </row>
    <row r="14" spans="1:13" ht="25.5">
      <c r="A14" s="595" t="s">
        <v>144</v>
      </c>
      <c r="B14" s="460" t="s">
        <v>759</v>
      </c>
      <c r="C14" s="465">
        <v>11600000</v>
      </c>
      <c r="D14" s="461">
        <f>+GB!D126</f>
        <v>0</v>
      </c>
      <c r="E14" s="596" t="e">
        <f t="shared" si="0"/>
        <v>#DIV/0!</v>
      </c>
      <c r="F14" s="598" t="s">
        <v>1292</v>
      </c>
      <c r="G14" s="468" t="s">
        <v>733</v>
      </c>
      <c r="H14" s="471">
        <v>20160000</v>
      </c>
      <c r="I14" s="479">
        <f>+GB!H51</f>
        <v>0</v>
      </c>
      <c r="J14" s="619" t="e">
        <f t="shared" si="1"/>
        <v>#DIV/0!</v>
      </c>
    </row>
    <row r="15" spans="1:13">
      <c r="A15" s="593">
        <v>1.2</v>
      </c>
      <c r="B15" s="538" t="s">
        <v>1220</v>
      </c>
      <c r="C15" s="551">
        <v>11700000</v>
      </c>
      <c r="D15" s="539">
        <f>+GB!D158</f>
        <v>0</v>
      </c>
      <c r="E15" s="594" t="e">
        <f t="shared" si="0"/>
        <v>#DIV/0!</v>
      </c>
      <c r="F15" s="605">
        <v>2.2000000000000002</v>
      </c>
      <c r="G15" s="540" t="s">
        <v>735</v>
      </c>
      <c r="H15" s="548">
        <v>20200000</v>
      </c>
      <c r="I15" s="549">
        <f>+GB!H64</f>
        <v>0</v>
      </c>
      <c r="J15" s="618" t="e">
        <f t="shared" si="1"/>
        <v>#DIV/0!</v>
      </c>
    </row>
    <row r="16" spans="1:13">
      <c r="A16" s="620" t="s">
        <v>145</v>
      </c>
      <c r="B16" s="467" t="s">
        <v>747</v>
      </c>
      <c r="C16" s="552">
        <v>11710000</v>
      </c>
      <c r="D16" s="553">
        <f>+GB!D159</f>
        <v>0</v>
      </c>
      <c r="E16" s="596" t="e">
        <f t="shared" si="0"/>
        <v>#DIV/0!</v>
      </c>
      <c r="F16" s="597" t="s">
        <v>1293</v>
      </c>
      <c r="G16" s="455" t="s">
        <v>736</v>
      </c>
      <c r="H16" s="489">
        <v>20210000</v>
      </c>
      <c r="I16" s="554">
        <f>+GB!H65</f>
        <v>0</v>
      </c>
      <c r="J16" s="619" t="e">
        <f t="shared" si="1"/>
        <v>#DIV/0!</v>
      </c>
    </row>
    <row r="17" spans="1:10">
      <c r="A17" s="620" t="s">
        <v>146</v>
      </c>
      <c r="B17" s="455" t="s">
        <v>257</v>
      </c>
      <c r="C17" s="555">
        <v>11730000</v>
      </c>
      <c r="D17" s="456">
        <f>+GB!D221</f>
        <v>0</v>
      </c>
      <c r="E17" s="596" t="e">
        <f t="shared" si="0"/>
        <v>#DIV/0!</v>
      </c>
      <c r="F17" s="598" t="s">
        <v>1297</v>
      </c>
      <c r="G17" s="457" t="s">
        <v>125</v>
      </c>
      <c r="H17" s="470">
        <v>20211000</v>
      </c>
      <c r="I17" s="476">
        <f>+GB!H66</f>
        <v>0</v>
      </c>
      <c r="J17" s="619" t="e">
        <f t="shared" si="1"/>
        <v>#DIV/0!</v>
      </c>
    </row>
    <row r="18" spans="1:10" ht="25.5">
      <c r="A18" s="595" t="s">
        <v>1224</v>
      </c>
      <c r="B18" s="457" t="s">
        <v>789</v>
      </c>
      <c r="C18" s="463">
        <v>11731000</v>
      </c>
      <c r="D18" s="459">
        <f>+GB!D222</f>
        <v>0</v>
      </c>
      <c r="E18" s="596" t="e">
        <f t="shared" si="0"/>
        <v>#DIV/0!</v>
      </c>
      <c r="F18" s="598" t="s">
        <v>1299</v>
      </c>
      <c r="G18" s="457" t="s">
        <v>741</v>
      </c>
      <c r="H18" s="470">
        <v>20212000</v>
      </c>
      <c r="I18" s="476">
        <f>+GB!H69</f>
        <v>0</v>
      </c>
      <c r="J18" s="619" t="e">
        <f t="shared" si="1"/>
        <v>#DIV/0!</v>
      </c>
    </row>
    <row r="19" spans="1:10">
      <c r="A19" s="595" t="s">
        <v>1225</v>
      </c>
      <c r="B19" s="457" t="s">
        <v>819</v>
      </c>
      <c r="C19" s="463">
        <v>11732000</v>
      </c>
      <c r="D19" s="459">
        <f>+GB!D305</f>
        <v>0</v>
      </c>
      <c r="E19" s="596" t="e">
        <f t="shared" si="0"/>
        <v>#DIV/0!</v>
      </c>
      <c r="F19" s="598" t="s">
        <v>1300</v>
      </c>
      <c r="G19" s="457" t="s">
        <v>744</v>
      </c>
      <c r="H19" s="470">
        <v>20213000</v>
      </c>
      <c r="I19" s="482">
        <f>+GB!H72</f>
        <v>0</v>
      </c>
      <c r="J19" s="619" t="e">
        <f t="shared" si="1"/>
        <v>#DIV/0!</v>
      </c>
    </row>
    <row r="20" spans="1:10" ht="25.5">
      <c r="A20" s="595" t="s">
        <v>1226</v>
      </c>
      <c r="B20" s="457" t="s">
        <v>876</v>
      </c>
      <c r="C20" s="470">
        <v>11733000</v>
      </c>
      <c r="D20" s="459">
        <f>+GB!D451</f>
        <v>0</v>
      </c>
      <c r="E20" s="596" t="e">
        <f t="shared" si="0"/>
        <v>#DIV/0!</v>
      </c>
      <c r="F20" s="599" t="s">
        <v>1301</v>
      </c>
      <c r="G20" s="468" t="s">
        <v>753</v>
      </c>
      <c r="H20" s="471">
        <v>20214000</v>
      </c>
      <c r="I20" s="484">
        <f>+GB!H91</f>
        <v>0</v>
      </c>
      <c r="J20" s="867" t="e">
        <f t="shared" si="1"/>
        <v>#DIV/0!</v>
      </c>
    </row>
    <row r="21" spans="1:10" ht="25.5">
      <c r="A21" s="595" t="s">
        <v>1227</v>
      </c>
      <c r="B21" s="457" t="s">
        <v>935</v>
      </c>
      <c r="C21" s="470">
        <v>11734000</v>
      </c>
      <c r="D21" s="459">
        <f>+GB!D585</f>
        <v>0</v>
      </c>
      <c r="E21" s="596" t="e">
        <f t="shared" si="0"/>
        <v>#DIV/0!</v>
      </c>
      <c r="F21" s="620" t="s">
        <v>1294</v>
      </c>
      <c r="G21" s="455" t="s">
        <v>756</v>
      </c>
      <c r="H21" s="489">
        <v>20220000</v>
      </c>
      <c r="I21" s="554">
        <f>+GB!H94</f>
        <v>0</v>
      </c>
      <c r="J21" s="619" t="e">
        <f t="shared" si="1"/>
        <v>#DIV/0!</v>
      </c>
    </row>
    <row r="22" spans="1:10">
      <c r="A22" s="595" t="s">
        <v>1228</v>
      </c>
      <c r="B22" s="457" t="s">
        <v>936</v>
      </c>
      <c r="C22" s="470">
        <v>11735000</v>
      </c>
      <c r="D22" s="459">
        <f>+GB!D668</f>
        <v>0</v>
      </c>
      <c r="E22" s="596" t="e">
        <f t="shared" si="0"/>
        <v>#DIV/0!</v>
      </c>
      <c r="F22" s="598" t="s">
        <v>1302</v>
      </c>
      <c r="G22" s="457" t="s">
        <v>125</v>
      </c>
      <c r="H22" s="470">
        <v>20221000</v>
      </c>
      <c r="I22" s="476">
        <f>+GB!H95</f>
        <v>0</v>
      </c>
      <c r="J22" s="619" t="e">
        <f t="shared" si="1"/>
        <v>#DIV/0!</v>
      </c>
    </row>
    <row r="23" spans="1:10">
      <c r="A23" s="630" t="s">
        <v>1229</v>
      </c>
      <c r="B23" s="468" t="s">
        <v>937</v>
      </c>
      <c r="C23" s="471">
        <v>11735700</v>
      </c>
      <c r="D23" s="469">
        <f>+GB!D693</f>
        <v>0</v>
      </c>
      <c r="E23" s="600" t="e">
        <f t="shared" si="0"/>
        <v>#DIV/0!</v>
      </c>
      <c r="F23" s="598" t="s">
        <v>1303</v>
      </c>
      <c r="G23" s="457" t="s">
        <v>741</v>
      </c>
      <c r="H23" s="470">
        <v>20222000</v>
      </c>
      <c r="I23" s="476">
        <f>+GB!H98</f>
        <v>0</v>
      </c>
      <c r="J23" s="619" t="e">
        <f t="shared" si="1"/>
        <v>#DIV/0!</v>
      </c>
    </row>
    <row r="24" spans="1:10">
      <c r="A24" s="601">
        <v>1.3</v>
      </c>
      <c r="B24" s="531" t="s">
        <v>1230</v>
      </c>
      <c r="C24" s="556">
        <v>12000000</v>
      </c>
      <c r="D24" s="557">
        <f>+D25-D32-D35</f>
        <v>0</v>
      </c>
      <c r="E24" s="594" t="e">
        <f t="shared" si="0"/>
        <v>#DIV/0!</v>
      </c>
      <c r="F24" s="598" t="s">
        <v>1304</v>
      </c>
      <c r="G24" s="457" t="s">
        <v>744</v>
      </c>
      <c r="H24" s="470">
        <v>20223000</v>
      </c>
      <c r="I24" s="482">
        <f>+GB!H101</f>
        <v>0</v>
      </c>
      <c r="J24" s="619" t="e">
        <f t="shared" si="1"/>
        <v>#DIV/0!</v>
      </c>
    </row>
    <row r="25" spans="1:10" ht="25.5">
      <c r="A25" s="602" t="s">
        <v>147</v>
      </c>
      <c r="B25" s="455" t="s">
        <v>29</v>
      </c>
      <c r="C25" s="489"/>
      <c r="D25" s="456">
        <f>+D26+D27+D28-D33+D34</f>
        <v>0</v>
      </c>
      <c r="E25" s="596" t="e">
        <f t="shared" si="0"/>
        <v>#DIV/0!</v>
      </c>
      <c r="F25" s="599" t="s">
        <v>1305</v>
      </c>
      <c r="G25" s="468" t="s">
        <v>753</v>
      </c>
      <c r="H25" s="471">
        <v>20224000</v>
      </c>
      <c r="I25" s="484">
        <f>+GB!H120</f>
        <v>0</v>
      </c>
      <c r="J25" s="619" t="e">
        <f t="shared" si="1"/>
        <v>#DIV/0!</v>
      </c>
    </row>
    <row r="26" spans="1:10">
      <c r="A26" s="603" t="s">
        <v>1234</v>
      </c>
      <c r="B26" s="457" t="s">
        <v>938</v>
      </c>
      <c r="C26" s="470">
        <v>12100000</v>
      </c>
      <c r="D26" s="459">
        <f>+GB!D695</f>
        <v>0</v>
      </c>
      <c r="E26" s="596" t="e">
        <f t="shared" si="0"/>
        <v>#DIV/0!</v>
      </c>
      <c r="F26" s="599" t="s">
        <v>1295</v>
      </c>
      <c r="G26" s="468" t="s">
        <v>758</v>
      </c>
      <c r="H26" s="471">
        <v>20230000</v>
      </c>
      <c r="I26" s="479">
        <f>+GB!H123</f>
        <v>0</v>
      </c>
      <c r="J26" s="867" t="e">
        <f t="shared" si="1"/>
        <v>#DIV/0!</v>
      </c>
    </row>
    <row r="27" spans="1:10">
      <c r="A27" s="604" t="s">
        <v>1235</v>
      </c>
      <c r="B27" s="465" t="s">
        <v>946</v>
      </c>
      <c r="C27" s="466">
        <v>12200000</v>
      </c>
      <c r="D27" s="459">
        <f>+GB!D765</f>
        <v>0</v>
      </c>
      <c r="E27" s="596" t="e">
        <f t="shared" si="0"/>
        <v>#DIV/0!</v>
      </c>
      <c r="F27" s="598" t="s">
        <v>1306</v>
      </c>
      <c r="G27" s="457" t="s">
        <v>125</v>
      </c>
      <c r="H27" s="458">
        <v>20231000</v>
      </c>
      <c r="I27" s="476">
        <f>+GB!H124</f>
        <v>0</v>
      </c>
      <c r="J27" s="619" t="e">
        <f t="shared" si="1"/>
        <v>#DIV/0!</v>
      </c>
    </row>
    <row r="28" spans="1:10">
      <c r="A28" s="604" t="s">
        <v>1236</v>
      </c>
      <c r="B28" s="465" t="s">
        <v>1245</v>
      </c>
      <c r="C28" s="466"/>
      <c r="D28" s="456">
        <f>+SUM(D29:D31)</f>
        <v>0</v>
      </c>
      <c r="E28" s="596" t="e">
        <f t="shared" si="0"/>
        <v>#DIV/0!</v>
      </c>
      <c r="F28" s="598" t="s">
        <v>1307</v>
      </c>
      <c r="G28" s="457" t="s">
        <v>741</v>
      </c>
      <c r="H28" s="458">
        <v>20232000</v>
      </c>
      <c r="I28" s="476">
        <f>+GB!H127</f>
        <v>0</v>
      </c>
      <c r="J28" s="619" t="e">
        <f t="shared" si="1"/>
        <v>#DIV/0!</v>
      </c>
    </row>
    <row r="29" spans="1:10">
      <c r="A29" s="603" t="s">
        <v>1239</v>
      </c>
      <c r="B29" s="457" t="s">
        <v>1231</v>
      </c>
      <c r="C29" s="470">
        <v>12300000</v>
      </c>
      <c r="D29" s="459">
        <f>+GB!D835</f>
        <v>0</v>
      </c>
      <c r="E29" s="596" t="e">
        <f t="shared" si="0"/>
        <v>#DIV/0!</v>
      </c>
      <c r="F29" s="598" t="s">
        <v>1308</v>
      </c>
      <c r="G29" s="457" t="s">
        <v>744</v>
      </c>
      <c r="H29" s="458">
        <v>20233000</v>
      </c>
      <c r="I29" s="482">
        <f>+GB!H130</f>
        <v>0</v>
      </c>
      <c r="J29" s="619" t="e">
        <f t="shared" si="1"/>
        <v>#DIV/0!</v>
      </c>
    </row>
    <row r="30" spans="1:10" ht="25.5">
      <c r="A30" s="603" t="s">
        <v>1240</v>
      </c>
      <c r="B30" s="457" t="s">
        <v>1232</v>
      </c>
      <c r="C30" s="470">
        <v>12400000</v>
      </c>
      <c r="D30" s="459">
        <f>+GB!D905</f>
        <v>0</v>
      </c>
      <c r="E30" s="596" t="e">
        <f t="shared" si="0"/>
        <v>#DIV/0!</v>
      </c>
      <c r="F30" s="620" t="s">
        <v>1296</v>
      </c>
      <c r="G30" s="455" t="s">
        <v>766</v>
      </c>
      <c r="H30" s="489">
        <v>20240000</v>
      </c>
      <c r="I30" s="554">
        <f>SUM(I31:I33)</f>
        <v>0</v>
      </c>
      <c r="J30" s="619" t="e">
        <f t="shared" si="1"/>
        <v>#DIV/0!</v>
      </c>
    </row>
    <row r="31" spans="1:10">
      <c r="A31" s="603" t="s">
        <v>1241</v>
      </c>
      <c r="B31" s="457" t="s">
        <v>1233</v>
      </c>
      <c r="C31" s="470">
        <v>12500000</v>
      </c>
      <c r="D31" s="459">
        <f>+GB!D975</f>
        <v>0</v>
      </c>
      <c r="E31" s="596" t="e">
        <f t="shared" si="0"/>
        <v>#DIV/0!</v>
      </c>
      <c r="F31" s="598" t="s">
        <v>1309</v>
      </c>
      <c r="G31" s="457" t="s">
        <v>125</v>
      </c>
      <c r="H31" s="458">
        <v>20241000</v>
      </c>
      <c r="I31" s="476">
        <f>+GB!H150</f>
        <v>0</v>
      </c>
      <c r="J31" s="619" t="e">
        <f t="shared" si="1"/>
        <v>#DIV/0!</v>
      </c>
    </row>
    <row r="32" spans="1:10">
      <c r="A32" s="630" t="s">
        <v>1237</v>
      </c>
      <c r="B32" s="468" t="s">
        <v>952</v>
      </c>
      <c r="C32" s="471">
        <v>12800000</v>
      </c>
      <c r="D32" s="472">
        <f>+GB!D1085</f>
        <v>0</v>
      </c>
      <c r="E32" s="596" t="e">
        <f t="shared" si="0"/>
        <v>#DIV/0!</v>
      </c>
      <c r="F32" s="598" t="s">
        <v>1310</v>
      </c>
      <c r="G32" s="457" t="s">
        <v>741</v>
      </c>
      <c r="H32" s="458">
        <v>20242000</v>
      </c>
      <c r="I32" s="476">
        <f>+GB!H153</f>
        <v>0</v>
      </c>
      <c r="J32" s="619" t="e">
        <f t="shared" si="1"/>
        <v>#DIV/0!</v>
      </c>
    </row>
    <row r="33" spans="1:10">
      <c r="A33" s="630" t="s">
        <v>1238</v>
      </c>
      <c r="B33" s="468" t="s">
        <v>950</v>
      </c>
      <c r="C33" s="471">
        <v>12600000</v>
      </c>
      <c r="D33" s="472">
        <f>+GB!D1045</f>
        <v>0</v>
      </c>
      <c r="E33" s="596" t="e">
        <f t="shared" si="0"/>
        <v>#DIV/0!</v>
      </c>
      <c r="F33" s="598" t="s">
        <v>1311</v>
      </c>
      <c r="G33" s="457" t="s">
        <v>744</v>
      </c>
      <c r="H33" s="458">
        <v>20243000</v>
      </c>
      <c r="I33" s="482">
        <f>+GB!H156</f>
        <v>0</v>
      </c>
      <c r="J33" s="619" t="e">
        <f t="shared" si="1"/>
        <v>#DIV/0!</v>
      </c>
    </row>
    <row r="34" spans="1:10">
      <c r="A34" s="595" t="s">
        <v>1242</v>
      </c>
      <c r="B34" s="460" t="s">
        <v>951</v>
      </c>
      <c r="C34" s="458">
        <v>12700000</v>
      </c>
      <c r="D34" s="461">
        <f>+GB!D1065</f>
        <v>0</v>
      </c>
      <c r="E34" s="596" t="e">
        <f t="shared" si="0"/>
        <v>#DIV/0!</v>
      </c>
      <c r="F34" s="605">
        <v>2.2999999999999998</v>
      </c>
      <c r="G34" s="540" t="s">
        <v>773</v>
      </c>
      <c r="H34" s="548">
        <v>20300000</v>
      </c>
      <c r="I34" s="549">
        <f>+GB!H175</f>
        <v>0</v>
      </c>
      <c r="J34" s="618" t="e">
        <f t="shared" si="1"/>
        <v>#DIV/0!</v>
      </c>
    </row>
    <row r="35" spans="1:10" ht="25.5">
      <c r="A35" s="630" t="s">
        <v>1243</v>
      </c>
      <c r="B35" s="468" t="s">
        <v>953</v>
      </c>
      <c r="C35" s="471">
        <v>12900000</v>
      </c>
      <c r="D35" s="472">
        <f>+GB!D1088</f>
        <v>0</v>
      </c>
      <c r="E35" s="600" t="e">
        <f t="shared" si="0"/>
        <v>#DIV/0!</v>
      </c>
      <c r="F35" s="620" t="s">
        <v>1312</v>
      </c>
      <c r="G35" s="455" t="s">
        <v>775</v>
      </c>
      <c r="H35" s="489">
        <v>20310000</v>
      </c>
      <c r="I35" s="554">
        <f>+GB!H176</f>
        <v>0</v>
      </c>
      <c r="J35" s="619" t="e">
        <f t="shared" si="1"/>
        <v>#DIV/0!</v>
      </c>
    </row>
    <row r="36" spans="1:10">
      <c r="A36" s="631">
        <v>1.4</v>
      </c>
      <c r="B36" s="531" t="s">
        <v>1244</v>
      </c>
      <c r="C36" s="556">
        <v>13000000</v>
      </c>
      <c r="D36" s="557">
        <f>+D37-D44</f>
        <v>0</v>
      </c>
      <c r="E36" s="594" t="e">
        <f t="shared" si="0"/>
        <v>#DIV/0!</v>
      </c>
      <c r="F36" s="598" t="s">
        <v>1313</v>
      </c>
      <c r="G36" s="457" t="s">
        <v>776</v>
      </c>
      <c r="H36" s="458">
        <v>20311000</v>
      </c>
      <c r="I36" s="498">
        <f>+GB!H177</f>
        <v>0</v>
      </c>
      <c r="J36" s="619" t="e">
        <f t="shared" si="1"/>
        <v>#DIV/0!</v>
      </c>
    </row>
    <row r="37" spans="1:10">
      <c r="A37" s="620" t="s">
        <v>148</v>
      </c>
      <c r="B37" s="558" t="s">
        <v>1482</v>
      </c>
      <c r="C37" s="558"/>
      <c r="D37" s="456">
        <f>+D38+D39+D40-D45+D46</f>
        <v>0</v>
      </c>
      <c r="E37" s="596" t="e">
        <f t="shared" si="0"/>
        <v>#DIV/0!</v>
      </c>
      <c r="F37" s="598" t="s">
        <v>1314</v>
      </c>
      <c r="G37" s="457" t="s">
        <v>777</v>
      </c>
      <c r="H37" s="458">
        <v>20312000</v>
      </c>
      <c r="I37" s="498">
        <f>+GB!H184</f>
        <v>0</v>
      </c>
      <c r="J37" s="619" t="e">
        <f t="shared" si="1"/>
        <v>#DIV/0!</v>
      </c>
    </row>
    <row r="38" spans="1:10">
      <c r="A38" s="595" t="s">
        <v>1250</v>
      </c>
      <c r="B38" s="457" t="s">
        <v>67</v>
      </c>
      <c r="C38" s="470">
        <v>13100000</v>
      </c>
      <c r="D38" s="461">
        <f>+GB!D1092</f>
        <v>0</v>
      </c>
      <c r="E38" s="596" t="e">
        <f t="shared" si="0"/>
        <v>#DIV/0!</v>
      </c>
      <c r="F38" s="599" t="s">
        <v>1315</v>
      </c>
      <c r="G38" s="468" t="s">
        <v>782</v>
      </c>
      <c r="H38" s="471">
        <v>20313000</v>
      </c>
      <c r="I38" s="484">
        <f>+GB!H191</f>
        <v>0</v>
      </c>
      <c r="J38" s="619" t="e">
        <f t="shared" si="1"/>
        <v>#DIV/0!</v>
      </c>
    </row>
    <row r="39" spans="1:10">
      <c r="A39" s="595" t="s">
        <v>1251</v>
      </c>
      <c r="B39" s="457" t="s">
        <v>609</v>
      </c>
      <c r="C39" s="470">
        <v>13200000</v>
      </c>
      <c r="D39" s="461">
        <f>+GB!D1112</f>
        <v>0</v>
      </c>
      <c r="E39" s="596" t="e">
        <f t="shared" si="0"/>
        <v>#DIV/0!</v>
      </c>
      <c r="F39" s="597" t="s">
        <v>1316</v>
      </c>
      <c r="G39" s="455" t="s">
        <v>787</v>
      </c>
      <c r="H39" s="489">
        <v>20320000</v>
      </c>
      <c r="I39" s="554">
        <f>+GB!H198</f>
        <v>0</v>
      </c>
      <c r="J39" s="619" t="e">
        <f t="shared" si="1"/>
        <v>#DIV/0!</v>
      </c>
    </row>
    <row r="40" spans="1:10">
      <c r="A40" s="595" t="s">
        <v>1252</v>
      </c>
      <c r="B40" s="465" t="s">
        <v>1246</v>
      </c>
      <c r="C40" s="470"/>
      <c r="D40" s="456">
        <f>+SUM(D41:D43)</f>
        <v>0</v>
      </c>
      <c r="E40" s="596" t="e">
        <f t="shared" ref="E40:E71" si="2">+D40/$D$102</f>
        <v>#DIV/0!</v>
      </c>
      <c r="F40" s="598" t="s">
        <v>1298</v>
      </c>
      <c r="G40" s="457" t="s">
        <v>776</v>
      </c>
      <c r="H40" s="458">
        <v>20321000</v>
      </c>
      <c r="I40" s="498">
        <f>+GB!H199</f>
        <v>0</v>
      </c>
      <c r="J40" s="619" t="e">
        <f t="shared" ref="J40:J71" si="3">+I40/$I$102</f>
        <v>#DIV/0!</v>
      </c>
    </row>
    <row r="41" spans="1:10">
      <c r="A41" s="595" t="s">
        <v>1256</v>
      </c>
      <c r="B41" s="457" t="s">
        <v>1247</v>
      </c>
      <c r="C41" s="470">
        <v>13300000</v>
      </c>
      <c r="D41" s="461">
        <f>+GB!D1132</f>
        <v>0</v>
      </c>
      <c r="E41" s="596" t="e">
        <f t="shared" si="2"/>
        <v>#DIV/0!</v>
      </c>
      <c r="F41" s="598" t="s">
        <v>1318</v>
      </c>
      <c r="G41" s="457" t="s">
        <v>777</v>
      </c>
      <c r="H41" s="458">
        <v>20322000</v>
      </c>
      <c r="I41" s="498">
        <f>+GB!H206</f>
        <v>0</v>
      </c>
      <c r="J41" s="619" t="e">
        <f t="shared" si="3"/>
        <v>#DIV/0!</v>
      </c>
    </row>
    <row r="42" spans="1:10">
      <c r="A42" s="595" t="s">
        <v>1257</v>
      </c>
      <c r="B42" s="457" t="s">
        <v>1248</v>
      </c>
      <c r="C42" s="470">
        <v>13400000</v>
      </c>
      <c r="D42" s="461">
        <f>+GB!D1152</f>
        <v>0</v>
      </c>
      <c r="E42" s="596" t="e">
        <f t="shared" si="2"/>
        <v>#DIV/0!</v>
      </c>
      <c r="F42" s="599" t="s">
        <v>1319</v>
      </c>
      <c r="G42" s="468" t="s">
        <v>782</v>
      </c>
      <c r="H42" s="471">
        <v>20323000</v>
      </c>
      <c r="I42" s="484">
        <f>+GB!H213</f>
        <v>0</v>
      </c>
      <c r="J42" s="619" t="e">
        <f t="shared" si="3"/>
        <v>#DIV/0!</v>
      </c>
    </row>
    <row r="43" spans="1:10">
      <c r="A43" s="595" t="s">
        <v>1258</v>
      </c>
      <c r="B43" s="457" t="s">
        <v>1249</v>
      </c>
      <c r="C43" s="470">
        <v>13500000</v>
      </c>
      <c r="D43" s="461">
        <f>+GB!D1172</f>
        <v>0</v>
      </c>
      <c r="E43" s="596" t="e">
        <f t="shared" si="2"/>
        <v>#DIV/0!</v>
      </c>
      <c r="F43" s="597" t="s">
        <v>1320</v>
      </c>
      <c r="G43" s="455" t="s">
        <v>790</v>
      </c>
      <c r="H43" s="489">
        <v>20330000</v>
      </c>
      <c r="I43" s="554">
        <f>+GB!H220</f>
        <v>0</v>
      </c>
      <c r="J43" s="619" t="e">
        <f t="shared" si="3"/>
        <v>#DIV/0!</v>
      </c>
    </row>
    <row r="44" spans="1:10">
      <c r="A44" s="630" t="s">
        <v>1253</v>
      </c>
      <c r="B44" s="468" t="s">
        <v>963</v>
      </c>
      <c r="C44" s="471">
        <v>13800000</v>
      </c>
      <c r="D44" s="472">
        <f>+GB!D1232</f>
        <v>0</v>
      </c>
      <c r="E44" s="600" t="e">
        <f t="shared" si="2"/>
        <v>#DIV/0!</v>
      </c>
      <c r="F44" s="598" t="s">
        <v>1321</v>
      </c>
      <c r="G44" s="457" t="s">
        <v>792</v>
      </c>
      <c r="H44" s="470">
        <v>20331000</v>
      </c>
      <c r="I44" s="476">
        <f>+GB!H221</f>
        <v>0</v>
      </c>
      <c r="J44" s="619" t="e">
        <f t="shared" si="3"/>
        <v>#DIV/0!</v>
      </c>
    </row>
    <row r="45" spans="1:10">
      <c r="A45" s="630" t="s">
        <v>1254</v>
      </c>
      <c r="B45" s="468" t="s">
        <v>961</v>
      </c>
      <c r="C45" s="471">
        <v>13600000</v>
      </c>
      <c r="D45" s="472">
        <f>+GB!D1192</f>
        <v>0</v>
      </c>
      <c r="E45" s="596" t="e">
        <f t="shared" si="2"/>
        <v>#DIV/0!</v>
      </c>
      <c r="F45" s="598" t="s">
        <v>1322</v>
      </c>
      <c r="G45" s="457" t="s">
        <v>800</v>
      </c>
      <c r="H45" s="470">
        <v>20332000</v>
      </c>
      <c r="I45" s="482">
        <f>+GB!H228</f>
        <v>0</v>
      </c>
      <c r="J45" s="619" t="e">
        <f t="shared" si="3"/>
        <v>#DIV/0!</v>
      </c>
    </row>
    <row r="46" spans="1:10">
      <c r="A46" s="595" t="s">
        <v>1255</v>
      </c>
      <c r="B46" s="460" t="s">
        <v>962</v>
      </c>
      <c r="C46" s="458">
        <v>13700000</v>
      </c>
      <c r="D46" s="461">
        <f>+GB!D1212</f>
        <v>0</v>
      </c>
      <c r="E46" s="596" t="e">
        <f t="shared" si="2"/>
        <v>#DIV/0!</v>
      </c>
      <c r="F46" s="598" t="s">
        <v>1323</v>
      </c>
      <c r="G46" s="457" t="s">
        <v>802</v>
      </c>
      <c r="H46" s="470">
        <v>20333000</v>
      </c>
      <c r="I46" s="482">
        <f>+GB!H231</f>
        <v>0</v>
      </c>
      <c r="J46" s="619" t="e">
        <f t="shared" si="3"/>
        <v>#DIV/0!</v>
      </c>
    </row>
    <row r="47" spans="1:10">
      <c r="A47" s="631">
        <v>1.5</v>
      </c>
      <c r="B47" s="540" t="s">
        <v>1157</v>
      </c>
      <c r="C47" s="548">
        <v>14000000</v>
      </c>
      <c r="D47" s="559">
        <f>+GB!D1235</f>
        <v>0</v>
      </c>
      <c r="E47" s="594" t="e">
        <f t="shared" si="2"/>
        <v>#DIV/0!</v>
      </c>
      <c r="F47" s="598" t="s">
        <v>1324</v>
      </c>
      <c r="G47" s="457" t="s">
        <v>803</v>
      </c>
      <c r="H47" s="470">
        <v>20334000</v>
      </c>
      <c r="I47" s="482">
        <f>+GB!H234</f>
        <v>0</v>
      </c>
      <c r="J47" s="619" t="e">
        <f t="shared" si="3"/>
        <v>#DIV/0!</v>
      </c>
    </row>
    <row r="48" spans="1:10">
      <c r="A48" s="603" t="s">
        <v>1259</v>
      </c>
      <c r="B48" s="457" t="s">
        <v>822</v>
      </c>
      <c r="C48" s="470">
        <v>14100000</v>
      </c>
      <c r="D48" s="459">
        <f>+GB!D1236</f>
        <v>0</v>
      </c>
      <c r="E48" s="596" t="e">
        <f t="shared" si="2"/>
        <v>#DIV/0!</v>
      </c>
      <c r="F48" s="598" t="s">
        <v>1325</v>
      </c>
      <c r="G48" s="457" t="s">
        <v>56</v>
      </c>
      <c r="H48" s="470">
        <v>20335000</v>
      </c>
      <c r="I48" s="482">
        <f>+GB!H237</f>
        <v>0</v>
      </c>
      <c r="J48" s="619" t="e">
        <f t="shared" si="3"/>
        <v>#DIV/0!</v>
      </c>
    </row>
    <row r="49" spans="1:10" ht="25.5">
      <c r="A49" s="603" t="s">
        <v>1260</v>
      </c>
      <c r="B49" s="457" t="s">
        <v>828</v>
      </c>
      <c r="C49" s="470">
        <v>14200000</v>
      </c>
      <c r="D49" s="459">
        <f>+GB!D1248</f>
        <v>0</v>
      </c>
      <c r="E49" s="600" t="e">
        <f t="shared" si="2"/>
        <v>#DIV/0!</v>
      </c>
      <c r="F49" s="599" t="s">
        <v>1326</v>
      </c>
      <c r="G49" s="468" t="s">
        <v>806</v>
      </c>
      <c r="H49" s="471">
        <v>20336000</v>
      </c>
      <c r="I49" s="484">
        <f>+GB!H240</f>
        <v>0</v>
      </c>
      <c r="J49" s="867" t="e">
        <f t="shared" si="3"/>
        <v>#DIV/0!</v>
      </c>
    </row>
    <row r="50" spans="1:10">
      <c r="A50" s="603" t="s">
        <v>1261</v>
      </c>
      <c r="B50" s="457" t="s">
        <v>829</v>
      </c>
      <c r="C50" s="470">
        <v>14300000</v>
      </c>
      <c r="D50" s="459">
        <f>+GB!D1260</f>
        <v>0</v>
      </c>
      <c r="E50" s="596" t="e">
        <f t="shared" si="2"/>
        <v>#DIV/0!</v>
      </c>
      <c r="F50" s="597" t="s">
        <v>1327</v>
      </c>
      <c r="G50" s="455" t="s">
        <v>56</v>
      </c>
      <c r="H50" s="489">
        <v>20400000</v>
      </c>
      <c r="I50" s="554">
        <f>+GB!H243</f>
        <v>0</v>
      </c>
      <c r="J50" s="619" t="e">
        <f t="shared" si="3"/>
        <v>#DIV/0!</v>
      </c>
    </row>
    <row r="51" spans="1:10">
      <c r="A51" s="603" t="s">
        <v>1262</v>
      </c>
      <c r="B51" s="457" t="s">
        <v>830</v>
      </c>
      <c r="C51" s="470">
        <v>14400000</v>
      </c>
      <c r="D51" s="459">
        <f>+GB!D1272</f>
        <v>0</v>
      </c>
      <c r="E51" s="596" t="e">
        <f t="shared" si="2"/>
        <v>#DIV/0!</v>
      </c>
      <c r="F51" s="598" t="s">
        <v>1328</v>
      </c>
      <c r="G51" s="457" t="s">
        <v>129</v>
      </c>
      <c r="H51" s="458">
        <v>20410000</v>
      </c>
      <c r="I51" s="482">
        <f>+GB!H244</f>
        <v>0</v>
      </c>
      <c r="J51" s="619" t="e">
        <f t="shared" si="3"/>
        <v>#DIV/0!</v>
      </c>
    </row>
    <row r="52" spans="1:10">
      <c r="A52" s="603" t="s">
        <v>1263</v>
      </c>
      <c r="B52" s="457" t="s">
        <v>831</v>
      </c>
      <c r="C52" s="470">
        <v>14500000</v>
      </c>
      <c r="D52" s="459">
        <f>+GB!D1284</f>
        <v>0</v>
      </c>
      <c r="E52" s="596" t="e">
        <f t="shared" si="2"/>
        <v>#DIV/0!</v>
      </c>
      <c r="F52" s="598" t="s">
        <v>1332</v>
      </c>
      <c r="G52" s="457" t="s">
        <v>807</v>
      </c>
      <c r="H52" s="458">
        <v>20420000</v>
      </c>
      <c r="I52" s="482">
        <f>+GB!H247</f>
        <v>0</v>
      </c>
      <c r="J52" s="619" t="e">
        <f t="shared" si="3"/>
        <v>#DIV/0!</v>
      </c>
    </row>
    <row r="53" spans="1:10">
      <c r="A53" s="868" t="s">
        <v>1264</v>
      </c>
      <c r="B53" s="468" t="s">
        <v>964</v>
      </c>
      <c r="C53" s="471">
        <v>14600000</v>
      </c>
      <c r="D53" s="472">
        <f>+GB!D1296</f>
        <v>0</v>
      </c>
      <c r="E53" s="600" t="e">
        <f t="shared" si="2"/>
        <v>#DIV/0!</v>
      </c>
      <c r="F53" s="598" t="s">
        <v>1333</v>
      </c>
      <c r="G53" s="457" t="s">
        <v>808</v>
      </c>
      <c r="H53" s="458">
        <v>20430000</v>
      </c>
      <c r="I53" s="482">
        <f>+GB!H250</f>
        <v>0</v>
      </c>
      <c r="J53" s="619" t="e">
        <f t="shared" si="3"/>
        <v>#DIV/0!</v>
      </c>
    </row>
    <row r="54" spans="1:10">
      <c r="A54" s="631">
        <v>1.6</v>
      </c>
      <c r="B54" s="531" t="s">
        <v>965</v>
      </c>
      <c r="C54" s="556">
        <v>16000000</v>
      </c>
      <c r="D54" s="557">
        <f>SUM(D55,D66:D70)</f>
        <v>0</v>
      </c>
      <c r="E54" s="594" t="e">
        <f t="shared" si="2"/>
        <v>#DIV/0!</v>
      </c>
      <c r="F54" s="598" t="s">
        <v>1334</v>
      </c>
      <c r="G54" s="457" t="s">
        <v>810</v>
      </c>
      <c r="H54" s="458">
        <v>20440000</v>
      </c>
      <c r="I54" s="482">
        <f>+GB!H253</f>
        <v>0</v>
      </c>
      <c r="J54" s="619" t="e">
        <f t="shared" si="3"/>
        <v>#DIV/0!</v>
      </c>
    </row>
    <row r="55" spans="1:10">
      <c r="A55" s="595" t="s">
        <v>1267</v>
      </c>
      <c r="B55" s="473" t="s">
        <v>1266</v>
      </c>
      <c r="C55" s="470">
        <v>16100000</v>
      </c>
      <c r="D55" s="456">
        <f>+D56-D63</f>
        <v>0</v>
      </c>
      <c r="E55" s="596" t="e">
        <f t="shared" si="2"/>
        <v>#DIV/0!</v>
      </c>
      <c r="F55" s="598" t="s">
        <v>1335</v>
      </c>
      <c r="G55" s="457" t="s">
        <v>811</v>
      </c>
      <c r="H55" s="458">
        <v>20450000</v>
      </c>
      <c r="I55" s="482">
        <f>+GB!H256</f>
        <v>0</v>
      </c>
      <c r="J55" s="619" t="e">
        <f t="shared" si="3"/>
        <v>#DIV/0!</v>
      </c>
    </row>
    <row r="56" spans="1:10">
      <c r="A56" s="620" t="s">
        <v>1268</v>
      </c>
      <c r="B56" s="558" t="s">
        <v>1483</v>
      </c>
      <c r="C56" s="558"/>
      <c r="D56" s="456">
        <f>+D57+D58+D59-D64+D65</f>
        <v>0</v>
      </c>
      <c r="E56" s="596" t="e">
        <f t="shared" si="2"/>
        <v>#DIV/0!</v>
      </c>
      <c r="F56" s="598" t="s">
        <v>1336</v>
      </c>
      <c r="G56" s="457" t="s">
        <v>813</v>
      </c>
      <c r="H56" s="458">
        <v>20460000</v>
      </c>
      <c r="I56" s="482">
        <f>+GB!H263</f>
        <v>0</v>
      </c>
      <c r="J56" s="619" t="e">
        <f t="shared" si="3"/>
        <v>#DIV/0!</v>
      </c>
    </row>
    <row r="57" spans="1:10">
      <c r="A57" s="595" t="s">
        <v>1269</v>
      </c>
      <c r="B57" s="473" t="s">
        <v>248</v>
      </c>
      <c r="C57" s="470">
        <v>16110000</v>
      </c>
      <c r="D57" s="475">
        <f>+GB!D1299</f>
        <v>0</v>
      </c>
      <c r="E57" s="596" t="e">
        <f t="shared" si="2"/>
        <v>#DIV/0!</v>
      </c>
      <c r="F57" s="598" t="s">
        <v>1337</v>
      </c>
      <c r="G57" s="457" t="s">
        <v>814</v>
      </c>
      <c r="H57" s="458">
        <v>20470000</v>
      </c>
      <c r="I57" s="482">
        <f>+GB!H266</f>
        <v>0</v>
      </c>
      <c r="J57" s="619" t="e">
        <f t="shared" si="3"/>
        <v>#DIV/0!</v>
      </c>
    </row>
    <row r="58" spans="1:10">
      <c r="A58" s="595" t="s">
        <v>1270</v>
      </c>
      <c r="B58" s="473" t="s">
        <v>612</v>
      </c>
      <c r="C58" s="470">
        <v>16120000</v>
      </c>
      <c r="D58" s="475">
        <f>+GB!D1319</f>
        <v>0</v>
      </c>
      <c r="E58" s="596" t="e">
        <f t="shared" si="2"/>
        <v>#DIV/0!</v>
      </c>
      <c r="F58" s="941" t="s">
        <v>1338</v>
      </c>
      <c r="G58" s="735" t="s">
        <v>815</v>
      </c>
      <c r="H58" s="942">
        <v>20500000</v>
      </c>
      <c r="I58" s="943">
        <f>+GB!H269</f>
        <v>0</v>
      </c>
      <c r="J58" s="867" t="e">
        <f t="shared" si="3"/>
        <v>#DIV/0!</v>
      </c>
    </row>
    <row r="59" spans="1:10">
      <c r="A59" s="595" t="s">
        <v>1271</v>
      </c>
      <c r="B59" s="465" t="s">
        <v>1265</v>
      </c>
      <c r="C59" s="470"/>
      <c r="D59" s="459">
        <f>+SUM(D60:D62)</f>
        <v>0</v>
      </c>
      <c r="E59" s="596" t="e">
        <f t="shared" si="2"/>
        <v>#DIV/0!</v>
      </c>
      <c r="F59" s="598" t="s">
        <v>1329</v>
      </c>
      <c r="G59" s="457" t="s">
        <v>775</v>
      </c>
      <c r="H59" s="458">
        <v>20510000</v>
      </c>
      <c r="I59" s="482">
        <f>+GB!H270</f>
        <v>0</v>
      </c>
      <c r="J59" s="619" t="e">
        <f t="shared" si="3"/>
        <v>#DIV/0!</v>
      </c>
    </row>
    <row r="60" spans="1:10">
      <c r="A60" s="595" t="s">
        <v>1272</v>
      </c>
      <c r="B60" s="473" t="s">
        <v>955</v>
      </c>
      <c r="C60" s="470">
        <v>16130000</v>
      </c>
      <c r="D60" s="475">
        <f>+GB!D1339</f>
        <v>0</v>
      </c>
      <c r="E60" s="596" t="e">
        <f t="shared" si="2"/>
        <v>#DIV/0!</v>
      </c>
      <c r="F60" s="598" t="s">
        <v>1339</v>
      </c>
      <c r="G60" s="457" t="s">
        <v>787</v>
      </c>
      <c r="H60" s="458">
        <v>20520000</v>
      </c>
      <c r="I60" s="482">
        <f>+GB!H273</f>
        <v>0</v>
      </c>
      <c r="J60" s="619" t="e">
        <f t="shared" si="3"/>
        <v>#DIV/0!</v>
      </c>
    </row>
    <row r="61" spans="1:10">
      <c r="A61" s="595" t="s">
        <v>1273</v>
      </c>
      <c r="B61" s="473" t="s">
        <v>956</v>
      </c>
      <c r="C61" s="470">
        <v>16140000</v>
      </c>
      <c r="D61" s="475">
        <f>+GB!D1359</f>
        <v>0</v>
      </c>
      <c r="E61" s="596" t="e">
        <f t="shared" si="2"/>
        <v>#DIV/0!</v>
      </c>
      <c r="F61" s="598" t="s">
        <v>1340</v>
      </c>
      <c r="G61" s="457" t="s">
        <v>790</v>
      </c>
      <c r="H61" s="458">
        <v>20530000</v>
      </c>
      <c r="I61" s="482">
        <f>+GB!H276</f>
        <v>0</v>
      </c>
      <c r="J61" s="619" t="e">
        <f t="shared" si="3"/>
        <v>#DIV/0!</v>
      </c>
    </row>
    <row r="62" spans="1:10">
      <c r="A62" s="595" t="s">
        <v>1274</v>
      </c>
      <c r="B62" s="473" t="s">
        <v>957</v>
      </c>
      <c r="C62" s="470">
        <v>16150000</v>
      </c>
      <c r="D62" s="475">
        <f>+GB!D1379</f>
        <v>0</v>
      </c>
      <c r="E62" s="596" t="e">
        <f t="shared" si="2"/>
        <v>#DIV/0!</v>
      </c>
      <c r="F62" s="598" t="s">
        <v>1341</v>
      </c>
      <c r="G62" s="457" t="s">
        <v>56</v>
      </c>
      <c r="H62" s="458">
        <v>20540000</v>
      </c>
      <c r="I62" s="482">
        <f>+GB!H279</f>
        <v>0</v>
      </c>
      <c r="J62" s="619" t="e">
        <f t="shared" si="3"/>
        <v>#DIV/0!</v>
      </c>
    </row>
    <row r="63" spans="1:10">
      <c r="A63" s="630" t="s">
        <v>1275</v>
      </c>
      <c r="B63" s="478" t="s">
        <v>960</v>
      </c>
      <c r="C63" s="471">
        <v>16180000</v>
      </c>
      <c r="D63" s="479">
        <f>+GB!D1439</f>
        <v>0</v>
      </c>
      <c r="E63" s="600" t="e">
        <f t="shared" si="2"/>
        <v>#DIV/0!</v>
      </c>
      <c r="F63" s="597" t="s">
        <v>1331</v>
      </c>
      <c r="G63" s="455" t="s">
        <v>816</v>
      </c>
      <c r="H63" s="489">
        <v>20600000</v>
      </c>
      <c r="I63" s="554">
        <f>+GB!H282</f>
        <v>0</v>
      </c>
      <c r="J63" s="619" t="e">
        <f t="shared" si="3"/>
        <v>#DIV/0!</v>
      </c>
    </row>
    <row r="64" spans="1:10">
      <c r="A64" s="630" t="s">
        <v>1276</v>
      </c>
      <c r="B64" s="478" t="s">
        <v>958</v>
      </c>
      <c r="C64" s="471">
        <v>16160000</v>
      </c>
      <c r="D64" s="479">
        <f>+GB!D1399</f>
        <v>0</v>
      </c>
      <c r="E64" s="596" t="e">
        <f t="shared" si="2"/>
        <v>#DIV/0!</v>
      </c>
      <c r="F64" s="598" t="s">
        <v>1330</v>
      </c>
      <c r="G64" s="457" t="s">
        <v>775</v>
      </c>
      <c r="H64" s="458">
        <v>20610000</v>
      </c>
      <c r="I64" s="482">
        <f>+GB!H283</f>
        <v>0</v>
      </c>
      <c r="J64" s="619" t="e">
        <f t="shared" si="3"/>
        <v>#DIV/0!</v>
      </c>
    </row>
    <row r="65" spans="1:10">
      <c r="A65" s="595" t="s">
        <v>1277</v>
      </c>
      <c r="B65" s="477" t="s">
        <v>959</v>
      </c>
      <c r="C65" s="458">
        <v>16100000</v>
      </c>
      <c r="D65" s="475">
        <f>+GB!D1419</f>
        <v>0</v>
      </c>
      <c r="E65" s="596" t="e">
        <f t="shared" si="2"/>
        <v>#DIV/0!</v>
      </c>
      <c r="F65" s="598" t="s">
        <v>1342</v>
      </c>
      <c r="G65" s="457" t="s">
        <v>787</v>
      </c>
      <c r="H65" s="458">
        <v>20620000</v>
      </c>
      <c r="I65" s="482">
        <f>+GB!H290</f>
        <v>0</v>
      </c>
      <c r="J65" s="619" t="e">
        <f t="shared" si="3"/>
        <v>#DIV/0!</v>
      </c>
    </row>
    <row r="66" spans="1:10">
      <c r="A66" s="595" t="s">
        <v>1278</v>
      </c>
      <c r="B66" s="457" t="s">
        <v>966</v>
      </c>
      <c r="C66" s="470">
        <v>16200000</v>
      </c>
      <c r="D66" s="459">
        <f>+GB!D1442</f>
        <v>0</v>
      </c>
      <c r="E66" s="596" t="e">
        <f t="shared" si="2"/>
        <v>#DIV/0!</v>
      </c>
      <c r="F66" s="598" t="s">
        <v>1343</v>
      </c>
      <c r="G66" s="457" t="s">
        <v>790</v>
      </c>
      <c r="H66" s="458">
        <v>20630000</v>
      </c>
      <c r="I66" s="482">
        <f>+GB!H297</f>
        <v>0</v>
      </c>
      <c r="J66" s="619" t="e">
        <f t="shared" si="3"/>
        <v>#DIV/0!</v>
      </c>
    </row>
    <row r="67" spans="1:10">
      <c r="A67" s="595" t="s">
        <v>1279</v>
      </c>
      <c r="B67" s="457" t="s">
        <v>967</v>
      </c>
      <c r="C67" s="470">
        <v>16300000</v>
      </c>
      <c r="D67" s="459">
        <f>+GB!D1443</f>
        <v>0</v>
      </c>
      <c r="E67" s="596" t="e">
        <f t="shared" si="2"/>
        <v>#DIV/0!</v>
      </c>
      <c r="F67" s="605">
        <v>2.4</v>
      </c>
      <c r="G67" s="540" t="s">
        <v>1161</v>
      </c>
      <c r="H67" s="548">
        <v>21000000</v>
      </c>
      <c r="I67" s="549">
        <f>+GB!H313</f>
        <v>0</v>
      </c>
      <c r="J67" s="618" t="e">
        <f t="shared" si="3"/>
        <v>#DIV/0!</v>
      </c>
    </row>
    <row r="68" spans="1:10">
      <c r="A68" s="595" t="s">
        <v>1280</v>
      </c>
      <c r="B68" s="457" t="s">
        <v>835</v>
      </c>
      <c r="C68" s="470">
        <v>16500000</v>
      </c>
      <c r="D68" s="459">
        <f>+GB!D1454</f>
        <v>0</v>
      </c>
      <c r="E68" s="596" t="e">
        <f t="shared" si="2"/>
        <v>#DIV/0!</v>
      </c>
      <c r="F68" s="598" t="s">
        <v>1344</v>
      </c>
      <c r="G68" s="457" t="s">
        <v>822</v>
      </c>
      <c r="H68" s="470">
        <v>21100000</v>
      </c>
      <c r="I68" s="476">
        <f>+GB!H314</f>
        <v>0</v>
      </c>
      <c r="J68" s="619" t="e">
        <f t="shared" si="3"/>
        <v>#DIV/0!</v>
      </c>
    </row>
    <row r="69" spans="1:10">
      <c r="A69" s="595" t="s">
        <v>1281</v>
      </c>
      <c r="B69" s="460" t="s">
        <v>969</v>
      </c>
      <c r="C69" s="470">
        <v>16600000</v>
      </c>
      <c r="D69" s="459">
        <f>+GB!D1455</f>
        <v>0</v>
      </c>
      <c r="E69" s="596" t="e">
        <f t="shared" si="2"/>
        <v>#DIV/0!</v>
      </c>
      <c r="F69" s="598" t="s">
        <v>1317</v>
      </c>
      <c r="G69" s="457" t="s">
        <v>828</v>
      </c>
      <c r="H69" s="470">
        <v>21200000</v>
      </c>
      <c r="I69" s="476">
        <f>+GB!H326</f>
        <v>0</v>
      </c>
      <c r="J69" s="619" t="e">
        <f t="shared" si="3"/>
        <v>#DIV/0!</v>
      </c>
    </row>
    <row r="70" spans="1:10">
      <c r="A70" s="595" t="s">
        <v>1282</v>
      </c>
      <c r="B70" s="457" t="s">
        <v>56</v>
      </c>
      <c r="C70" s="470">
        <v>16700000</v>
      </c>
      <c r="D70" s="459">
        <f>+GB!D1458</f>
        <v>0</v>
      </c>
      <c r="E70" s="596" t="e">
        <f t="shared" si="2"/>
        <v>#DIV/0!</v>
      </c>
      <c r="F70" s="598" t="s">
        <v>1345</v>
      </c>
      <c r="G70" s="457" t="s">
        <v>829</v>
      </c>
      <c r="H70" s="470">
        <v>21300000</v>
      </c>
      <c r="I70" s="476">
        <f>+GB!H338</f>
        <v>0</v>
      </c>
      <c r="J70" s="619" t="e">
        <f t="shared" si="3"/>
        <v>#DIV/0!</v>
      </c>
    </row>
    <row r="71" spans="1:10" ht="15" customHeight="1">
      <c r="A71" s="606">
        <v>1.7</v>
      </c>
      <c r="B71" s="560" t="s">
        <v>1283</v>
      </c>
      <c r="C71" s="560"/>
      <c r="D71" s="576">
        <f>+SUM(D8,D15,D24,D36,D47,D54)</f>
        <v>0</v>
      </c>
      <c r="E71" s="607" t="e">
        <f t="shared" si="2"/>
        <v>#DIV/0!</v>
      </c>
      <c r="F71" s="598" t="s">
        <v>1346</v>
      </c>
      <c r="G71" s="457" t="s">
        <v>830</v>
      </c>
      <c r="H71" s="470">
        <v>21400000</v>
      </c>
      <c r="I71" s="476">
        <f>+GB!H350</f>
        <v>0</v>
      </c>
      <c r="J71" s="619" t="e">
        <f t="shared" si="3"/>
        <v>#DIV/0!</v>
      </c>
    </row>
    <row r="72" spans="1:10">
      <c r="A72" s="595">
        <v>1.8</v>
      </c>
      <c r="B72" s="480" t="s">
        <v>973</v>
      </c>
      <c r="C72" s="470">
        <v>17010000</v>
      </c>
      <c r="D72" s="459">
        <f>+GB!D1460</f>
        <v>0</v>
      </c>
      <c r="E72" s="596" t="e">
        <f t="shared" ref="E72:E92" si="4">+D72/$D$102</f>
        <v>#DIV/0!</v>
      </c>
      <c r="F72" s="598" t="s">
        <v>1347</v>
      </c>
      <c r="G72" s="457" t="s">
        <v>831</v>
      </c>
      <c r="H72" s="470">
        <v>21500000</v>
      </c>
      <c r="I72" s="476">
        <f>+GB!H362</f>
        <v>0</v>
      </c>
      <c r="J72" s="619" t="e">
        <f t="shared" ref="J72:J88" si="5">+I72/$I$102</f>
        <v>#DIV/0!</v>
      </c>
    </row>
    <row r="73" spans="1:10">
      <c r="A73" s="595">
        <v>1.9</v>
      </c>
      <c r="B73" s="480" t="s">
        <v>1158</v>
      </c>
      <c r="C73" s="470">
        <v>17020000</v>
      </c>
      <c r="D73" s="459">
        <f>+GB!D1461</f>
        <v>0</v>
      </c>
      <c r="E73" s="596" t="e">
        <f t="shared" si="4"/>
        <v>#DIV/0!</v>
      </c>
      <c r="F73" s="605">
        <v>2.5</v>
      </c>
      <c r="G73" s="531" t="s">
        <v>832</v>
      </c>
      <c r="H73" s="556">
        <v>22000000</v>
      </c>
      <c r="I73" s="561">
        <f>+GB!H374</f>
        <v>0</v>
      </c>
      <c r="J73" s="618" t="e">
        <f t="shared" si="5"/>
        <v>#DIV/0!</v>
      </c>
    </row>
    <row r="74" spans="1:10">
      <c r="A74" s="632">
        <v>1.1000000000000001</v>
      </c>
      <c r="B74" s="480" t="s">
        <v>974</v>
      </c>
      <c r="C74" s="470">
        <v>17030000</v>
      </c>
      <c r="D74" s="459">
        <f>+GB!D1467</f>
        <v>0</v>
      </c>
      <c r="E74" s="596" t="e">
        <f t="shared" si="4"/>
        <v>#DIV/0!</v>
      </c>
      <c r="F74" s="605">
        <v>2.6</v>
      </c>
      <c r="G74" s="540" t="s">
        <v>66</v>
      </c>
      <c r="H74" s="548">
        <v>23000000</v>
      </c>
      <c r="I74" s="549">
        <f>+GB!H384</f>
        <v>0</v>
      </c>
      <c r="J74" s="618" t="e">
        <f t="shared" si="5"/>
        <v>#DIV/0!</v>
      </c>
    </row>
    <row r="75" spans="1:10">
      <c r="A75" s="595">
        <v>1.1100000000000001</v>
      </c>
      <c r="B75" s="480" t="s">
        <v>978</v>
      </c>
      <c r="C75" s="470">
        <v>17040000</v>
      </c>
      <c r="D75" s="459">
        <f>+GB!D1471</f>
        <v>0</v>
      </c>
      <c r="E75" s="596" t="e">
        <f t="shared" si="4"/>
        <v>#DIV/0!</v>
      </c>
      <c r="F75" s="605">
        <v>2.7</v>
      </c>
      <c r="G75" s="531" t="s">
        <v>855</v>
      </c>
      <c r="H75" s="556">
        <v>24000000</v>
      </c>
      <c r="I75" s="561">
        <f>+GB!H401</f>
        <v>0</v>
      </c>
      <c r="J75" s="618" t="e">
        <f t="shared" si="5"/>
        <v>#DIV/0!</v>
      </c>
    </row>
    <row r="76" spans="1:10">
      <c r="A76" s="632">
        <v>1.1200000000000001</v>
      </c>
      <c r="B76" s="480" t="s">
        <v>979</v>
      </c>
      <c r="C76" s="470">
        <v>17050000</v>
      </c>
      <c r="D76" s="459">
        <f>+GB!D1472</f>
        <v>0</v>
      </c>
      <c r="E76" s="596" t="e">
        <f t="shared" si="4"/>
        <v>#DIV/0!</v>
      </c>
      <c r="F76" s="612">
        <v>2.8</v>
      </c>
      <c r="G76" s="560" t="s">
        <v>1350</v>
      </c>
      <c r="H76" s="562"/>
      <c r="I76" s="563">
        <f>+SUM(I8,I15,I34,I67,I73:I75)</f>
        <v>0</v>
      </c>
      <c r="J76" s="621" t="e">
        <f t="shared" si="5"/>
        <v>#DIV/0!</v>
      </c>
    </row>
    <row r="77" spans="1:10">
      <c r="A77" s="595">
        <v>1.1299999999999999</v>
      </c>
      <c r="B77" s="480" t="s">
        <v>980</v>
      </c>
      <c r="C77" s="470">
        <v>17060000</v>
      </c>
      <c r="D77" s="459">
        <f>+GB!D1473</f>
        <v>0</v>
      </c>
      <c r="E77" s="596" t="e">
        <f t="shared" si="4"/>
        <v>#DIV/0!</v>
      </c>
      <c r="F77" s="598">
        <v>2.9</v>
      </c>
      <c r="G77" s="457" t="s">
        <v>841</v>
      </c>
      <c r="H77" s="458">
        <v>25010000</v>
      </c>
      <c r="I77" s="482">
        <f>+GB!H403</f>
        <v>0</v>
      </c>
      <c r="J77" s="619" t="e">
        <f t="shared" si="5"/>
        <v>#DIV/0!</v>
      </c>
    </row>
    <row r="78" spans="1:10">
      <c r="A78" s="632">
        <v>1.1399999999999999</v>
      </c>
      <c r="B78" s="480" t="s">
        <v>993</v>
      </c>
      <c r="C78" s="470">
        <v>17070000</v>
      </c>
      <c r="D78" s="459">
        <f>+GB!D1474</f>
        <v>0</v>
      </c>
      <c r="E78" s="596" t="e">
        <f t="shared" si="4"/>
        <v>#DIV/0!</v>
      </c>
      <c r="F78" s="608">
        <v>2.1</v>
      </c>
      <c r="G78" s="457" t="s">
        <v>842</v>
      </c>
      <c r="H78" s="458">
        <v>25020000</v>
      </c>
      <c r="I78" s="482">
        <f>+GB!H404</f>
        <v>0</v>
      </c>
      <c r="J78" s="619" t="e">
        <f t="shared" si="5"/>
        <v>#DIV/0!</v>
      </c>
    </row>
    <row r="79" spans="1:10">
      <c r="A79" s="595">
        <v>1.1499999999999999</v>
      </c>
      <c r="B79" s="480" t="s">
        <v>1003</v>
      </c>
      <c r="C79" s="470">
        <v>17080000</v>
      </c>
      <c r="D79" s="459">
        <f>+GB!D1475</f>
        <v>0</v>
      </c>
      <c r="E79" s="596" t="e">
        <f t="shared" si="4"/>
        <v>#DIV/0!</v>
      </c>
      <c r="F79" s="598">
        <v>2.11</v>
      </c>
      <c r="G79" s="457" t="s">
        <v>843</v>
      </c>
      <c r="H79" s="458">
        <v>25030000</v>
      </c>
      <c r="I79" s="482">
        <f>+GB!H405</f>
        <v>0</v>
      </c>
      <c r="J79" s="619" t="e">
        <f t="shared" si="5"/>
        <v>#DIV/0!</v>
      </c>
    </row>
    <row r="80" spans="1:10">
      <c r="A80" s="632">
        <v>1.1599999999999999</v>
      </c>
      <c r="B80" s="480" t="s">
        <v>1160</v>
      </c>
      <c r="C80" s="470">
        <v>17090000</v>
      </c>
      <c r="D80" s="459">
        <f>+GB!D1479</f>
        <v>0</v>
      </c>
      <c r="E80" s="596" t="e">
        <f t="shared" si="4"/>
        <v>#DIV/0!</v>
      </c>
      <c r="F80" s="608">
        <v>2.12</v>
      </c>
      <c r="G80" s="457" t="s">
        <v>844</v>
      </c>
      <c r="H80" s="458">
        <v>25040000</v>
      </c>
      <c r="I80" s="482">
        <f>+GB!H406</f>
        <v>0</v>
      </c>
      <c r="J80" s="619" t="e">
        <f t="shared" si="5"/>
        <v>#DIV/0!</v>
      </c>
    </row>
    <row r="81" spans="1:10">
      <c r="A81" s="595">
        <v>1.17</v>
      </c>
      <c r="B81" s="480" t="s">
        <v>56</v>
      </c>
      <c r="C81" s="458">
        <v>17100000</v>
      </c>
      <c r="D81" s="459">
        <f>+GB!D1483</f>
        <v>0</v>
      </c>
      <c r="E81" s="596" t="e">
        <f t="shared" si="4"/>
        <v>#DIV/0!</v>
      </c>
      <c r="F81" s="598">
        <v>2.13</v>
      </c>
      <c r="G81" s="457" t="s">
        <v>845</v>
      </c>
      <c r="H81" s="458">
        <v>25050000</v>
      </c>
      <c r="I81" s="482">
        <f>+GB!H407</f>
        <v>0</v>
      </c>
      <c r="J81" s="619" t="e">
        <f t="shared" si="5"/>
        <v>#DIV/0!</v>
      </c>
    </row>
    <row r="82" spans="1:10" ht="25.5">
      <c r="A82" s="609">
        <v>1.18</v>
      </c>
      <c r="B82" s="540" t="s">
        <v>1171</v>
      </c>
      <c r="C82" s="548">
        <v>18000000</v>
      </c>
      <c r="D82" s="559">
        <f>+GB!D1484</f>
        <v>0</v>
      </c>
      <c r="E82" s="610" t="e">
        <f t="shared" si="4"/>
        <v>#DIV/0!</v>
      </c>
      <c r="F82" s="608">
        <v>2.14</v>
      </c>
      <c r="G82" s="457" t="s">
        <v>848</v>
      </c>
      <c r="H82" s="458">
        <v>25060000</v>
      </c>
      <c r="I82" s="482">
        <f>+GB!H408</f>
        <v>0</v>
      </c>
      <c r="J82" s="619" t="e">
        <f t="shared" si="5"/>
        <v>#DIV/0!</v>
      </c>
    </row>
    <row r="83" spans="1:10">
      <c r="A83" s="633" t="s">
        <v>1285</v>
      </c>
      <c r="B83" s="455" t="s">
        <v>1348</v>
      </c>
      <c r="C83" s="489">
        <v>18100000</v>
      </c>
      <c r="D83" s="456">
        <f>+GB!D1485</f>
        <v>0</v>
      </c>
      <c r="E83" s="611" t="e">
        <f t="shared" si="4"/>
        <v>#DIV/0!</v>
      </c>
      <c r="F83" s="598">
        <v>2.15</v>
      </c>
      <c r="G83" s="485" t="s">
        <v>849</v>
      </c>
      <c r="H83" s="458">
        <v>25070000</v>
      </c>
      <c r="I83" s="482">
        <f>+GB!H409</f>
        <v>0</v>
      </c>
      <c r="J83" s="619" t="e">
        <f t="shared" si="5"/>
        <v>#DIV/0!</v>
      </c>
    </row>
    <row r="84" spans="1:10">
      <c r="A84" s="595" t="s">
        <v>1353</v>
      </c>
      <c r="B84" s="457" t="s">
        <v>982</v>
      </c>
      <c r="C84" s="470">
        <v>18110000</v>
      </c>
      <c r="D84" s="462">
        <f>+GB!D1486</f>
        <v>0</v>
      </c>
      <c r="E84" s="596" t="e">
        <f t="shared" si="4"/>
        <v>#DIV/0!</v>
      </c>
      <c r="F84" s="608">
        <v>2.16</v>
      </c>
      <c r="G84" s="457" t="s">
        <v>850</v>
      </c>
      <c r="H84" s="458">
        <v>25080000</v>
      </c>
      <c r="I84" s="482">
        <f>+GB!H410</f>
        <v>0</v>
      </c>
      <c r="J84" s="619" t="e">
        <f t="shared" si="5"/>
        <v>#DIV/0!</v>
      </c>
    </row>
    <row r="85" spans="1:10" ht="12.75" customHeight="1">
      <c r="A85" s="595" t="s">
        <v>1354</v>
      </c>
      <c r="B85" s="460" t="s">
        <v>984</v>
      </c>
      <c r="C85" s="470">
        <v>18120000</v>
      </c>
      <c r="D85" s="462">
        <f>+GB!D1490</f>
        <v>0</v>
      </c>
      <c r="E85" s="596" t="e">
        <f t="shared" si="4"/>
        <v>#DIV/0!</v>
      </c>
      <c r="F85" s="598">
        <v>2.17</v>
      </c>
      <c r="G85" s="457" t="s">
        <v>56</v>
      </c>
      <c r="H85" s="458">
        <v>25090000</v>
      </c>
      <c r="I85" s="482">
        <f>+GB!H411</f>
        <v>0</v>
      </c>
      <c r="J85" s="619" t="e">
        <f t="shared" si="5"/>
        <v>#DIV/0!</v>
      </c>
    </row>
    <row r="86" spans="1:10">
      <c r="A86" s="595" t="s">
        <v>1355</v>
      </c>
      <c r="B86" s="460" t="s">
        <v>987</v>
      </c>
      <c r="C86" s="470">
        <v>18130000</v>
      </c>
      <c r="D86" s="462">
        <f>+GB!D1494</f>
        <v>0</v>
      </c>
      <c r="E86" s="596" t="e">
        <f t="shared" si="4"/>
        <v>#DIV/0!</v>
      </c>
      <c r="F86" s="622">
        <v>2.1800000000000002</v>
      </c>
      <c r="G86" s="531" t="s">
        <v>1213</v>
      </c>
      <c r="H86" s="548">
        <v>26000000</v>
      </c>
      <c r="I86" s="561">
        <f>+GB!H412</f>
        <v>0</v>
      </c>
      <c r="J86" s="618" t="e">
        <f t="shared" si="5"/>
        <v>#DIV/0!</v>
      </c>
    </row>
    <row r="87" spans="1:10">
      <c r="A87" s="595" t="s">
        <v>1356</v>
      </c>
      <c r="B87" s="460" t="s">
        <v>990</v>
      </c>
      <c r="C87" s="470">
        <v>18140000</v>
      </c>
      <c r="D87" s="462">
        <f>+GB!D1498</f>
        <v>0</v>
      </c>
      <c r="E87" s="596" t="e">
        <f t="shared" si="4"/>
        <v>#DIV/0!</v>
      </c>
      <c r="F87" s="623">
        <v>2.19</v>
      </c>
      <c r="G87" s="560" t="s">
        <v>1351</v>
      </c>
      <c r="H87" s="565"/>
      <c r="I87" s="563">
        <f>SUM(I77:I86)</f>
        <v>0</v>
      </c>
      <c r="J87" s="621" t="e">
        <f t="shared" si="5"/>
        <v>#DIV/0!</v>
      </c>
    </row>
    <row r="88" spans="1:10">
      <c r="A88" s="595" t="s">
        <v>1357</v>
      </c>
      <c r="B88" s="457" t="s">
        <v>1172</v>
      </c>
      <c r="C88" s="470">
        <v>18150000</v>
      </c>
      <c r="D88" s="462">
        <f>+GB!D1502</f>
        <v>0</v>
      </c>
      <c r="E88" s="596" t="e">
        <f t="shared" si="4"/>
        <v>#DIV/0!</v>
      </c>
      <c r="F88" s="624">
        <v>2.2000000000000002</v>
      </c>
      <c r="G88" s="564" t="s">
        <v>1222</v>
      </c>
      <c r="H88" s="566"/>
      <c r="I88" s="579">
        <f>+I76+I87</f>
        <v>0</v>
      </c>
      <c r="J88" s="621" t="e">
        <f t="shared" si="5"/>
        <v>#DIV/0!</v>
      </c>
    </row>
    <row r="89" spans="1:10">
      <c r="A89" s="595" t="s">
        <v>1358</v>
      </c>
      <c r="B89" s="457" t="s">
        <v>994</v>
      </c>
      <c r="C89" s="470">
        <v>18160000</v>
      </c>
      <c r="D89" s="462">
        <f>+GB!D1506</f>
        <v>0</v>
      </c>
      <c r="E89" s="596" t="e">
        <f t="shared" si="4"/>
        <v>#DIV/0!</v>
      </c>
      <c r="F89" s="615">
        <v>3</v>
      </c>
      <c r="G89" s="567" t="s">
        <v>856</v>
      </c>
      <c r="H89" s="568"/>
      <c r="I89" s="527"/>
      <c r="J89" s="592"/>
    </row>
    <row r="90" spans="1:10">
      <c r="A90" s="595" t="s">
        <v>1359</v>
      </c>
      <c r="B90" s="457" t="s">
        <v>997</v>
      </c>
      <c r="C90" s="470">
        <v>18170000</v>
      </c>
      <c r="D90" s="462">
        <f>+GB!D1510</f>
        <v>0</v>
      </c>
      <c r="E90" s="596" t="e">
        <f t="shared" si="4"/>
        <v>#DIV/0!</v>
      </c>
      <c r="F90" s="625">
        <v>3.1</v>
      </c>
      <c r="G90" s="457" t="s">
        <v>857</v>
      </c>
      <c r="H90" s="470">
        <v>31000000</v>
      </c>
      <c r="I90" s="474">
        <f>+GB!H417</f>
        <v>0</v>
      </c>
      <c r="J90" s="619" t="e">
        <f t="shared" ref="J90:J96" si="6">+I90/$I$102</f>
        <v>#DIV/0!</v>
      </c>
    </row>
    <row r="91" spans="1:10">
      <c r="A91" s="633" t="s">
        <v>1286</v>
      </c>
      <c r="B91" s="455" t="s">
        <v>1349</v>
      </c>
      <c r="C91" s="489">
        <v>18200000</v>
      </c>
      <c r="D91" s="456">
        <f>+GB!D1514</f>
        <v>0</v>
      </c>
      <c r="E91" s="611" t="e">
        <f t="shared" si="4"/>
        <v>#DIV/0!</v>
      </c>
      <c r="F91" s="625">
        <v>3.2</v>
      </c>
      <c r="G91" s="457" t="s">
        <v>863</v>
      </c>
      <c r="H91" s="470">
        <v>32000000</v>
      </c>
      <c r="I91" s="474">
        <f>+GB!H423</f>
        <v>0</v>
      </c>
      <c r="J91" s="619" t="e">
        <f t="shared" si="6"/>
        <v>#DIV/0!</v>
      </c>
    </row>
    <row r="92" spans="1:10">
      <c r="A92" s="595" t="s">
        <v>1360</v>
      </c>
      <c r="B92" s="465" t="s">
        <v>1006</v>
      </c>
      <c r="C92" s="470">
        <v>18210000</v>
      </c>
      <c r="D92" s="462">
        <f>+GB!D1515</f>
        <v>0</v>
      </c>
      <c r="E92" s="596" t="e">
        <f t="shared" si="4"/>
        <v>#DIV/0!</v>
      </c>
      <c r="F92" s="625">
        <v>3.3</v>
      </c>
      <c r="G92" s="457" t="s">
        <v>865</v>
      </c>
      <c r="H92" s="470">
        <v>33000000</v>
      </c>
      <c r="I92" s="474">
        <f>+GB!H426</f>
        <v>0</v>
      </c>
      <c r="J92" s="619" t="e">
        <f t="shared" si="6"/>
        <v>#DIV/0!</v>
      </c>
    </row>
    <row r="93" spans="1:10">
      <c r="A93" s="595" t="s">
        <v>1361</v>
      </c>
      <c r="B93" s="457" t="s">
        <v>1182</v>
      </c>
      <c r="C93" s="458">
        <v>18220000</v>
      </c>
      <c r="D93" s="462">
        <f>+GB!D1519</f>
        <v>0</v>
      </c>
      <c r="E93" s="596" t="e">
        <f t="shared" ref="E93:E100" si="7">+D93/$D$102</f>
        <v>#DIV/0!</v>
      </c>
      <c r="F93" s="625">
        <v>3.4</v>
      </c>
      <c r="G93" s="457" t="s">
        <v>866</v>
      </c>
      <c r="H93" s="470">
        <v>34000000</v>
      </c>
      <c r="I93" s="474">
        <f>+GB!H429</f>
        <v>0</v>
      </c>
      <c r="J93" s="619" t="e">
        <f t="shared" si="6"/>
        <v>#DIV/0!</v>
      </c>
    </row>
    <row r="94" spans="1:10">
      <c r="A94" s="595" t="s">
        <v>1362</v>
      </c>
      <c r="B94" s="457" t="s">
        <v>1183</v>
      </c>
      <c r="C94" s="458">
        <v>18230000</v>
      </c>
      <c r="D94" s="462">
        <f>+GB!D1523</f>
        <v>0</v>
      </c>
      <c r="E94" s="596" t="e">
        <f t="shared" si="7"/>
        <v>#DIV/0!</v>
      </c>
      <c r="F94" s="625">
        <v>3.5</v>
      </c>
      <c r="G94" s="457" t="s">
        <v>867</v>
      </c>
      <c r="H94" s="470">
        <v>35000000</v>
      </c>
      <c r="I94" s="474">
        <f>GB!H432+GB!H1673</f>
        <v>0</v>
      </c>
      <c r="J94" s="619" t="e">
        <f t="shared" si="6"/>
        <v>#DIV/0!</v>
      </c>
    </row>
    <row r="95" spans="1:10">
      <c r="A95" s="595" t="s">
        <v>1363</v>
      </c>
      <c r="B95" s="457" t="s">
        <v>1007</v>
      </c>
      <c r="C95" s="470">
        <v>18240000</v>
      </c>
      <c r="D95" s="462">
        <f>+GB!D1527</f>
        <v>0</v>
      </c>
      <c r="E95" s="596" t="e">
        <f t="shared" si="7"/>
        <v>#DIV/0!</v>
      </c>
      <c r="F95" s="625">
        <v>3.6</v>
      </c>
      <c r="G95" s="457" t="s">
        <v>869</v>
      </c>
      <c r="H95" s="470">
        <v>36000000</v>
      </c>
      <c r="I95" s="474">
        <f>+GB!H433+GB!H421+GB!H422</f>
        <v>0</v>
      </c>
      <c r="J95" s="619" t="e">
        <f t="shared" si="6"/>
        <v>#DIV/0!</v>
      </c>
    </row>
    <row r="96" spans="1:10">
      <c r="A96" s="595" t="s">
        <v>1364</v>
      </c>
      <c r="B96" s="457" t="s">
        <v>1008</v>
      </c>
      <c r="C96" s="458">
        <v>18250000</v>
      </c>
      <c r="D96" s="462">
        <f>+GB!D1531</f>
        <v>0</v>
      </c>
      <c r="E96" s="596" t="e">
        <f t="shared" si="7"/>
        <v>#DIV/0!</v>
      </c>
      <c r="F96" s="623">
        <v>3.7</v>
      </c>
      <c r="G96" s="564" t="s">
        <v>1352</v>
      </c>
      <c r="H96" s="566"/>
      <c r="I96" s="580">
        <f>SUM(I90:I91,-I92,I93:I95)</f>
        <v>0</v>
      </c>
      <c r="J96" s="621" t="e">
        <f t="shared" si="6"/>
        <v>#DIV/0!</v>
      </c>
    </row>
    <row r="97" spans="1:10">
      <c r="A97" s="595" t="s">
        <v>1365</v>
      </c>
      <c r="B97" s="457" t="s">
        <v>1009</v>
      </c>
      <c r="C97" s="458">
        <v>18260000</v>
      </c>
      <c r="D97" s="462">
        <f>+GB!D1535</f>
        <v>0</v>
      </c>
      <c r="E97" s="596" t="e">
        <f t="shared" si="7"/>
        <v>#DIV/0!</v>
      </c>
      <c r="F97" s="626"/>
      <c r="I97" s="493"/>
      <c r="J97" s="627"/>
    </row>
    <row r="98" spans="1:10">
      <c r="A98" s="595" t="s">
        <v>1366</v>
      </c>
      <c r="B98" s="457" t="s">
        <v>1010</v>
      </c>
      <c r="C98" s="470">
        <v>18270000</v>
      </c>
      <c r="D98" s="462">
        <f>+GB!D1539</f>
        <v>0</v>
      </c>
      <c r="E98" s="596" t="e">
        <f t="shared" si="7"/>
        <v>#DIV/0!</v>
      </c>
      <c r="F98" s="626"/>
      <c r="I98" s="493"/>
      <c r="J98" s="628"/>
    </row>
    <row r="99" spans="1:10">
      <c r="A99" s="595" t="s">
        <v>1367</v>
      </c>
      <c r="B99" s="465" t="s">
        <v>1011</v>
      </c>
      <c r="C99" s="458">
        <v>18280000</v>
      </c>
      <c r="D99" s="462">
        <f>+GB!D1543</f>
        <v>0</v>
      </c>
      <c r="E99" s="596" t="e">
        <f t="shared" si="7"/>
        <v>#DIV/0!</v>
      </c>
      <c r="F99" s="626"/>
      <c r="I99" s="493"/>
      <c r="J99" s="628"/>
    </row>
    <row r="100" spans="1:10">
      <c r="A100" s="595" t="s">
        <v>1368</v>
      </c>
      <c r="B100" s="457" t="s">
        <v>1012</v>
      </c>
      <c r="C100" s="458">
        <v>18290000</v>
      </c>
      <c r="D100" s="462">
        <f>+GB!D1547</f>
        <v>0</v>
      </c>
      <c r="E100" s="596" t="e">
        <f t="shared" si="7"/>
        <v>#DIV/0!</v>
      </c>
      <c r="F100" s="626"/>
      <c r="I100" s="493"/>
      <c r="J100" s="628"/>
    </row>
    <row r="101" spans="1:10">
      <c r="A101" s="606">
        <v>1.19</v>
      </c>
      <c r="B101" s="560" t="s">
        <v>1284</v>
      </c>
      <c r="C101" s="560"/>
      <c r="D101" s="577">
        <f>+SUM(D72:D82)</f>
        <v>0</v>
      </c>
      <c r="E101" s="607" t="e">
        <f>+D101/$D$102</f>
        <v>#DIV/0!</v>
      </c>
      <c r="F101" s="626"/>
      <c r="I101" s="493"/>
      <c r="J101" s="629"/>
    </row>
    <row r="102" spans="1:10" ht="13.5" thickBot="1">
      <c r="A102" s="1032" t="s">
        <v>135</v>
      </c>
      <c r="B102" s="1033"/>
      <c r="C102" s="1033"/>
      <c r="D102" s="613">
        <f>+D71+D101</f>
        <v>0</v>
      </c>
      <c r="E102" s="614" t="e">
        <f>+D102/$D$102</f>
        <v>#DIV/0!</v>
      </c>
      <c r="F102" s="1032" t="s">
        <v>135</v>
      </c>
      <c r="G102" s="1033"/>
      <c r="H102" s="1033"/>
      <c r="I102" s="613">
        <f>+I88+I96</f>
        <v>0</v>
      </c>
      <c r="J102" s="614" t="e">
        <f>+I102/$D$102</f>
        <v>#DIV/0!</v>
      </c>
    </row>
    <row r="105" spans="1:10">
      <c r="C105" s="976" t="s">
        <v>33</v>
      </c>
      <c r="D105" s="976"/>
      <c r="G105" s="454"/>
    </row>
    <row r="107" spans="1:10">
      <c r="C107" s="2" t="str">
        <f>+Statistic!A58</f>
        <v xml:space="preserve">             ТАЙЛАНГ ҮНЭН ЗӨВ ГАРГАСАН:</v>
      </c>
    </row>
    <row r="109" spans="1:10">
      <c r="D109" s="453" t="str">
        <f>+Statistic!B60</f>
        <v>ГҮЙЦЭТГЭХ ЗАХИРАЛ.......................//</v>
      </c>
    </row>
    <row r="111" spans="1:10">
      <c r="D111" s="453" t="str">
        <f>+Statistic!B62</f>
        <v>ЕРӨНХИЙ НЯГТЛАН БОДОГЧ...................................................//</v>
      </c>
    </row>
  </sheetData>
  <sheetProtection algorithmName="SHA-512" hashValue="29dL5WKysxMG9LjDIufVaklJnWKwE8V9N2bAHyPn7STFLKn6c8GLiS1xizU3eswLsn89BfB/qazfogBiJViS5g==" saltValue="dsJy4hUeURuQkEXICxuCDQ=="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7" right="0.7" top="0.75" bottom="0.75" header="0.3" footer="0.3"/>
  <pageSetup paperSize="9" scale="38"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Тайлан бэлдэх зааварчилгаа</vt:lpstr>
      <vt:lpstr>Statistic</vt:lpstr>
      <vt:lpstr>Application</vt:lpstr>
      <vt:lpstr>iRate</vt:lpstr>
      <vt:lpstr>Wallet</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Tungalag Battsengel</cp:lastModifiedBy>
  <cp:lastPrinted>2024-04-01T01:46:34Z</cp:lastPrinted>
  <dcterms:created xsi:type="dcterms:W3CDTF">2019-09-09T06:29:41Z</dcterms:created>
  <dcterms:modified xsi:type="dcterms:W3CDTF">2025-02-28T02:47:14Z</dcterms:modified>
</cp:coreProperties>
</file>