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ngalag\Downloads\"/>
    </mc:Choice>
  </mc:AlternateContent>
  <xr:revisionPtr revIDLastSave="0" documentId="13_ncr:1_{5F974CAD-E445-4F14-8194-09C4DD006CB9}" xr6:coauthVersionLast="47" xr6:coauthVersionMax="47" xr10:uidLastSave="{00000000-0000-0000-0000-000000000000}"/>
  <workbookProtection workbookAlgorithmName="SHA-512" workbookHashValue="9PFbMYbyG9uDMHwWEWNhBzJX6xFodfCRhZygUomCikAjew0hFYTySTZ5zhUELcL4nuor8DZxP+xpQH/1g+KURw==" workbookSaltValue="vZotF1QSNOG2lcuWk4O5AQ==" workbookSpinCount="100000" lockStructure="1"/>
  <bookViews>
    <workbookView xWindow="-28920" yWindow="-120" windowWidth="29040" windowHeight="15840" activeTab="4" xr2:uid="{611E184B-415B-40F0-BABC-DD58E8F49E81}"/>
  </bookViews>
  <sheets>
    <sheet name="STAT" sheetId="6" r:id="rId1"/>
    <sheet name="BC" sheetId="1" r:id="rId2"/>
    <sheet name="GEN" sheetId="5" r:id="rId3"/>
    <sheet name="TOP100" sheetId="2" r:id="rId4"/>
    <sheet name="FC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4" i="4" l="1"/>
  <c r="H54" i="4"/>
  <c r="E54" i="4"/>
  <c r="J53" i="4"/>
  <c r="H53" i="4"/>
  <c r="E53" i="4"/>
  <c r="J52" i="4"/>
  <c r="H52" i="4"/>
  <c r="E52" i="4"/>
  <c r="J51" i="4"/>
  <c r="H51" i="4"/>
  <c r="E51" i="4"/>
  <c r="J50" i="4"/>
  <c r="H50" i="4"/>
  <c r="E50" i="4"/>
  <c r="J49" i="4"/>
  <c r="H49" i="4"/>
  <c r="E49" i="4"/>
  <c r="J48" i="4"/>
  <c r="H48" i="4"/>
  <c r="E48" i="4"/>
  <c r="N37" i="4"/>
  <c r="N38" i="4" s="1"/>
  <c r="M37" i="4"/>
  <c r="M38" i="4" s="1"/>
  <c r="M39" i="4" s="1"/>
  <c r="M40" i="4" s="1"/>
  <c r="M41" i="4" s="1"/>
  <c r="M42" i="4" s="1"/>
  <c r="M43" i="4" s="1"/>
  <c r="M44" i="4" s="1"/>
  <c r="M45" i="4" s="1"/>
  <c r="M46" i="4" s="1"/>
  <c r="O36" i="4"/>
  <c r="N31" i="4"/>
  <c r="N32" i="4" s="1"/>
  <c r="M31" i="4"/>
  <c r="M32" i="4" s="1"/>
  <c r="M33" i="4" s="1"/>
  <c r="M34" i="4" s="1"/>
  <c r="M35" i="4" s="1"/>
  <c r="O30" i="4"/>
  <c r="N30" i="4"/>
  <c r="M30" i="4"/>
  <c r="O29" i="4"/>
  <c r="J46" i="4"/>
  <c r="H46" i="4"/>
  <c r="E46" i="4"/>
  <c r="J45" i="4"/>
  <c r="H45" i="4"/>
  <c r="E45" i="4"/>
  <c r="J44" i="4"/>
  <c r="H44" i="4"/>
  <c r="E44" i="4"/>
  <c r="J43" i="4"/>
  <c r="H43" i="4"/>
  <c r="E43" i="4"/>
  <c r="J42" i="4"/>
  <c r="H42" i="4"/>
  <c r="E42" i="4"/>
  <c r="J41" i="4"/>
  <c r="H41" i="4"/>
  <c r="E41" i="4"/>
  <c r="J40" i="4"/>
  <c r="H40" i="4"/>
  <c r="E40" i="4"/>
  <c r="J39" i="4"/>
  <c r="H39" i="4"/>
  <c r="E39" i="4"/>
  <c r="J38" i="4"/>
  <c r="H38" i="4"/>
  <c r="E38" i="4"/>
  <c r="J37" i="4"/>
  <c r="H37" i="4"/>
  <c r="E37" i="4"/>
  <c r="J36" i="4"/>
  <c r="H36" i="4"/>
  <c r="E36" i="4"/>
  <c r="J35" i="4"/>
  <c r="H35" i="4"/>
  <c r="E35" i="4"/>
  <c r="J34" i="4"/>
  <c r="H34" i="4"/>
  <c r="E34" i="4"/>
  <c r="J33" i="4"/>
  <c r="H33" i="4"/>
  <c r="E33" i="4"/>
  <c r="J32" i="4"/>
  <c r="H32" i="4"/>
  <c r="E32" i="4"/>
  <c r="J31" i="4"/>
  <c r="H31" i="4"/>
  <c r="E31" i="4"/>
  <c r="J30" i="4"/>
  <c r="H30" i="4"/>
  <c r="E30" i="4"/>
  <c r="J29" i="4"/>
  <c r="H29" i="4"/>
  <c r="E29" i="4"/>
  <c r="O11" i="4"/>
  <c r="O12" i="4"/>
  <c r="O13" i="4"/>
  <c r="O14" i="4"/>
  <c r="O15" i="4"/>
  <c r="O16" i="4"/>
  <c r="O17" i="4"/>
  <c r="O18" i="4"/>
  <c r="M12" i="4"/>
  <c r="N12" i="4"/>
  <c r="N13" i="4" s="1"/>
  <c r="N14" i="4" s="1"/>
  <c r="N15" i="4" s="1"/>
  <c r="N16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M13" i="4"/>
  <c r="M14" i="4"/>
  <c r="M15" i="4" s="1"/>
  <c r="M16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N11" i="4"/>
  <c r="M11" i="4"/>
  <c r="O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10" i="4"/>
  <c r="J9" i="2"/>
  <c r="J11" i="2"/>
  <c r="J12" i="2"/>
  <c r="J15" i="2"/>
  <c r="J19" i="2"/>
  <c r="J20" i="2"/>
  <c r="J21" i="2"/>
  <c r="J22" i="2"/>
  <c r="J23" i="2"/>
  <c r="J24" i="2"/>
  <c r="J25" i="2"/>
  <c r="J26" i="2"/>
  <c r="J27" i="2"/>
  <c r="J28" i="2"/>
  <c r="J31" i="2"/>
  <c r="J8" i="2"/>
  <c r="I9" i="2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J32" i="2" s="1"/>
  <c r="H9" i="2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D6" i="1"/>
  <c r="B6" i="1"/>
  <c r="A7" i="5" s="1"/>
  <c r="B3" i="1"/>
  <c r="B47" i="1"/>
  <c r="B49" i="1"/>
  <c r="F69" i="4"/>
  <c r="F67" i="4"/>
  <c r="F65" i="4"/>
  <c r="E63" i="4"/>
  <c r="F120" i="2"/>
  <c r="F118" i="2"/>
  <c r="E116" i="2"/>
  <c r="E114" i="2"/>
  <c r="C35" i="5"/>
  <c r="C33" i="5"/>
  <c r="B31" i="5"/>
  <c r="B29" i="5"/>
  <c r="B45" i="1"/>
  <c r="B43" i="1"/>
  <c r="E108" i="2"/>
  <c r="O38" i="4" l="1"/>
  <c r="N39" i="4"/>
  <c r="O32" i="4"/>
  <c r="N33" i="4"/>
  <c r="O31" i="4"/>
  <c r="O37" i="4"/>
  <c r="O27" i="4"/>
  <c r="O26" i="4"/>
  <c r="O25" i="4"/>
  <c r="O22" i="4"/>
  <c r="O20" i="4"/>
  <c r="O24" i="4"/>
  <c r="O23" i="4"/>
  <c r="O21" i="4"/>
  <c r="O19" i="4"/>
  <c r="J10" i="2"/>
  <c r="J18" i="2"/>
  <c r="J17" i="2"/>
  <c r="J16" i="2"/>
  <c r="J30" i="2"/>
  <c r="J14" i="2"/>
  <c r="J29" i="2"/>
  <c r="J13" i="2"/>
  <c r="R42" i="4"/>
  <c r="K49" i="4"/>
  <c r="K50" i="4"/>
  <c r="K51" i="4"/>
  <c r="K52" i="4"/>
  <c r="K53" i="4"/>
  <c r="K54" i="4"/>
  <c r="K48" i="4"/>
  <c r="R49" i="4"/>
  <c r="R50" i="4"/>
  <c r="R51" i="4"/>
  <c r="R52" i="4"/>
  <c r="R53" i="4"/>
  <c r="R54" i="4"/>
  <c r="R48" i="4"/>
  <c r="R30" i="4"/>
  <c r="R31" i="4"/>
  <c r="R32" i="4"/>
  <c r="R33" i="4"/>
  <c r="R34" i="4"/>
  <c r="R35" i="4"/>
  <c r="R36" i="4"/>
  <c r="R37" i="4"/>
  <c r="R38" i="4"/>
  <c r="R39" i="4"/>
  <c r="R40" i="4"/>
  <c r="R41" i="4"/>
  <c r="R43" i="4"/>
  <c r="R44" i="4"/>
  <c r="R45" i="4"/>
  <c r="R46" i="4"/>
  <c r="R29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10" i="4"/>
  <c r="Q47" i="4"/>
  <c r="P47" i="4"/>
  <c r="Q28" i="4" a="1"/>
  <c r="Q28" i="4" s="1"/>
  <c r="P28" i="4"/>
  <c r="Q9" i="4" a="1"/>
  <c r="Q9" i="4" s="1"/>
  <c r="J47" i="4"/>
  <c r="L47" i="4"/>
  <c r="O33" i="4" l="1"/>
  <c r="N34" i="4"/>
  <c r="N40" i="4"/>
  <c r="O39" i="4"/>
  <c r="Q55" i="4"/>
  <c r="Q56" i="4" s="1"/>
  <c r="K47" i="4"/>
  <c r="N41" i="4" l="1"/>
  <c r="O40" i="4"/>
  <c r="N35" i="4"/>
  <c r="O35" i="4" s="1"/>
  <c r="O34" i="4"/>
  <c r="D47" i="4"/>
  <c r="E47" i="4"/>
  <c r="F47" i="4"/>
  <c r="C47" i="4"/>
  <c r="D11" i="5"/>
  <c r="E11" i="5"/>
  <c r="F11" i="5"/>
  <c r="G11" i="5"/>
  <c r="H11" i="5"/>
  <c r="I11" i="5"/>
  <c r="J11" i="5"/>
  <c r="K11" i="5"/>
  <c r="D15" i="5"/>
  <c r="E15" i="5"/>
  <c r="F15" i="5"/>
  <c r="G15" i="5"/>
  <c r="D20" i="5"/>
  <c r="E20" i="5"/>
  <c r="F20" i="5"/>
  <c r="G20" i="5"/>
  <c r="B18" i="5"/>
  <c r="C18" i="5"/>
  <c r="L18" i="5" s="1"/>
  <c r="B19" i="5"/>
  <c r="C19" i="5"/>
  <c r="L19" i="5" s="1"/>
  <c r="B24" i="5"/>
  <c r="C24" i="5"/>
  <c r="L24" i="5" s="1"/>
  <c r="B25" i="5"/>
  <c r="C25" i="5"/>
  <c r="L25" i="5" s="1"/>
  <c r="C23" i="5"/>
  <c r="L23" i="5" s="1"/>
  <c r="B23" i="5"/>
  <c r="C22" i="5"/>
  <c r="L22" i="5" s="1"/>
  <c r="B22" i="5"/>
  <c r="C21" i="5"/>
  <c r="L21" i="5" s="1"/>
  <c r="B21" i="5"/>
  <c r="C17" i="5"/>
  <c r="L17" i="5" s="1"/>
  <c r="B17" i="5"/>
  <c r="C16" i="5"/>
  <c r="L16" i="5" s="1"/>
  <c r="B16" i="5"/>
  <c r="C12" i="5"/>
  <c r="L12" i="5" s="1"/>
  <c r="C13" i="5"/>
  <c r="L13" i="5" s="1"/>
  <c r="C14" i="5"/>
  <c r="L14" i="5" s="1"/>
  <c r="B13" i="5"/>
  <c r="B14" i="5"/>
  <c r="B12" i="5"/>
  <c r="D9" i="6"/>
  <c r="B4" i="6"/>
  <c r="K7" i="5"/>
  <c r="P6" i="4"/>
  <c r="B6" i="4"/>
  <c r="M5" i="2"/>
  <c r="A5" i="2"/>
  <c r="A4" i="5"/>
  <c r="A3" i="5"/>
  <c r="B4" i="4"/>
  <c r="B3" i="4"/>
  <c r="I47" i="4"/>
  <c r="H47" i="4"/>
  <c r="K46" i="4"/>
  <c r="K45" i="4"/>
  <c r="K44" i="4"/>
  <c r="K43" i="4"/>
  <c r="K42" i="4"/>
  <c r="K41" i="4"/>
  <c r="K40" i="4"/>
  <c r="S40" i="4" s="1"/>
  <c r="K39" i="4"/>
  <c r="S39" i="4" s="1"/>
  <c r="K38" i="4"/>
  <c r="S38" i="4" s="1"/>
  <c r="K37" i="4"/>
  <c r="S37" i="4" s="1"/>
  <c r="K36" i="4"/>
  <c r="S36" i="4" s="1"/>
  <c r="K35" i="4"/>
  <c r="K34" i="4"/>
  <c r="K33" i="4"/>
  <c r="S33" i="4" s="1"/>
  <c r="K32" i="4"/>
  <c r="S32" i="4" s="1"/>
  <c r="K31" i="4"/>
  <c r="S31" i="4" s="1"/>
  <c r="K30" i="4"/>
  <c r="S30" i="4" s="1"/>
  <c r="K29" i="4"/>
  <c r="S29" i="4" s="1"/>
  <c r="M28" i="4"/>
  <c r="L28" i="4"/>
  <c r="J28" i="4"/>
  <c r="I28" i="4"/>
  <c r="H28" i="4"/>
  <c r="F28" i="4"/>
  <c r="E28" i="4"/>
  <c r="G28" i="4" s="1"/>
  <c r="D28" i="4"/>
  <c r="C28" i="4"/>
  <c r="K27" i="4"/>
  <c r="S27" i="4" s="1"/>
  <c r="K26" i="4"/>
  <c r="S26" i="4" s="1"/>
  <c r="K25" i="4"/>
  <c r="S25" i="4" s="1"/>
  <c r="K24" i="4"/>
  <c r="S24" i="4" s="1"/>
  <c r="K23" i="4"/>
  <c r="S23" i="4" s="1"/>
  <c r="K22" i="4"/>
  <c r="S22" i="4" s="1"/>
  <c r="K21" i="4"/>
  <c r="S21" i="4" s="1"/>
  <c r="K20" i="4"/>
  <c r="S20" i="4" s="1"/>
  <c r="K19" i="4"/>
  <c r="S19" i="4" s="1"/>
  <c r="K18" i="4"/>
  <c r="S18" i="4" s="1"/>
  <c r="K17" i="4"/>
  <c r="S17" i="4" s="1"/>
  <c r="K16" i="4"/>
  <c r="S16" i="4" s="1"/>
  <c r="K15" i="4"/>
  <c r="S15" i="4" s="1"/>
  <c r="K14" i="4"/>
  <c r="S14" i="4" s="1"/>
  <c r="K13" i="4"/>
  <c r="S13" i="4" s="1"/>
  <c r="K12" i="4"/>
  <c r="S12" i="4" s="1"/>
  <c r="K11" i="4"/>
  <c r="S11" i="4" s="1"/>
  <c r="K10" i="4"/>
  <c r="S10" i="4" s="1"/>
  <c r="P9" i="4"/>
  <c r="P55" i="4" s="1"/>
  <c r="P56" i="4" s="1"/>
  <c r="O9" i="4"/>
  <c r="N9" i="4"/>
  <c r="M9" i="4"/>
  <c r="L9" i="4"/>
  <c r="J9" i="4"/>
  <c r="J55" i="4" s="1"/>
  <c r="J56" i="4" s="1"/>
  <c r="I9" i="4"/>
  <c r="H9" i="4"/>
  <c r="F9" i="4"/>
  <c r="E9" i="4"/>
  <c r="G9" i="4" s="1"/>
  <c r="D9" i="4"/>
  <c r="C9" i="4"/>
  <c r="K109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4" i="2"/>
  <c r="D38" i="1"/>
  <c r="D35" i="1"/>
  <c r="D32" i="1"/>
  <c r="D29" i="1"/>
  <c r="D26" i="1"/>
  <c r="D24" i="1"/>
  <c r="D15" i="1"/>
  <c r="D11" i="1"/>
  <c r="D8" i="1"/>
  <c r="A3" i="2"/>
  <c r="H122" i="2"/>
  <c r="K108" i="2"/>
  <c r="N107" i="2"/>
  <c r="N106" i="2"/>
  <c r="N105" i="2"/>
  <c r="N104" i="2"/>
  <c r="N103" i="2"/>
  <c r="N102" i="2"/>
  <c r="N101" i="2"/>
  <c r="N100" i="2"/>
  <c r="N89" i="2"/>
  <c r="N88" i="2"/>
  <c r="N87" i="2"/>
  <c r="N86" i="2"/>
  <c r="N85" i="2"/>
  <c r="N84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42" i="4" l="1"/>
  <c r="O41" i="4"/>
  <c r="S34" i="4"/>
  <c r="S35" i="4"/>
  <c r="B20" i="5"/>
  <c r="B15" i="5"/>
  <c r="B11" i="5"/>
  <c r="C15" i="5"/>
  <c r="L15" i="5" s="1"/>
  <c r="C11" i="5"/>
  <c r="L11" i="5" s="1"/>
  <c r="C20" i="5"/>
  <c r="L20" i="5" s="1"/>
  <c r="L55" i="4"/>
  <c r="L56" i="4" s="1"/>
  <c r="C55" i="4"/>
  <c r="C56" i="4" s="1"/>
  <c r="M55" i="4"/>
  <c r="I55" i="4"/>
  <c r="I56" i="4" s="1"/>
  <c r="G47" i="4"/>
  <c r="D55" i="4"/>
  <c r="D56" i="4" s="1"/>
  <c r="H55" i="4"/>
  <c r="H56" i="4" s="1"/>
  <c r="K9" i="4"/>
  <c r="K28" i="4"/>
  <c r="F55" i="4"/>
  <c r="F56" i="4" s="1"/>
  <c r="E55" i="4"/>
  <c r="E56" i="4" s="1"/>
  <c r="O42" i="4" l="1"/>
  <c r="N43" i="4"/>
  <c r="S42" i="4"/>
  <c r="S41" i="4"/>
  <c r="K55" i="4"/>
  <c r="K57" i="4" s="1"/>
  <c r="G55" i="4"/>
  <c r="M57" i="4"/>
  <c r="D21" i="1"/>
  <c r="D18" i="1" s="1"/>
  <c r="D14" i="1" s="1"/>
  <c r="D7" i="1" s="1"/>
  <c r="N44" i="4" l="1"/>
  <c r="O43" i="4"/>
  <c r="S43" i="4"/>
  <c r="K56" i="4"/>
  <c r="O44" i="4" l="1"/>
  <c r="S44" i="4" s="1"/>
  <c r="N45" i="4"/>
  <c r="N46" i="4" l="1"/>
  <c r="O45" i="4"/>
  <c r="S45" i="4"/>
  <c r="O46" i="4" l="1"/>
  <c r="O28" i="4" s="1"/>
  <c r="O55" i="4" s="1"/>
  <c r="N28" i="4"/>
  <c r="N55" i="4" s="1"/>
  <c r="S46" i="4" l="1"/>
  <c r="N57" i="4"/>
  <c r="O57" i="4"/>
  <c r="O47" i="4"/>
  <c r="O56" i="4" s="1"/>
  <c r="S54" i="4"/>
  <c r="S53" i="4"/>
  <c r="S50" i="4"/>
  <c r="S51" i="4"/>
  <c r="S49" i="4"/>
  <c r="S48" i="4"/>
  <c r="M47" i="4"/>
  <c r="M56" i="4" s="1"/>
  <c r="S52" i="4"/>
  <c r="N47" i="4"/>
  <c r="N56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</author>
  </authors>
  <commentList>
    <comment ref="B18" authorId="0" shapeId="0" xr:uid="{EAD5B660-4939-41C0-B78E-4D81D11D4A04}">
      <text>
        <r>
          <rPr>
            <sz val="9"/>
            <color indexed="81"/>
            <rFont val="Tahoma"/>
            <family val="2"/>
          </rPr>
          <t>Харилцагчдад санал болгож байгаа (зөвхөн олгосон биш) бүтээгдэхүүний хувьд оруулна.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  <author>Munkhjavkhlan M</author>
  </authors>
  <commentList>
    <comment ref="D6" authorId="0" shapeId="0" xr:uid="{2669A157-2A87-4EC8-ADB3-D2C851BB0D9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G6" authorId="1" shapeId="0" xr:uid="{96B783BC-F6CF-4D97-9C9F-F4F48422E8B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H6" authorId="1" shapeId="0" xr:uid="{3A12616C-4623-4601-939D-B2CCA8DE25FF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1" shapeId="0" xr:uid="{2798FF4A-6CEB-4EF3-B139-9C905D83A3F2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6" authorId="1" shapeId="0" xr:uid="{CB22D7FC-4D81-411B-99D5-8FC4360D81E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M6" authorId="1" shapeId="0" xr:uid="{87D20645-2A4A-4D84-975D-195174E2712E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<sst xmlns="http://schemas.openxmlformats.org/spreadsheetml/2006/main" count="374" uniqueCount="199">
  <si>
    <t>ФАКТОРИНГИЙН ҮЙЛЧИЛГЭЭ АВЛАГА (ЦЭВРЭЭР)</t>
  </si>
  <si>
    <t>Хэвийн факторингийн тооцооны авлага</t>
  </si>
  <si>
    <t>Факторингийн үйлчилгээний өглөг</t>
  </si>
  <si>
    <t>Факторингийн тооцоогоор үүссэн авлага /төгрөг/</t>
  </si>
  <si>
    <t>Факторингийн үйлчилгээний өглөг /төгрөг/</t>
  </si>
  <si>
    <t>Факторингийн тооцоогоор үүссэн авлага /гадаад валют/</t>
  </si>
  <si>
    <t>Факторингийн үйлчилгээний өглөг /гадаад валют/</t>
  </si>
  <si>
    <t>Анхаарал хандуулах факторингийн тооцооны авлага</t>
  </si>
  <si>
    <t>Чанаргүй факторингийн тооцооны авлага</t>
  </si>
  <si>
    <t>Хэвийн бус факторингийн тооцооны авлага</t>
  </si>
  <si>
    <t>Эргэлзээтэй факторингийн тооцооны авлага</t>
  </si>
  <si>
    <t>Муу факторингийн тооцооны авлага</t>
  </si>
  <si>
    <t>Факторингийн авлагын эрсдэлийн сан</t>
  </si>
  <si>
    <t>Хуримтлуулж тооцсон факторингийн үйлчилгээний  хүүгийн авлага</t>
  </si>
  <si>
    <t>Хугацаандаа байгаа факторингийн үйлчилгээний хүүгийн орлого</t>
  </si>
  <si>
    <t>Хуримтлуулж тооцсон факторингийн үйлчилгээний авлага /төгрөг/</t>
  </si>
  <si>
    <t>Хугацаа хэтэрсэн факторингийн үйлчилгээний хүүгийн орлого</t>
  </si>
  <si>
    <t>Хуримтлуулж тооцсон факторингийн үйлчилгээний авлага /гадаад валют/</t>
  </si>
  <si>
    <t>Факторингийн үйлчилгээний эрсдэлийн зардал</t>
  </si>
  <si>
    <t>Факторинг болон түүнтэй холбоотой авлагыг барагдуулахтай холбогдон гарсан зардал</t>
  </si>
  <si>
    <t>Хуримтлуулж тооцохыг зогсоосон факторингийн хүү</t>
  </si>
  <si>
    <t>Бусад хүүгийн орлого</t>
  </si>
  <si>
    <t>Үндсэн үйл ажиллагааны зардал</t>
  </si>
  <si>
    <t>Факторингийн тооцоо</t>
  </si>
  <si>
    <t>№</t>
  </si>
  <si>
    <t>Ажил эрхлэлт</t>
  </si>
  <si>
    <t>Зориулалт</t>
  </si>
  <si>
    <t>Олгосон огноо</t>
  </si>
  <si>
    <t>Төлөгдөх огноо</t>
  </si>
  <si>
    <t>Хугацаа сунгасан төлөгдөх огноо</t>
  </si>
  <si>
    <t>Төгрөгийн зээл валютын зээлийн аль нь болох</t>
  </si>
  <si>
    <t>Овог, нэр</t>
  </si>
  <si>
    <t>Регистр</t>
  </si>
  <si>
    <t>НИЙТ</t>
  </si>
  <si>
    <t>Хамгийн том зээлдэгч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</si>
  <si>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</t>
  </si>
  <si>
    <t>ТАМГА</t>
  </si>
  <si>
    <t>Барилга</t>
  </si>
  <si>
    <t xml:space="preserve">Хэвийн </t>
  </si>
  <si>
    <t>Уул уурхай</t>
  </si>
  <si>
    <t>Үйлдвэрлэл</t>
  </si>
  <si>
    <t>Хэвийн бус</t>
  </si>
  <si>
    <t>Үйлчилгээ</t>
  </si>
  <si>
    <t>Эргэлзээтэй</t>
  </si>
  <si>
    <t>Газар тариалан</t>
  </si>
  <si>
    <t>Муу</t>
  </si>
  <si>
    <t>Мал аж ахуй</t>
  </si>
  <si>
    <t>Бусад</t>
  </si>
  <si>
    <t>Орон сууц</t>
  </si>
  <si>
    <t>Цалин</t>
  </si>
  <si>
    <t>Тээврийн хэрэгсэл</t>
  </si>
  <si>
    <t>Өрхийн</t>
  </si>
  <si>
    <t>Сургалтын төлбөр</t>
  </si>
  <si>
    <t xml:space="preserve">Бусад </t>
  </si>
  <si>
    <t>Аж ахуйн нэгжийн ажилтан</t>
  </si>
  <si>
    <t>Малчин</t>
  </si>
  <si>
    <t>Оюутан</t>
  </si>
  <si>
    <t>Төрийн албан хаагч</t>
  </si>
  <si>
    <t>Тэтгэвэрт</t>
  </si>
  <si>
    <t>Хувиараа хөдөлмөр эрхлэгч</t>
  </si>
  <si>
    <t>Хуулийн этгээд</t>
  </si>
  <si>
    <t>Төгрөг</t>
  </si>
  <si>
    <t>Валют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</si>
  <si>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</si>
  <si>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</si>
  <si>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</si>
  <si>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</si>
  <si>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</si>
  <si>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</si>
  <si>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Боловсрол</t>
  </si>
  <si>
    <t>ФАКТОРИНГИЙН ДАНСНЫ ЕРӨНХИЙ МЭДЭЭЛЭЛ</t>
  </si>
  <si>
    <t>100 ТОМ ФАКТОРИНГИЙН ХАРИЛЦАГЧИД ОЛГОСОН ФАКТОРИНГИЙН ҮЙЛЧИЛГЭЭНИЙ АВЛАГЫН ТАЙЛАН</t>
  </si>
  <si>
    <t>Факторингийн зориулалт</t>
  </si>
  <si>
    <t>Факторингийн эхний үлдэгдэл</t>
  </si>
  <si>
    <t>Факторингийн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</si>
  <si>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</si>
  <si>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</si>
  <si>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</si>
  <si>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</si>
  <si>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</si>
  <si>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</si>
  <si>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</si>
  <si>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</si>
  <si>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>XXXXX</t>
  </si>
  <si>
    <t xml:space="preserve">            НИЙТ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</si>
  <si>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</si>
  <si>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 xml:space="preserve">2. Хуулийн этгээдэд олгосон </t>
  </si>
  <si>
    <t>Олгосон санхүүжилт</t>
  </si>
  <si>
    <t>Төлөгдсөн дүн</t>
  </si>
  <si>
    <t>ЖДХ /сараар/</t>
  </si>
  <si>
    <t>Валютаар санхүүжүүлсэн факторингийн ханшийн зөрүү /олз (+), гарз (-)/</t>
  </si>
  <si>
    <t>1 сар хүртэлх хугацаатай олгосон</t>
  </si>
  <si>
    <t>1-3 сарын хугацаатай олгосон</t>
  </si>
  <si>
    <t>3-6 сарын хугацаатай олгосон</t>
  </si>
  <si>
    <t>6-12 сарын хугацаатай олгосон</t>
  </si>
  <si>
    <t>1-2.5 жилийн хугацаатай олгосон</t>
  </si>
  <si>
    <t>2.6-5 жилийн хугацаатай олгосон</t>
  </si>
  <si>
    <t>5-аас дээш жилийн хугацаатай олгосон</t>
  </si>
  <si>
    <t>ФАКТОРИНГИЙН СУДАЛГААНЫ ТАЙЛАН</t>
  </si>
  <si>
    <t>ЖЕНДЕРИЙН ТАЙЛАН</t>
  </si>
  <si>
    <t xml:space="preserve">Нийт </t>
  </si>
  <si>
    <t>Эр</t>
  </si>
  <si>
    <t>Эм</t>
  </si>
  <si>
    <t>Дүн</t>
  </si>
  <si>
    <t>Тоо</t>
  </si>
  <si>
    <t>Үүнээс эмэгтэй гүйцэтгэх захиралтай хуулийн этгээдийн</t>
  </si>
  <si>
    <t>18-35 насны</t>
  </si>
  <si>
    <t>36-45 насны</t>
  </si>
  <si>
    <t>46-55 насны</t>
  </si>
  <si>
    <t>55-аас дээш</t>
  </si>
  <si>
    <t>Дээд</t>
  </si>
  <si>
    <t>Тусгай дунд</t>
  </si>
  <si>
    <t>Бүрэн дунд</t>
  </si>
  <si>
    <t>Дунд</t>
  </si>
  <si>
    <t>Бага</t>
  </si>
  <si>
    <t xml:space="preserve">             ТАЙЛАНГ ҮНЭН ЗӨВ ГАРГАСАН:</t>
  </si>
  <si>
    <t>Д/д</t>
  </si>
  <si>
    <t>СТАТИСТИК МЭДЭЭЛЭЛ</t>
  </si>
  <si>
    <t>ДҮН</t>
  </si>
  <si>
    <t>Нийт ажилтнуудын тоо</t>
  </si>
  <si>
    <t xml:space="preserve">Холбоо барих </t>
  </si>
  <si>
    <t>Бүтээгдэхүүн үйлчилгээний мэдээлэл</t>
  </si>
  <si>
    <t>Факторинг</t>
  </si>
  <si>
    <t>Факторингийн үйлчилгээний авлагын ДҮН</t>
  </si>
  <si>
    <t>дээд хэмжээ</t>
  </si>
  <si>
    <t>доод хэмжээ</t>
  </si>
  <si>
    <t>Факторингийн үйлчилгээний авлагын ХҮҮ</t>
  </si>
  <si>
    <t>дээд хүү/өгөөж</t>
  </si>
  <si>
    <t>доод хүү/өгөөж</t>
  </si>
  <si>
    <t>Факторингийн үйлчилгээний авлагын ШИМТГЭЛ</t>
  </si>
  <si>
    <t>Факторингийн үйлчилгээний авлагын ХУРААМЖ</t>
  </si>
  <si>
    <t>Факторингийн үйлчилгээний авлагын ХУГАЦАА</t>
  </si>
  <si>
    <t>Факторингийн гэрээ байгуулсан /анхны/ дүн</t>
  </si>
  <si>
    <t>Факторингийн харилцагчийн</t>
  </si>
  <si>
    <t>Хүү /сараар/</t>
  </si>
  <si>
    <t>Факторингийн ангилал</t>
  </si>
  <si>
    <t>2. 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</si>
  <si>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</si>
  <si>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</si>
  <si>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Бөөний болон жижиглэн худалдаа; машин, мотоциклийн засвар, үйлчилгээ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</si>
  <si>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</si>
  <si>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</si>
  <si>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</si>
  <si>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</si>
  <si>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</si>
  <si>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Хүний эрүүл мэнд, нийгмийн халамжийн үйл ажиллагаа</t>
  </si>
  <si>
    <t>(мянган төгрөгөөр)</t>
  </si>
  <si>
    <t>Үүнээс:  Эрэгтэй ажилтны тоо</t>
  </si>
  <si>
    <t xml:space="preserve"> Эмэгтэй ажилтны тоо</t>
  </si>
  <si>
    <t>Тайлан оруулсан ажилтны гар утасны дугаар</t>
  </si>
  <si>
    <t>БАНК</t>
  </si>
  <si>
    <t>Харилцагчдийн жендерийн судалгаа</t>
  </si>
  <si>
    <t>Харилцагчдийн тоо</t>
  </si>
  <si>
    <t>Харилцагчдийн насжилт</t>
  </si>
  <si>
    <t>Харилцагчдийн боловсрол</t>
  </si>
  <si>
    <t>Факторингийн авлагын дүн</t>
  </si>
  <si>
    <t>Факторингийн харилцагчдийн тоо</t>
  </si>
  <si>
    <t xml:space="preserve">Иргэнд олгосон </t>
  </si>
  <si>
    <t>Факторинг хугацааны ангиллаар</t>
  </si>
  <si>
    <r>
      <t>2. Нүдэнд (cell) аливаа бодолт хийж болохгүй. /</t>
    </r>
    <r>
      <rPr>
        <sz val="10"/>
        <color indexed="10"/>
        <rFont val="Times New Roman"/>
        <family val="1"/>
      </rPr>
      <t>(=20+200 ) эсвэл ( =A1+A2) бичилт оруулахыг хориглоно</t>
    </r>
    <r>
      <rPr>
        <sz val="10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10"/>
        <color indexed="10"/>
        <rFont val="Times New Roman"/>
        <family val="1"/>
      </rPr>
      <t>зөв 200,265.23 | буруу 200,236.256</t>
    </r>
    <r>
      <rPr>
        <sz val="10"/>
        <color indexed="8"/>
        <rFont val="Times New Roman"/>
        <family val="1"/>
      </rPr>
      <t>/ байхыг анхаарна уу.</t>
    </r>
  </si>
  <si>
    <t>Байгууллагын утасны дугаар</t>
  </si>
  <si>
    <t>Мэдээлэл хүргүүлэх цахим шуудан /e-mail хаяг/</t>
  </si>
  <si>
    <t>БАЙГУУЛЛАГЫН МЭДЭЭЛЭЛ</t>
  </si>
  <si>
    <t>ГҮЙЦЭТГЭХ ЗАХИРАЛ...........BOLD..........//</t>
  </si>
  <si>
    <t>ЕРӨНХИЙ НЯГТЛАН БОДОГЧ..............BAT............//</t>
  </si>
  <si>
    <t>БАТАА</t>
  </si>
  <si>
    <t>БОЛДОО</t>
  </si>
  <si>
    <t>ЦЭЦЭГЭЭ</t>
  </si>
  <si>
    <t>НАВЧАА</t>
  </si>
  <si>
    <t>САРАА</t>
  </si>
  <si>
    <t>НАРАА</t>
  </si>
  <si>
    <t>БАЯРАА</t>
  </si>
  <si>
    <t>САЙХНАА</t>
  </si>
  <si>
    <t>НОМИО</t>
  </si>
  <si>
    <t>ЭРДЭНЭЭ</t>
  </si>
  <si>
    <t>ЗАМИЛАН</t>
  </si>
  <si>
    <t>ЭРКА</t>
  </si>
  <si>
    <t xml:space="preserve">ЖАВЗАН </t>
  </si>
  <si>
    <t>ЯНЖАА</t>
  </si>
  <si>
    <t>ДАШКА</t>
  </si>
  <si>
    <t>САЙНАА</t>
  </si>
  <si>
    <t>МӨНКҮЛ</t>
  </si>
  <si>
    <t>ЧУКА</t>
  </si>
  <si>
    <t>ШИНЭЭ</t>
  </si>
  <si>
    <t>УЯНГАА</t>
  </si>
  <si>
    <t>МЯГМАР</t>
  </si>
  <si>
    <t>ИТГЭЛ</t>
  </si>
  <si>
    <t>СҮРЭН</t>
  </si>
  <si>
    <t>ЦАЦАА</t>
  </si>
  <si>
    <t>ЖАРГАЛ</t>
  </si>
  <si>
    <t>ХЖ99887766</t>
  </si>
  <si>
    <t>ДС66554411</t>
  </si>
  <si>
    <t>ЛК11223344</t>
  </si>
  <si>
    <t>ҮЭ99887755</t>
  </si>
  <si>
    <t>ФСД6665447</t>
  </si>
  <si>
    <t>ДАС445656699</t>
  </si>
  <si>
    <t>ӨҮЭ121224</t>
  </si>
  <si>
    <t>ДА11313115</t>
  </si>
  <si>
    <t>ХУДАЛДАА ХӨГЖИЛ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</si>
</sst>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Times New Roman"/>
      <family val="1"/>
    </font>
    <font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2"/>
    </font>
    <font>
      <sz val="9"/>
      <color rgb="FF000000"/>
      <name val="Times New Roman"/>
      <family val="1"/>
    </font>
    <font>
      <u/>
      <sz val="11"/>
      <color theme="10"/>
      <name val="Times New Roman"/>
      <family val="2"/>
    </font>
    <font>
      <b/>
      <sz val="10"/>
      <color theme="0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FF"/>
      <name val="Times New Roman"/>
      <family val="1"/>
    </font>
    <font>
      <b/>
      <i/>
      <sz val="11"/>
      <color theme="0"/>
      <name val="Times New Roman"/>
      <family val="1"/>
    </font>
    <font>
      <sz val="10"/>
      <color theme="0"/>
      <name val="Times New Roman"/>
      <family val="1"/>
    </font>
    <font>
      <u/>
      <sz val="9"/>
      <color theme="10"/>
      <name val="Times New Roman"/>
      <family val="2"/>
    </font>
    <font>
      <b/>
      <i/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rgb="FFD6E3B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7" fillId="0" borderId="0" applyNumberFormat="0" applyFill="0" applyBorder="0" applyAlignment="0" applyProtection="0"/>
  </cellStyleXfs>
  <cellXfs count="311">
    <xf numFmtId="0" fontId="0" fillId="0" borderId="0" xfId="0"/>
    <xf numFmtId="14" fontId="7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43" fontId="7" fillId="0" borderId="0" xfId="1" applyFont="1" applyAlignment="1">
      <alignment horizontal="right"/>
    </xf>
    <xf numFmtId="0" fontId="7" fillId="0" borderId="0" xfId="0" applyFont="1"/>
    <xf numFmtId="43" fontId="7" fillId="0" borderId="0" xfId="1" applyFont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/>
      <protection locked="0"/>
    </xf>
    <xf numFmtId="164" fontId="12" fillId="0" borderId="1" xfId="3" applyNumberFormat="1" applyFont="1" applyBorder="1" applyProtection="1">
      <protection locked="0"/>
    </xf>
    <xf numFmtId="165" fontId="12" fillId="0" borderId="4" xfId="2" applyNumberFormat="1" applyFont="1" applyBorder="1" applyAlignment="1" applyProtection="1">
      <alignment horizontal="right"/>
      <protection locked="0"/>
    </xf>
    <xf numFmtId="43" fontId="12" fillId="0" borderId="1" xfId="1" applyFont="1" applyBorder="1" applyProtection="1">
      <protection locked="0"/>
    </xf>
    <xf numFmtId="43" fontId="3" fillId="0" borderId="1" xfId="1" applyFont="1" applyBorder="1" applyAlignment="1" applyProtection="1">
      <alignment wrapText="1"/>
      <protection locked="0"/>
    </xf>
    <xf numFmtId="43" fontId="12" fillId="0" borderId="1" xfId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65" fontId="3" fillId="0" borderId="4" xfId="2" applyNumberFormat="1" applyFont="1" applyBorder="1" applyAlignment="1" applyProtection="1">
      <alignment horizontal="right"/>
      <protection locked="0"/>
    </xf>
    <xf numFmtId="43" fontId="3" fillId="0" borderId="1" xfId="1" applyFont="1" applyBorder="1" applyProtection="1">
      <protection locked="0"/>
    </xf>
    <xf numFmtId="0" fontId="3" fillId="0" borderId="4" xfId="0" applyFont="1" applyBorder="1" applyAlignment="1" applyProtection="1">
      <alignment horizontal="left"/>
      <protection locked="0"/>
    </xf>
    <xf numFmtId="166" fontId="22" fillId="0" borderId="1" xfId="1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43" fontId="7" fillId="0" borderId="6" xfId="1" applyFont="1" applyBorder="1" applyProtection="1">
      <protection locked="0"/>
    </xf>
    <xf numFmtId="43" fontId="7" fillId="0" borderId="1" xfId="1" applyFont="1" applyBorder="1" applyProtection="1">
      <protection locked="0"/>
    </xf>
    <xf numFmtId="0" fontId="7" fillId="4" borderId="1" xfId="0" applyFont="1" applyFill="1" applyBorder="1" applyAlignment="1">
      <alignment vertical="center"/>
    </xf>
    <xf numFmtId="165" fontId="7" fillId="4" borderId="1" xfId="2" applyNumberFormat="1" applyFont="1" applyFill="1" applyBorder="1" applyProtection="1">
      <protection locked="0"/>
    </xf>
    <xf numFmtId="43" fontId="7" fillId="4" borderId="1" xfId="1" applyFont="1" applyFill="1" applyBorder="1" applyProtection="1">
      <protection locked="0"/>
    </xf>
    <xf numFmtId="166" fontId="7" fillId="0" borderId="0" xfId="1" applyNumberFormat="1" applyFont="1" applyProtection="1"/>
    <xf numFmtId="166" fontId="25" fillId="0" borderId="0" xfId="1" applyNumberFormat="1" applyFont="1" applyProtection="1"/>
    <xf numFmtId="0" fontId="21" fillId="7" borderId="11" xfId="1" applyNumberFormat="1" applyFont="1" applyFill="1" applyBorder="1" applyAlignment="1" applyProtection="1">
      <alignment horizontal="left"/>
    </xf>
    <xf numFmtId="43" fontId="21" fillId="7" borderId="11" xfId="1" applyFont="1" applyFill="1" applyBorder="1" applyAlignment="1" applyProtection="1"/>
    <xf numFmtId="0" fontId="7" fillId="0" borderId="6" xfId="1" applyNumberFormat="1" applyFont="1" applyBorder="1" applyAlignment="1" applyProtection="1">
      <alignment horizontal="left" indent="1"/>
    </xf>
    <xf numFmtId="43" fontId="7" fillId="4" borderId="6" xfId="1" applyFont="1" applyFill="1" applyBorder="1" applyAlignment="1" applyProtection="1"/>
    <xf numFmtId="43" fontId="7" fillId="0" borderId="6" xfId="1" applyFont="1" applyBorder="1" applyAlignment="1" applyProtection="1">
      <protection locked="0"/>
    </xf>
    <xf numFmtId="0" fontId="7" fillId="0" borderId="6" xfId="0" applyFont="1" applyBorder="1" applyProtection="1">
      <protection locked="0"/>
    </xf>
    <xf numFmtId="0" fontId="7" fillId="0" borderId="1" xfId="1" applyNumberFormat="1" applyFont="1" applyBorder="1" applyAlignment="1" applyProtection="1">
      <alignment horizontal="left" indent="1"/>
    </xf>
    <xf numFmtId="43" fontId="7" fillId="0" borderId="1" xfId="1" applyFont="1" applyBorder="1" applyAlignment="1" applyProtection="1">
      <protection locked="0"/>
    </xf>
    <xf numFmtId="0" fontId="7" fillId="0" borderId="2" xfId="1" applyNumberFormat="1" applyFont="1" applyBorder="1" applyAlignment="1" applyProtection="1">
      <alignment horizontal="left" indent="1"/>
    </xf>
    <xf numFmtId="43" fontId="7" fillId="0" borderId="2" xfId="1" applyFont="1" applyBorder="1" applyAlignment="1" applyProtection="1">
      <protection locked="0"/>
    </xf>
    <xf numFmtId="0" fontId="7" fillId="0" borderId="2" xfId="0" applyFont="1" applyBorder="1" applyProtection="1">
      <protection locked="0"/>
    </xf>
    <xf numFmtId="0" fontId="21" fillId="7" borderId="1" xfId="1" applyNumberFormat="1" applyFont="1" applyFill="1" applyBorder="1" applyAlignment="1" applyProtection="1">
      <alignment horizontal="left"/>
    </xf>
    <xf numFmtId="43" fontId="21" fillId="7" borderId="1" xfId="1" applyFont="1" applyFill="1" applyBorder="1" applyAlignment="1" applyProtection="1"/>
    <xf numFmtId="0" fontId="7" fillId="0" borderId="1" xfId="1" quotePrefix="1" applyNumberFormat="1" applyFont="1" applyBorder="1" applyAlignment="1" applyProtection="1">
      <alignment horizontal="left" indent="1"/>
    </xf>
    <xf numFmtId="43" fontId="7" fillId="0" borderId="0" xfId="1" applyFont="1" applyAlignment="1" applyProtection="1">
      <alignment vertical="center"/>
    </xf>
    <xf numFmtId="43" fontId="7" fillId="0" borderId="0" xfId="1" applyFont="1" applyAlignment="1" applyProtection="1">
      <alignment horizontal="left" vertical="center"/>
    </xf>
    <xf numFmtId="0" fontId="12" fillId="0" borderId="6" xfId="0" applyFont="1" applyBorder="1" applyAlignment="1" applyProtection="1">
      <alignment horizontal="left"/>
      <protection locked="0"/>
    </xf>
    <xf numFmtId="0" fontId="12" fillId="0" borderId="8" xfId="0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/>
      <protection locked="0"/>
    </xf>
    <xf numFmtId="164" fontId="12" fillId="0" borderId="6" xfId="3" applyNumberFormat="1" applyFont="1" applyBorder="1" applyProtection="1">
      <protection locked="0"/>
    </xf>
    <xf numFmtId="165" fontId="12" fillId="0" borderId="8" xfId="2" applyNumberFormat="1" applyFont="1" applyBorder="1" applyAlignment="1" applyProtection="1">
      <alignment horizontal="right"/>
      <protection locked="0"/>
    </xf>
    <xf numFmtId="164" fontId="12" fillId="0" borderId="6" xfId="3" applyNumberFormat="1" applyFont="1" applyBorder="1" applyAlignment="1" applyProtection="1">
      <protection locked="0"/>
    </xf>
    <xf numFmtId="14" fontId="12" fillId="0" borderId="6" xfId="0" applyNumberFormat="1" applyFont="1" applyBorder="1" applyAlignment="1" applyProtection="1">
      <alignment horizontal="center" vertical="center"/>
      <protection locked="0"/>
    </xf>
    <xf numFmtId="43" fontId="12" fillId="0" borderId="6" xfId="1" applyFont="1" applyBorder="1" applyProtection="1">
      <protection locked="0"/>
    </xf>
    <xf numFmtId="164" fontId="12" fillId="0" borderId="6" xfId="3" applyNumberFormat="1" applyFont="1" applyBorder="1" applyAlignment="1" applyProtection="1">
      <alignment horizontal="center"/>
      <protection locked="0"/>
    </xf>
    <xf numFmtId="164" fontId="13" fillId="0" borderId="6" xfId="3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164" fontId="12" fillId="0" borderId="2" xfId="3" applyNumberFormat="1" applyFont="1" applyBorder="1" applyProtection="1">
      <protection locked="0"/>
    </xf>
    <xf numFmtId="165" fontId="3" fillId="0" borderId="5" xfId="2" applyNumberFormat="1" applyFont="1" applyBorder="1" applyAlignment="1" applyProtection="1">
      <alignment horizontal="right"/>
      <protection locked="0"/>
    </xf>
    <xf numFmtId="43" fontId="3" fillId="0" borderId="2" xfId="1" applyFont="1" applyBorder="1" applyProtection="1">
      <protection locked="0"/>
    </xf>
    <xf numFmtId="164" fontId="11" fillId="0" borderId="0" xfId="3" applyNumberFormat="1" applyFont="1" applyFill="1" applyBorder="1" applyProtection="1"/>
    <xf numFmtId="164" fontId="18" fillId="7" borderId="11" xfId="3" applyNumberFormat="1" applyFont="1" applyFill="1" applyBorder="1" applyProtection="1"/>
    <xf numFmtId="0" fontId="21" fillId="7" borderId="11" xfId="0" applyFont="1" applyFill="1" applyBorder="1" applyAlignment="1">
      <alignment vertical="center"/>
    </xf>
    <xf numFmtId="0" fontId="21" fillId="7" borderId="11" xfId="0" applyFont="1" applyFill="1" applyBorder="1" applyAlignment="1">
      <alignment horizontal="right" vertical="center"/>
    </xf>
    <xf numFmtId="43" fontId="21" fillId="7" borderId="11" xfId="1" applyFont="1" applyFill="1" applyBorder="1" applyAlignment="1">
      <alignment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43" fontId="7" fillId="4" borderId="6" xfId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right" vertical="center"/>
    </xf>
    <xf numFmtId="43" fontId="7" fillId="4" borderId="1" xfId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right" vertical="center"/>
    </xf>
    <xf numFmtId="43" fontId="9" fillId="4" borderId="1" xfId="1" applyFont="1" applyFill="1" applyBorder="1" applyAlignment="1">
      <alignment horizontal="left" vertical="center"/>
    </xf>
    <xf numFmtId="43" fontId="7" fillId="4" borderId="1" xfId="1" applyFont="1" applyFill="1" applyBorder="1" applyAlignment="1">
      <alignment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left" vertical="center" wrapText="1"/>
    </xf>
    <xf numFmtId="43" fontId="7" fillId="4" borderId="1" xfId="1" applyFont="1" applyFill="1" applyBorder="1" applyAlignment="1">
      <alignment horizontal="left" vertical="center" wrapText="1"/>
    </xf>
    <xf numFmtId="43" fontId="7" fillId="0" borderId="1" xfId="1" applyFont="1" applyBorder="1" applyAlignment="1" applyProtection="1">
      <alignment horizontal="left" vertical="center"/>
      <protection locked="0"/>
    </xf>
    <xf numFmtId="43" fontId="7" fillId="2" borderId="1" xfId="1" applyFont="1" applyFill="1" applyBorder="1" applyAlignment="1" applyProtection="1">
      <alignment horizontal="left" vertical="center"/>
      <protection locked="0"/>
    </xf>
    <xf numFmtId="43" fontId="7" fillId="0" borderId="1" xfId="1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 applyAlignment="1">
      <alignment horizontal="center"/>
    </xf>
    <xf numFmtId="0" fontId="27" fillId="7" borderId="1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/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165" fontId="18" fillId="7" borderId="11" xfId="2" applyNumberFormat="1" applyFont="1" applyFill="1" applyBorder="1" applyAlignment="1" applyProtection="1">
      <alignment horizontal="right"/>
    </xf>
    <xf numFmtId="0" fontId="18" fillId="7" borderId="11" xfId="0" applyFont="1" applyFill="1" applyBorder="1"/>
    <xf numFmtId="164" fontId="18" fillId="7" borderId="11" xfId="3" applyNumberFormat="1" applyFont="1" applyFill="1" applyBorder="1" applyAlignment="1" applyProtection="1">
      <alignment horizontal="center"/>
    </xf>
    <xf numFmtId="164" fontId="2" fillId="0" borderId="0" xfId="3" applyNumberFormat="1" applyFont="1" applyFill="1" applyBorder="1" applyProtection="1"/>
    <xf numFmtId="165" fontId="2" fillId="0" borderId="0" xfId="2" applyNumberFormat="1" applyFont="1" applyFill="1" applyBorder="1" applyAlignment="1" applyProtection="1">
      <alignment horizontal="right"/>
    </xf>
    <xf numFmtId="0" fontId="2" fillId="0" borderId="0" xfId="0" applyFont="1"/>
    <xf numFmtId="43" fontId="3" fillId="0" borderId="0" xfId="0" applyNumberFormat="1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/>
    </xf>
    <xf numFmtId="164" fontId="3" fillId="0" borderId="0" xfId="3" applyNumberFormat="1" applyFont="1" applyBorder="1" applyProtection="1"/>
    <xf numFmtId="165" fontId="3" fillId="0" borderId="0" xfId="2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center"/>
    </xf>
    <xf numFmtId="43" fontId="3" fillId="0" borderId="0" xfId="3" applyFont="1" applyAlignment="1" applyProtection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3" fillId="0" borderId="0" xfId="2" applyNumberFormat="1" applyFont="1" applyAlignment="1" applyProtection="1">
      <alignment horizontal="right" vertical="center" wrapText="1"/>
    </xf>
    <xf numFmtId="0" fontId="3" fillId="0" borderId="0" xfId="0" applyFont="1" applyAlignment="1">
      <alignment horizontal="center" vertical="center"/>
    </xf>
    <xf numFmtId="43" fontId="3" fillId="0" borderId="0" xfId="3" applyFont="1" applyAlignment="1" applyProtection="1">
      <alignment horizontal="left" vertical="center"/>
    </xf>
    <xf numFmtId="164" fontId="3" fillId="0" borderId="0" xfId="3" applyNumberFormat="1" applyFont="1" applyBorder="1" applyAlignment="1" applyProtection="1">
      <alignment horizontal="center"/>
    </xf>
    <xf numFmtId="0" fontId="3" fillId="2" borderId="0" xfId="6" applyFont="1" applyFill="1" applyAlignment="1">
      <alignment horizontal="left" vertical="center" wrapText="1"/>
    </xf>
    <xf numFmtId="0" fontId="3" fillId="0" borderId="0" xfId="6" applyFont="1" applyAlignment="1">
      <alignment horizontal="left" vertical="center" wrapText="1"/>
    </xf>
    <xf numFmtId="0" fontId="3" fillId="0" borderId="0" xfId="6" quotePrefix="1" applyFont="1" applyAlignment="1">
      <alignment horizontal="left" vertical="center" wrapText="1"/>
    </xf>
    <xf numFmtId="0" fontId="15" fillId="0" borderId="0" xfId="0" applyFont="1"/>
    <xf numFmtId="164" fontId="15" fillId="0" borderId="0" xfId="3" applyNumberFormat="1" applyFont="1" applyBorder="1" applyProtection="1"/>
    <xf numFmtId="165" fontId="15" fillId="0" borderId="0" xfId="2" applyNumberFormat="1" applyFont="1" applyBorder="1" applyAlignment="1" applyProtection="1">
      <alignment horizontal="right"/>
    </xf>
    <xf numFmtId="0" fontId="15" fillId="0" borderId="0" xfId="0" applyFont="1" applyAlignment="1">
      <alignment horizontal="left"/>
    </xf>
    <xf numFmtId="165" fontId="16" fillId="3" borderId="0" xfId="2" applyNumberFormat="1" applyFont="1" applyFill="1" applyBorder="1" applyAlignment="1" applyProtection="1">
      <alignment horizontal="right" wrapText="1"/>
    </xf>
    <xf numFmtId="0" fontId="16" fillId="0" borderId="0" xfId="0" applyFont="1" applyAlignment="1">
      <alignment wrapText="1"/>
    </xf>
    <xf numFmtId="165" fontId="16" fillId="0" borderId="0" xfId="2" applyNumberFormat="1" applyFont="1" applyBorder="1" applyAlignment="1" applyProtection="1">
      <alignment horizontal="right" wrapText="1"/>
    </xf>
    <xf numFmtId="164" fontId="3" fillId="0" borderId="0" xfId="3" applyNumberFormat="1" applyFont="1" applyProtection="1"/>
    <xf numFmtId="165" fontId="3" fillId="0" borderId="0" xfId="2" applyNumberFormat="1" applyFont="1" applyAlignment="1" applyProtection="1">
      <alignment horizontal="right"/>
    </xf>
    <xf numFmtId="164" fontId="3" fillId="0" borderId="0" xfId="3" applyNumberFormat="1" applyFont="1" applyAlignment="1" applyProtection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4" fontId="20" fillId="0" borderId="0" xfId="0" applyNumberFormat="1" applyFont="1"/>
    <xf numFmtId="43" fontId="7" fillId="0" borderId="0" xfId="0" applyNumberFormat="1" applyFont="1" applyAlignment="1">
      <alignment horizontal="right"/>
    </xf>
    <xf numFmtId="0" fontId="21" fillId="7" borderId="11" xfId="0" applyFont="1" applyFill="1" applyBorder="1" applyAlignment="1">
      <alignment horizontal="center" vertical="center"/>
    </xf>
    <xf numFmtId="0" fontId="8" fillId="0" borderId="0" xfId="0" applyFont="1"/>
    <xf numFmtId="0" fontId="7" fillId="0" borderId="6" xfId="0" applyFont="1" applyBorder="1"/>
    <xf numFmtId="0" fontId="7" fillId="0" borderId="1" xfId="0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Protection="1"/>
    <xf numFmtId="0" fontId="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43" fontId="7" fillId="0" borderId="0" xfId="1" applyFont="1" applyAlignment="1" applyProtection="1">
      <alignment horizontal="right"/>
    </xf>
    <xf numFmtId="0" fontId="22" fillId="6" borderId="1" xfId="0" applyFont="1" applyFill="1" applyBorder="1"/>
    <xf numFmtId="0" fontId="24" fillId="8" borderId="1" xfId="0" applyFont="1" applyFill="1" applyBorder="1"/>
    <xf numFmtId="0" fontId="23" fillId="0" borderId="1" xfId="0" applyFont="1" applyBorder="1"/>
    <xf numFmtId="0" fontId="21" fillId="7" borderId="11" xfId="0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left"/>
    </xf>
    <xf numFmtId="0" fontId="16" fillId="3" borderId="0" xfId="0" applyFont="1" applyFill="1"/>
    <xf numFmtId="0" fontId="16" fillId="0" borderId="0" xfId="0" applyFont="1"/>
    <xf numFmtId="0" fontId="20" fillId="8" borderId="6" xfId="0" applyFont="1" applyFill="1" applyBorder="1" applyAlignment="1">
      <alignment vertical="center"/>
    </xf>
    <xf numFmtId="166" fontId="22" fillId="8" borderId="6" xfId="1" applyNumberFormat="1" applyFont="1" applyFill="1" applyBorder="1" applyProtection="1"/>
    <xf numFmtId="166" fontId="21" fillId="7" borderId="11" xfId="1" applyNumberFormat="1" applyFont="1" applyFill="1" applyBorder="1" applyAlignment="1" applyProtection="1">
      <alignment horizontal="center"/>
    </xf>
    <xf numFmtId="164" fontId="7" fillId="0" borderId="1" xfId="1" applyNumberFormat="1" applyFont="1" applyBorder="1" applyProtection="1">
      <protection locked="0"/>
    </xf>
    <xf numFmtId="0" fontId="22" fillId="6" borderId="1" xfId="0" applyFont="1" applyFill="1" applyBorder="1" applyAlignment="1">
      <alignment horizontal="left" indent="6"/>
    </xf>
    <xf numFmtId="0" fontId="22" fillId="0" borderId="1" xfId="7" applyFont="1" applyBorder="1" applyProtection="1">
      <protection locked="0"/>
    </xf>
    <xf numFmtId="166" fontId="22" fillId="0" borderId="6" xfId="1" applyNumberFormat="1" applyFont="1" applyFill="1" applyBorder="1" applyProtection="1">
      <protection locked="0"/>
    </xf>
    <xf numFmtId="43" fontId="21" fillId="7" borderId="14" xfId="1" applyFont="1" applyFill="1" applyBorder="1" applyAlignment="1" applyProtection="1"/>
    <xf numFmtId="0" fontId="7" fillId="0" borderId="9" xfId="0" applyFont="1" applyBorder="1" applyProtection="1">
      <protection locked="0"/>
    </xf>
    <xf numFmtId="0" fontId="7" fillId="0" borderId="3" xfId="0" applyFont="1" applyBorder="1" applyProtection="1">
      <protection locked="0"/>
    </xf>
    <xf numFmtId="43" fontId="21" fillId="7" borderId="3" xfId="1" applyFont="1" applyFill="1" applyBorder="1" applyAlignment="1" applyProtection="1"/>
    <xf numFmtId="14" fontId="22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5" applyNumberFormat="1" applyFont="1" applyBorder="1" applyAlignment="1" applyProtection="1">
      <alignment horizontal="right" vertical="center"/>
    </xf>
    <xf numFmtId="0" fontId="4" fillId="0" borderId="0" xfId="0" applyFont="1" applyAlignment="1">
      <alignment vertical="center"/>
    </xf>
    <xf numFmtId="166" fontId="2" fillId="0" borderId="0" xfId="1" applyNumberFormat="1" applyFont="1" applyAlignment="1" applyProtection="1">
      <alignment horizontal="center"/>
    </xf>
    <xf numFmtId="165" fontId="2" fillId="0" borderId="0" xfId="2" applyNumberFormat="1" applyFont="1" applyAlignment="1" applyProtection="1">
      <alignment horizontal="center"/>
    </xf>
    <xf numFmtId="14" fontId="2" fillId="0" borderId="0" xfId="6" applyNumberFormat="1" applyFont="1" applyAlignment="1">
      <alignment horizontal="left" vertical="center"/>
    </xf>
    <xf numFmtId="14" fontId="2" fillId="0" borderId="0" xfId="6" applyNumberFormat="1" applyFont="1" applyAlignment="1">
      <alignment vertical="center"/>
    </xf>
    <xf numFmtId="0" fontId="29" fillId="0" borderId="0" xfId="6" applyFont="1" applyAlignment="1">
      <alignment horizontal="left" vertical="center"/>
    </xf>
    <xf numFmtId="166" fontId="12" fillId="0" borderId="0" xfId="1" applyNumberFormat="1" applyFont="1" applyProtection="1"/>
    <xf numFmtId="165" fontId="12" fillId="0" borderId="0" xfId="2" applyNumberFormat="1" applyFont="1" applyProtection="1"/>
    <xf numFmtId="0" fontId="12" fillId="0" borderId="0" xfId="6" applyFont="1"/>
    <xf numFmtId="0" fontId="30" fillId="0" borderId="0" xfId="6" applyFont="1" applyAlignment="1">
      <alignment horizontal="right" wrapText="1"/>
    </xf>
    <xf numFmtId="166" fontId="3" fillId="0" borderId="0" xfId="1" applyNumberFormat="1" applyFont="1" applyProtection="1"/>
    <xf numFmtId="0" fontId="18" fillId="7" borderId="16" xfId="0" applyFont="1" applyFill="1" applyBorder="1" applyAlignment="1">
      <alignment horizontal="center" vertical="center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164" fontId="18" fillId="7" borderId="11" xfId="1" applyNumberFormat="1" applyFont="1" applyFill="1" applyBorder="1" applyAlignment="1" applyProtection="1">
      <alignment horizontal="center" vertical="center" wrapText="1"/>
    </xf>
    <xf numFmtId="166" fontId="18" fillId="7" borderId="11" xfId="1" applyNumberFormat="1" applyFont="1" applyFill="1" applyBorder="1" applyAlignment="1" applyProtection="1">
      <alignment horizontal="center" vertical="center"/>
    </xf>
    <xf numFmtId="0" fontId="18" fillId="7" borderId="16" xfId="6" applyFont="1" applyFill="1" applyBorder="1" applyAlignment="1">
      <alignment horizontal="center" vertical="center" wrapText="1"/>
    </xf>
    <xf numFmtId="0" fontId="18" fillId="7" borderId="16" xfId="6" applyFont="1" applyFill="1" applyBorder="1" applyAlignment="1">
      <alignment vertical="center" wrapText="1"/>
    </xf>
    <xf numFmtId="43" fontId="18" fillId="7" borderId="11" xfId="1" applyFont="1" applyFill="1" applyBorder="1" applyAlignment="1" applyProtection="1">
      <alignment horizontal="right" vertical="center"/>
    </xf>
    <xf numFmtId="166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Protection="1"/>
    <xf numFmtId="0" fontId="4" fillId="0" borderId="0" xfId="0" applyFont="1" applyAlignment="1">
      <alignment horizontal="left" vertical="center"/>
    </xf>
    <xf numFmtId="43" fontId="3" fillId="2" borderId="6" xfId="1" applyFont="1" applyFill="1" applyBorder="1" applyAlignment="1" applyProtection="1">
      <alignment horizontal="right" vertical="center"/>
      <protection locked="0"/>
    </xf>
    <xf numFmtId="166" fontId="3" fillId="2" borderId="6" xfId="1" applyNumberFormat="1" applyFont="1" applyFill="1" applyBorder="1" applyAlignment="1" applyProtection="1">
      <alignment horizontal="right" vertical="center"/>
      <protection locked="0"/>
    </xf>
    <xf numFmtId="166" fontId="12" fillId="2" borderId="6" xfId="3" applyNumberFormat="1" applyFont="1" applyFill="1" applyBorder="1" applyAlignment="1" applyProtection="1">
      <alignment horizontal="right" vertical="center"/>
      <protection locked="0"/>
    </xf>
    <xf numFmtId="165" fontId="12" fillId="2" borderId="6" xfId="2" applyNumberFormat="1" applyFont="1" applyFill="1" applyBorder="1" applyAlignment="1" applyProtection="1">
      <alignment horizontal="right" vertical="center"/>
      <protection locked="0"/>
    </xf>
    <xf numFmtId="43" fontId="12" fillId="2" borderId="6" xfId="1" applyFont="1" applyFill="1" applyBorder="1" applyAlignment="1" applyProtection="1">
      <alignment horizontal="right" vertical="center"/>
      <protection locked="0"/>
    </xf>
    <xf numFmtId="43" fontId="3" fillId="0" borderId="6" xfId="1" applyFont="1" applyFill="1" applyBorder="1" applyAlignment="1" applyProtection="1">
      <alignment horizontal="right" vertical="center"/>
    </xf>
    <xf numFmtId="165" fontId="12" fillId="2" borderId="6" xfId="5" applyNumberFormat="1" applyFont="1" applyFill="1" applyBorder="1" applyAlignment="1" applyProtection="1">
      <alignment horizontal="right" vertical="center"/>
      <protection locked="0"/>
    </xf>
    <xf numFmtId="43" fontId="3" fillId="2" borderId="1" xfId="1" applyFont="1" applyFill="1" applyBorder="1" applyAlignment="1" applyProtection="1">
      <alignment horizontal="right" vertical="center"/>
      <protection locked="0"/>
    </xf>
    <xf numFmtId="166" fontId="3" fillId="2" borderId="1" xfId="1" applyNumberFormat="1" applyFont="1" applyFill="1" applyBorder="1" applyAlignment="1" applyProtection="1">
      <alignment horizontal="right" vertical="center"/>
      <protection locked="0"/>
    </xf>
    <xf numFmtId="166" fontId="12" fillId="2" borderId="1" xfId="3" applyNumberFormat="1" applyFont="1" applyFill="1" applyBorder="1" applyAlignment="1" applyProtection="1">
      <alignment horizontal="right" vertical="center"/>
      <protection locked="0"/>
    </xf>
    <xf numFmtId="165" fontId="12" fillId="2" borderId="1" xfId="2" applyNumberFormat="1" applyFont="1" applyFill="1" applyBorder="1" applyAlignment="1" applyProtection="1">
      <alignment horizontal="right" vertical="center"/>
      <protection locked="0"/>
    </xf>
    <xf numFmtId="43" fontId="12" fillId="2" borderId="1" xfId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</xf>
    <xf numFmtId="165" fontId="12" fillId="2" borderId="1" xfId="5" applyNumberFormat="1" applyFont="1" applyFill="1" applyBorder="1" applyAlignment="1" applyProtection="1">
      <alignment horizontal="right" vertical="center"/>
      <protection locked="0"/>
    </xf>
    <xf numFmtId="166" fontId="3" fillId="0" borderId="1" xfId="1" applyNumberFormat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  <protection locked="0"/>
    </xf>
    <xf numFmtId="166" fontId="12" fillId="0" borderId="1" xfId="3" applyNumberFormat="1" applyFont="1" applyFill="1" applyBorder="1" applyAlignment="1" applyProtection="1">
      <alignment horizontal="right" vertical="center"/>
      <protection locked="0"/>
    </xf>
    <xf numFmtId="43" fontId="12" fillId="0" borderId="1" xfId="1" applyFont="1" applyFill="1" applyBorder="1" applyAlignment="1" applyProtection="1">
      <alignment horizontal="right" vertical="center"/>
      <protection locked="0"/>
    </xf>
    <xf numFmtId="164" fontId="27" fillId="7" borderId="11" xfId="1" applyNumberFormat="1" applyFont="1" applyFill="1" applyBorder="1" applyAlignment="1" applyProtection="1">
      <alignment vertical="center"/>
    </xf>
    <xf numFmtId="164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1" applyNumberFormat="1" applyFont="1" applyFill="1" applyBorder="1" applyAlignment="1" applyProtection="1">
      <alignment horizontal="right" vertical="center"/>
    </xf>
    <xf numFmtId="164" fontId="12" fillId="0" borderId="6" xfId="1" applyNumberFormat="1" applyFont="1" applyFill="1" applyBorder="1" applyAlignment="1" applyProtection="1">
      <alignment vertical="center"/>
      <protection locked="0"/>
    </xf>
    <xf numFmtId="43" fontId="12" fillId="0" borderId="6" xfId="1" applyFont="1" applyFill="1" applyBorder="1" applyAlignment="1" applyProtection="1">
      <alignment horizontal="right" vertical="center"/>
      <protection locked="0"/>
    </xf>
    <xf numFmtId="166" fontId="12" fillId="0" borderId="6" xfId="1" applyNumberFormat="1" applyFont="1" applyFill="1" applyBorder="1" applyAlignment="1" applyProtection="1">
      <alignment horizontal="right" vertical="center"/>
      <protection locked="0"/>
    </xf>
    <xf numFmtId="165" fontId="12" fillId="0" borderId="6" xfId="2" applyNumberFormat="1" applyFont="1" applyFill="1" applyBorder="1" applyAlignment="1" applyProtection="1">
      <alignment horizontal="right" vertical="center"/>
      <protection locked="0"/>
    </xf>
    <xf numFmtId="43" fontId="12" fillId="0" borderId="2" xfId="1" applyFont="1" applyFill="1" applyBorder="1" applyAlignment="1" applyProtection="1">
      <alignment horizontal="right" vertical="center"/>
    </xf>
    <xf numFmtId="165" fontId="12" fillId="0" borderId="6" xfId="1" applyNumberFormat="1" applyFont="1" applyFill="1" applyBorder="1" applyAlignment="1" applyProtection="1">
      <alignment vertical="center"/>
      <protection locked="0"/>
    </xf>
    <xf numFmtId="164" fontId="12" fillId="0" borderId="1" xfId="1" applyNumberFormat="1" applyFont="1" applyFill="1" applyBorder="1" applyAlignment="1" applyProtection="1">
      <alignment vertical="center"/>
      <protection locked="0"/>
    </xf>
    <xf numFmtId="166" fontId="12" fillId="0" borderId="1" xfId="1" applyNumberFormat="1" applyFont="1" applyFill="1" applyBorder="1" applyAlignment="1" applyProtection="1">
      <alignment horizontal="right" vertical="center"/>
      <protection locked="0"/>
    </xf>
    <xf numFmtId="165" fontId="12" fillId="0" borderId="1" xfId="2" applyNumberFormat="1" applyFont="1" applyFill="1" applyBorder="1" applyAlignment="1" applyProtection="1">
      <alignment horizontal="right" vertical="center"/>
      <protection locked="0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0" fontId="18" fillId="7" borderId="17" xfId="6" applyFont="1" applyFill="1" applyBorder="1" applyAlignment="1">
      <alignment horizontal="left" vertical="center" wrapText="1"/>
    </xf>
    <xf numFmtId="43" fontId="18" fillId="7" borderId="15" xfId="1" applyFont="1" applyFill="1" applyBorder="1" applyAlignment="1" applyProtection="1">
      <alignment horizontal="center" vertical="center"/>
    </xf>
    <xf numFmtId="164" fontId="18" fillId="7" borderId="15" xfId="1" applyNumberFormat="1" applyFont="1" applyFill="1" applyBorder="1" applyAlignment="1" applyProtection="1">
      <alignment horizontal="center" vertical="center"/>
    </xf>
    <xf numFmtId="165" fontId="18" fillId="7" borderId="15" xfId="2" applyNumberFormat="1" applyFont="1" applyFill="1" applyBorder="1" applyAlignment="1" applyProtection="1">
      <alignment horizontal="center" vertical="center"/>
    </xf>
    <xf numFmtId="43" fontId="18" fillId="7" borderId="15" xfId="1" applyFont="1" applyFill="1" applyBorder="1" applyAlignment="1" applyProtection="1">
      <alignment horizontal="right" vertical="center"/>
    </xf>
    <xf numFmtId="164" fontId="18" fillId="7" borderId="15" xfId="1" applyNumberFormat="1" applyFont="1" applyFill="1" applyBorder="1" applyAlignment="1" applyProtection="1">
      <alignment horizontal="right" vertical="center"/>
    </xf>
    <xf numFmtId="165" fontId="18" fillId="7" borderId="15" xfId="2" applyNumberFormat="1" applyFont="1" applyFill="1" applyBorder="1" applyProtection="1"/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4" fillId="2" borderId="0" xfId="6" applyFont="1" applyFill="1" applyAlignment="1">
      <alignment horizontal="center" vertical="center" wrapText="1"/>
    </xf>
    <xf numFmtId="164" fontId="4" fillId="2" borderId="0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 wrapText="1"/>
    </xf>
    <xf numFmtId="165" fontId="3" fillId="0" borderId="0" xfId="2" applyNumberFormat="1" applyFont="1" applyAlignment="1" applyProtection="1">
      <alignment horizontal="left"/>
    </xf>
    <xf numFmtId="164" fontId="3" fillId="0" borderId="0" xfId="1" applyNumberFormat="1" applyFont="1" applyProtection="1"/>
    <xf numFmtId="165" fontId="3" fillId="0" borderId="0" xfId="2" applyNumberFormat="1" applyFont="1" applyProtection="1"/>
    <xf numFmtId="43" fontId="3" fillId="0" borderId="0" xfId="1" applyFont="1" applyAlignment="1" applyProtection="1">
      <alignment vertical="center"/>
    </xf>
    <xf numFmtId="166" fontId="3" fillId="0" borderId="0" xfId="1" applyNumberFormat="1" applyFont="1" applyAlignment="1" applyProtection="1">
      <alignment vertical="center"/>
    </xf>
    <xf numFmtId="165" fontId="3" fillId="0" borderId="0" xfId="2" applyNumberFormat="1" applyFont="1" applyAlignment="1" applyProtection="1">
      <alignment vertical="center" wrapText="1"/>
    </xf>
    <xf numFmtId="166" fontId="11" fillId="0" borderId="0" xfId="1" applyNumberFormat="1" applyFont="1" applyProtection="1"/>
    <xf numFmtId="43" fontId="3" fillId="0" borderId="0" xfId="1" applyFont="1" applyAlignment="1" applyProtection="1">
      <alignment horizontal="center" vertical="center"/>
    </xf>
    <xf numFmtId="0" fontId="31" fillId="3" borderId="8" xfId="0" applyFont="1" applyFill="1" applyBorder="1" applyAlignment="1">
      <alignment horizontal="center" vertical="center" wrapText="1"/>
    </xf>
    <xf numFmtId="0" fontId="31" fillId="3" borderId="8" xfId="0" applyFont="1" applyFill="1" applyBorder="1" applyAlignment="1">
      <alignment vertical="center" wrapText="1"/>
    </xf>
    <xf numFmtId="0" fontId="31" fillId="3" borderId="4" xfId="0" applyFont="1" applyFill="1" applyBorder="1" applyAlignment="1">
      <alignment vertical="center" wrapText="1"/>
    </xf>
    <xf numFmtId="0" fontId="31" fillId="0" borderId="4" xfId="0" applyFont="1" applyBorder="1" applyAlignment="1">
      <alignment vertical="center" wrapText="1"/>
    </xf>
    <xf numFmtId="2" fontId="31" fillId="3" borderId="8" xfId="0" applyNumberFormat="1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left" indent="11"/>
    </xf>
    <xf numFmtId="0" fontId="7" fillId="0" borderId="0" xfId="0" applyFont="1" applyAlignment="1">
      <alignment horizontal="left" indent="11"/>
    </xf>
    <xf numFmtId="0" fontId="19" fillId="0" borderId="0" xfId="0" applyFont="1"/>
    <xf numFmtId="0" fontId="1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43" fontId="10" fillId="0" borderId="0" xfId="1" applyFont="1" applyAlignment="1" applyProtection="1">
      <alignment vertical="center"/>
    </xf>
    <xf numFmtId="166" fontId="2" fillId="0" borderId="0" xfId="1" applyNumberFormat="1" applyFont="1" applyAlignment="1" applyProtection="1">
      <alignment horizontal="left" vertical="center"/>
    </xf>
    <xf numFmtId="0" fontId="19" fillId="0" borderId="0" xfId="0" applyFont="1" applyAlignment="1">
      <alignment vertical="center" wrapText="1"/>
    </xf>
    <xf numFmtId="43" fontId="7" fillId="0" borderId="0" xfId="1" applyFont="1" applyAlignment="1" applyProtection="1">
      <alignment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4" fontId="7" fillId="0" borderId="0" xfId="0" applyNumberFormat="1" applyFont="1" applyAlignment="1" applyProtection="1">
      <alignment horizontal="left"/>
      <protection locked="0"/>
    </xf>
    <xf numFmtId="14" fontId="7" fillId="0" borderId="12" xfId="0" applyNumberFormat="1" applyFont="1" applyBorder="1" applyAlignment="1">
      <alignment horizontal="left"/>
    </xf>
    <xf numFmtId="0" fontId="7" fillId="4" borderId="2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7" borderId="11" xfId="0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64" fontId="27" fillId="7" borderId="11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left"/>
    </xf>
    <xf numFmtId="0" fontId="27" fillId="7" borderId="11" xfId="0" applyFont="1" applyFill="1" applyBorder="1" applyAlignment="1">
      <alignment horizontal="center" vertical="center"/>
    </xf>
    <xf numFmtId="0" fontId="27" fillId="7" borderId="11" xfId="0" applyFont="1" applyFill="1" applyBorder="1" applyAlignment="1">
      <alignment horizontal="center" vertical="center" wrapText="1"/>
    </xf>
    <xf numFmtId="165" fontId="27" fillId="7" borderId="11" xfId="2" applyNumberFormat="1" applyFont="1" applyFill="1" applyBorder="1" applyAlignment="1" applyProtection="1">
      <alignment horizontal="center" vertical="center" wrapText="1"/>
    </xf>
    <xf numFmtId="43" fontId="3" fillId="0" borderId="0" xfId="3" applyFont="1" applyAlignment="1" applyProtection="1">
      <alignment horizontal="left" vertical="center"/>
    </xf>
    <xf numFmtId="0" fontId="18" fillId="7" borderId="11" xfId="0" applyFont="1" applyFill="1" applyBorder="1" applyAlignment="1">
      <alignment horizontal="center" vertical="center"/>
    </xf>
    <xf numFmtId="164" fontId="10" fillId="0" borderId="0" xfId="3" applyNumberFormat="1" applyFont="1" applyFill="1" applyBorder="1" applyAlignment="1" applyProtection="1">
      <alignment horizontal="center"/>
    </xf>
    <xf numFmtId="0" fontId="28" fillId="0" borderId="0" xfId="7" applyFont="1" applyAlignment="1">
      <alignment horizontal="left" wrapText="1"/>
    </xf>
    <xf numFmtId="0" fontId="5" fillId="0" borderId="0" xfId="0" applyFont="1" applyAlignment="1">
      <alignment horizontal="left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1" xfId="6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30" fillId="0" borderId="0" xfId="6" applyFont="1" applyAlignment="1">
      <alignment horizontal="right" wrapText="1"/>
    </xf>
    <xf numFmtId="165" fontId="2" fillId="0" borderId="0" xfId="2" applyNumberFormat="1" applyFont="1" applyBorder="1" applyAlignment="1" applyProtection="1">
      <alignment horizontal="right"/>
    </xf>
  </cellXfs>
  <cellStyles count="8">
    <cellStyle name="Comma" xfId="1" builtinId="3"/>
    <cellStyle name="Comma 2" xfId="3" xr:uid="{87C6A11D-684E-4A22-B399-2C92A9DA86D8}"/>
    <cellStyle name="Currency 2" xfId="4" xr:uid="{2E90B06B-63C7-40DA-A705-672317553B25}"/>
    <cellStyle name="Hyperlink" xfId="7" builtinId="8"/>
    <cellStyle name="Normal" xfId="0" builtinId="0"/>
    <cellStyle name="Normal 2" xfId="6" xr:uid="{D6F9A3C0-04FF-422C-99F8-66F540E8EE32}"/>
    <cellStyle name="Percent" xfId="2" builtinId="5"/>
    <cellStyle name="Percent 2" xfId="5" xr:uid="{0A052260-94D0-4420-92CA-EC2C961344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galag.FRC/Desktop/NBFIXXXXXXXq012023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айлан бэлдэх зааварчилгаа"/>
      <sheetName val="Statistic"/>
      <sheetName val="Application"/>
      <sheetName val="iRate"/>
      <sheetName val="Wallet"/>
      <sheetName val="Gender"/>
      <sheetName val="Greenloan"/>
      <sheetName val="Greenloan_info"/>
      <sheetName val="BALANCE"/>
      <sheetName val="BALANCESHEET"/>
      <sheetName val="INCOME"/>
      <sheetName val="Capital"/>
      <sheetName val="Liquidity"/>
      <sheetName val="Forex"/>
      <sheetName val="Provision"/>
      <sheetName val="ALM"/>
      <sheetName val="Top40"/>
      <sheetName val="Insider"/>
      <sheetName val="Source"/>
      <sheetName val="Provide"/>
      <sheetName val="Ipotec"/>
      <sheetName val="Securities"/>
      <sheetName val="Bond"/>
      <sheetName val="Trust"/>
      <sheetName val="Off-balance"/>
      <sheetName val="Money transfer"/>
      <sheetName val="Rat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5">
          <cell r="D365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legalinfo.mn/mn/detail/14299/2/2096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3A00D-20F1-4D5E-B457-E31743386768}">
  <dimension ref="B1:J39"/>
  <sheetViews>
    <sheetView workbookViewId="0">
      <selection activeCell="B4" sqref="B4:E4"/>
    </sheetView>
  </sheetViews>
  <sheetFormatPr defaultRowHeight="15" x14ac:dyDescent="0.25"/>
  <cols>
    <col min="1" max="1" width="9.140625" style="4"/>
    <col min="2" max="2" width="5.5703125" style="4" customWidth="1"/>
    <col min="3" max="3" width="48.28515625" style="4" bestFit="1" customWidth="1"/>
    <col min="4" max="4" width="23.5703125" style="4" customWidth="1"/>
    <col min="5" max="5" width="18.7109375" style="4" customWidth="1"/>
    <col min="6" max="6" width="19.7109375" style="4" bestFit="1" customWidth="1"/>
    <col min="7" max="16384" width="9.140625" style="4"/>
  </cols>
  <sheetData>
    <row r="1" spans="2:10" x14ac:dyDescent="0.25">
      <c r="C1" s="2"/>
      <c r="D1" s="2"/>
      <c r="E1" s="142"/>
    </row>
    <row r="2" spans="2:10" x14ac:dyDescent="0.25">
      <c r="B2" s="262" t="s">
        <v>117</v>
      </c>
      <c r="C2" s="262"/>
      <c r="D2" s="262"/>
      <c r="E2" s="262"/>
      <c r="F2" s="143"/>
      <c r="G2" s="143"/>
      <c r="H2" s="143"/>
      <c r="I2" s="143"/>
      <c r="J2" s="143"/>
    </row>
    <row r="3" spans="2:10" x14ac:dyDescent="0.25">
      <c r="B3" s="263" t="s">
        <v>198</v>
      </c>
      <c r="C3" s="263"/>
      <c r="D3" s="263"/>
      <c r="E3" s="263"/>
      <c r="F3" s="144"/>
      <c r="G3" s="144"/>
      <c r="H3" s="144"/>
      <c r="I3" s="144"/>
      <c r="J3" s="144"/>
    </row>
    <row r="4" spans="2:10" x14ac:dyDescent="0.25">
      <c r="B4" s="264" t="str">
        <f>+BC!B4</f>
        <v>БАНК</v>
      </c>
      <c r="C4" s="264"/>
      <c r="D4" s="264"/>
      <c r="E4" s="264"/>
      <c r="F4" s="145"/>
      <c r="G4" s="145"/>
      <c r="H4" s="145"/>
      <c r="I4" s="145"/>
      <c r="J4" s="145"/>
    </row>
    <row r="5" spans="2:10" x14ac:dyDescent="0.25">
      <c r="C5" s="2"/>
      <c r="D5" s="2"/>
      <c r="E5" s="142"/>
    </row>
    <row r="6" spans="2:10" x14ac:dyDescent="0.25">
      <c r="B6" s="1"/>
      <c r="C6" s="2"/>
      <c r="D6" s="2"/>
    </row>
    <row r="7" spans="2:10" x14ac:dyDescent="0.25">
      <c r="B7" s="275">
        <v>45382</v>
      </c>
      <c r="C7" s="275"/>
      <c r="D7" s="146"/>
    </row>
    <row r="8" spans="2:10" x14ac:dyDescent="0.25">
      <c r="B8" s="150" t="s">
        <v>116</v>
      </c>
      <c r="C8" s="150" t="s">
        <v>162</v>
      </c>
      <c r="D8" s="158" t="s">
        <v>118</v>
      </c>
    </row>
    <row r="9" spans="2:10" x14ac:dyDescent="0.25">
      <c r="B9" s="270">
        <v>1</v>
      </c>
      <c r="C9" s="156" t="s">
        <v>119</v>
      </c>
      <c r="D9" s="157">
        <f>SUM(D10:D11)</f>
        <v>3</v>
      </c>
    </row>
    <row r="10" spans="2:10" x14ac:dyDescent="0.25">
      <c r="B10" s="270"/>
      <c r="C10" s="147" t="s">
        <v>147</v>
      </c>
      <c r="D10" s="162">
        <v>1</v>
      </c>
    </row>
    <row r="11" spans="2:10" x14ac:dyDescent="0.25">
      <c r="B11" s="271"/>
      <c r="C11" s="160" t="s">
        <v>148</v>
      </c>
      <c r="D11" s="24">
        <v>2</v>
      </c>
    </row>
    <row r="12" spans="2:10" x14ac:dyDescent="0.25">
      <c r="B12" s="272">
        <v>2</v>
      </c>
      <c r="C12" s="148" t="s">
        <v>120</v>
      </c>
      <c r="D12" s="148"/>
    </row>
    <row r="13" spans="2:10" x14ac:dyDescent="0.25">
      <c r="B13" s="272"/>
      <c r="C13" s="149" t="s">
        <v>160</v>
      </c>
      <c r="D13" s="25">
        <v>3</v>
      </c>
    </row>
    <row r="14" spans="2:10" x14ac:dyDescent="0.25">
      <c r="B14" s="272"/>
      <c r="C14" s="149" t="s">
        <v>161</v>
      </c>
      <c r="D14" s="161">
        <v>4</v>
      </c>
    </row>
    <row r="15" spans="2:10" x14ac:dyDescent="0.25">
      <c r="B15" s="272"/>
      <c r="C15" s="149" t="s">
        <v>149</v>
      </c>
      <c r="D15" s="25">
        <v>5</v>
      </c>
    </row>
    <row r="17" spans="2:6" x14ac:dyDescent="0.25">
      <c r="B17" s="276"/>
      <c r="C17" s="276"/>
      <c r="F17" s="131" t="s">
        <v>146</v>
      </c>
    </row>
    <row r="18" spans="2:6" x14ac:dyDescent="0.25">
      <c r="B18" s="269" t="s">
        <v>121</v>
      </c>
      <c r="C18" s="269"/>
      <c r="D18" s="269"/>
      <c r="E18" s="269" t="s">
        <v>122</v>
      </c>
      <c r="F18" s="269"/>
    </row>
    <row r="19" spans="2:6" x14ac:dyDescent="0.25">
      <c r="B19" s="269"/>
      <c r="C19" s="269"/>
      <c r="D19" s="269"/>
      <c r="E19" s="150" t="s">
        <v>61</v>
      </c>
      <c r="F19" s="150" t="s">
        <v>62</v>
      </c>
    </row>
    <row r="20" spans="2:6" x14ac:dyDescent="0.25">
      <c r="B20" s="265">
        <v>1</v>
      </c>
      <c r="C20" s="273" t="s">
        <v>123</v>
      </c>
      <c r="D20" s="134" t="s">
        <v>124</v>
      </c>
      <c r="E20" s="26">
        <v>6</v>
      </c>
      <c r="F20" s="26">
        <v>16</v>
      </c>
    </row>
    <row r="21" spans="2:6" x14ac:dyDescent="0.25">
      <c r="B21" s="266"/>
      <c r="C21" s="274"/>
      <c r="D21" s="151" t="s">
        <v>125</v>
      </c>
      <c r="E21" s="27">
        <v>7</v>
      </c>
      <c r="F21" s="27">
        <v>17</v>
      </c>
    </row>
    <row r="22" spans="2:6" x14ac:dyDescent="0.25">
      <c r="B22" s="267">
        <v>2</v>
      </c>
      <c r="C22" s="277" t="s">
        <v>126</v>
      </c>
      <c r="D22" s="152" t="s">
        <v>127</v>
      </c>
      <c r="E22" s="29">
        <v>0.08</v>
      </c>
      <c r="F22" s="29">
        <v>0.18</v>
      </c>
    </row>
    <row r="23" spans="2:6" x14ac:dyDescent="0.25">
      <c r="B23" s="268"/>
      <c r="C23" s="278"/>
      <c r="D23" s="153" t="s">
        <v>128</v>
      </c>
      <c r="E23" s="29">
        <v>0.09</v>
      </c>
      <c r="F23" s="29">
        <v>0.19</v>
      </c>
    </row>
    <row r="24" spans="2:6" x14ac:dyDescent="0.25">
      <c r="B24" s="265">
        <v>3</v>
      </c>
      <c r="C24" s="279" t="s">
        <v>129</v>
      </c>
      <c r="D24" s="135" t="s">
        <v>124</v>
      </c>
      <c r="E24" s="27">
        <v>10</v>
      </c>
      <c r="F24" s="27">
        <v>20</v>
      </c>
    </row>
    <row r="25" spans="2:6" x14ac:dyDescent="0.25">
      <c r="B25" s="266"/>
      <c r="C25" s="274"/>
      <c r="D25" s="151" t="s">
        <v>125</v>
      </c>
      <c r="E25" s="27">
        <v>11</v>
      </c>
      <c r="F25" s="27">
        <v>21</v>
      </c>
    </row>
    <row r="26" spans="2:6" x14ac:dyDescent="0.25">
      <c r="B26" s="267">
        <v>4</v>
      </c>
      <c r="C26" s="277" t="s">
        <v>130</v>
      </c>
      <c r="D26" s="152" t="s">
        <v>124</v>
      </c>
      <c r="E26" s="30">
        <v>12</v>
      </c>
      <c r="F26" s="30">
        <v>22</v>
      </c>
    </row>
    <row r="27" spans="2:6" x14ac:dyDescent="0.25">
      <c r="B27" s="268"/>
      <c r="C27" s="278"/>
      <c r="D27" s="153" t="s">
        <v>125</v>
      </c>
      <c r="E27" s="30">
        <v>13</v>
      </c>
      <c r="F27" s="30">
        <v>23</v>
      </c>
    </row>
    <row r="28" spans="2:6" x14ac:dyDescent="0.25">
      <c r="B28" s="265">
        <v>5</v>
      </c>
      <c r="C28" s="279" t="s">
        <v>131</v>
      </c>
      <c r="D28" s="135" t="s">
        <v>124</v>
      </c>
      <c r="E28" s="159">
        <v>14</v>
      </c>
      <c r="F28" s="159">
        <v>24</v>
      </c>
    </row>
    <row r="29" spans="2:6" x14ac:dyDescent="0.25">
      <c r="B29" s="266"/>
      <c r="C29" s="274"/>
      <c r="D29" s="151" t="s">
        <v>125</v>
      </c>
      <c r="E29" s="159">
        <v>15</v>
      </c>
      <c r="F29" s="159">
        <v>25</v>
      </c>
    </row>
    <row r="33" spans="3:4" x14ac:dyDescent="0.25">
      <c r="C33" s="280" t="s">
        <v>36</v>
      </c>
      <c r="D33" s="280"/>
    </row>
    <row r="34" spans="3:4" x14ac:dyDescent="0.25">
      <c r="C34" s="136"/>
      <c r="D34" s="137"/>
    </row>
    <row r="35" spans="3:4" x14ac:dyDescent="0.25">
      <c r="C35" s="138" t="s">
        <v>115</v>
      </c>
      <c r="D35" s="138"/>
    </row>
    <row r="36" spans="3:4" x14ac:dyDescent="0.25">
      <c r="C36" s="140"/>
      <c r="D36" s="141"/>
    </row>
    <row r="37" spans="3:4" x14ac:dyDescent="0.25">
      <c r="C37" s="140"/>
      <c r="D37" s="261" t="s">
        <v>163</v>
      </c>
    </row>
    <row r="38" spans="3:4" x14ac:dyDescent="0.25">
      <c r="C38" s="140"/>
      <c r="D38" s="48"/>
    </row>
    <row r="39" spans="3:4" x14ac:dyDescent="0.25">
      <c r="C39" s="140"/>
      <c r="D39" s="261" t="s">
        <v>164</v>
      </c>
    </row>
  </sheetData>
  <sheetProtection algorithmName="SHA-512" hashValue="GYX5KJJkiR4K7lAzvN/YOPz6ZrG9tzLQe5Wg3JKILk1Idabq31Yh60Mv0740w+OWC162HArMWcuzs7zyFIcuqw==" saltValue="flj0uT2HyVM/7/xxG4B39Q==" spinCount="100000" sheet="1" objects="1" scenarios="1"/>
  <mergeCells count="20">
    <mergeCell ref="C24:C25"/>
    <mergeCell ref="C26:C27"/>
    <mergeCell ref="C33:D33"/>
    <mergeCell ref="C28:C29"/>
    <mergeCell ref="B24:B25"/>
    <mergeCell ref="B26:B27"/>
    <mergeCell ref="B28:B29"/>
    <mergeCell ref="B2:E2"/>
    <mergeCell ref="B3:E3"/>
    <mergeCell ref="B4:E4"/>
    <mergeCell ref="B20:B21"/>
    <mergeCell ref="B22:B23"/>
    <mergeCell ref="B18:D19"/>
    <mergeCell ref="E18:F18"/>
    <mergeCell ref="B9:B11"/>
    <mergeCell ref="B12:B15"/>
    <mergeCell ref="C20:C21"/>
    <mergeCell ref="B7:C7"/>
    <mergeCell ref="B17:C17"/>
    <mergeCell ref="C22:C23"/>
  </mergeCells>
  <dataValidations count="2">
    <dataValidation type="textLength" allowBlank="1" showErrorMessage="1" errorTitle="ББСБ нэр нөхөх" error="ББСБ нэр нөхөөгүй" sqref="B3 F3:J3" xr:uid="{130E8D38-B825-471D-84F2-E8BADD482353}">
      <formula1>5</formula1>
      <formula2>50</formula2>
    </dataValidation>
    <dataValidation type="whole" allowBlank="1" showInputMessage="1" showErrorMessage="1" error="Зөвхөн эмэгтэй ажилтны тоог оруулна уу!" sqref="D11" xr:uid="{A049E1B1-7131-4A1B-8351-E0FE590E2CDF}">
      <formula1>0</formula1>
      <formula2>D9</formula2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DD3C-20B4-49B3-B6A7-4C90156A3EF3}">
  <dimension ref="B2:I49"/>
  <sheetViews>
    <sheetView topLeftCell="A17" workbookViewId="0">
      <selection activeCell="D40" sqref="D40"/>
    </sheetView>
  </sheetViews>
  <sheetFormatPr defaultRowHeight="15" x14ac:dyDescent="0.25"/>
  <cols>
    <col min="1" max="1" width="9.140625" style="4"/>
    <col min="2" max="2" width="81.140625" style="4" bestFit="1" customWidth="1"/>
    <col min="3" max="3" width="8.85546875" style="2" customWidth="1"/>
    <col min="4" max="4" width="30.42578125" style="5" customWidth="1"/>
    <col min="5" max="16384" width="9.140625" style="4"/>
  </cols>
  <sheetData>
    <row r="2" spans="2:9" x14ac:dyDescent="0.25">
      <c r="B2" s="262" t="s">
        <v>70</v>
      </c>
      <c r="C2" s="262"/>
      <c r="D2" s="262"/>
      <c r="E2" s="143"/>
      <c r="F2" s="143"/>
      <c r="G2" s="143"/>
      <c r="H2" s="143"/>
      <c r="I2" s="143"/>
    </row>
    <row r="3" spans="2:9" x14ac:dyDescent="0.25">
      <c r="B3" s="281" t="str">
        <f>+STAT!B3</f>
        <v>ХУДАЛДАА ХӨГЖИЛ</v>
      </c>
      <c r="C3" s="281"/>
      <c r="D3" s="281"/>
      <c r="E3" s="144"/>
      <c r="F3" s="144"/>
      <c r="G3" s="144"/>
      <c r="H3" s="144"/>
      <c r="I3" s="144"/>
    </row>
    <row r="4" spans="2:9" x14ac:dyDescent="0.25">
      <c r="B4" s="264" t="s">
        <v>150</v>
      </c>
      <c r="C4" s="264"/>
      <c r="D4" s="264"/>
      <c r="E4" s="145"/>
      <c r="F4" s="145"/>
      <c r="G4" s="145"/>
      <c r="H4" s="145"/>
      <c r="I4" s="145"/>
    </row>
    <row r="6" spans="2:9" x14ac:dyDescent="0.25">
      <c r="B6" s="1">
        <f>+STAT!B7</f>
        <v>45382</v>
      </c>
      <c r="D6" s="3">
        <f>+STAT!D7</f>
        <v>0</v>
      </c>
    </row>
    <row r="7" spans="2:9" x14ac:dyDescent="0.25">
      <c r="B7" s="66" t="s">
        <v>0</v>
      </c>
      <c r="C7" s="67"/>
      <c r="D7" s="68">
        <f>SUM(D8,D11,D14)-D24</f>
        <v>269</v>
      </c>
    </row>
    <row r="8" spans="2:9" x14ac:dyDescent="0.25">
      <c r="B8" s="69" t="s">
        <v>1</v>
      </c>
      <c r="C8" s="70"/>
      <c r="D8" s="71">
        <f>SUM(D9:D10)</f>
        <v>53</v>
      </c>
    </row>
    <row r="9" spans="2:9" x14ac:dyDescent="0.25">
      <c r="B9" s="6" t="s">
        <v>3</v>
      </c>
      <c r="C9" s="7">
        <v>1501</v>
      </c>
      <c r="D9" s="83">
        <v>26</v>
      </c>
    </row>
    <row r="10" spans="2:9" x14ac:dyDescent="0.25">
      <c r="B10" s="6" t="s">
        <v>5</v>
      </c>
      <c r="C10" s="7">
        <v>1502</v>
      </c>
      <c r="D10" s="83">
        <v>27</v>
      </c>
    </row>
    <row r="11" spans="2:9" x14ac:dyDescent="0.25">
      <c r="B11" s="72" t="s">
        <v>7</v>
      </c>
      <c r="C11" s="73"/>
      <c r="D11" s="74">
        <f>SUM(D12:D13)</f>
        <v>57</v>
      </c>
    </row>
    <row r="12" spans="2:9" x14ac:dyDescent="0.25">
      <c r="B12" s="6" t="s">
        <v>3</v>
      </c>
      <c r="C12" s="7">
        <v>1521</v>
      </c>
      <c r="D12" s="83">
        <v>28</v>
      </c>
    </row>
    <row r="13" spans="2:9" x14ac:dyDescent="0.25">
      <c r="B13" s="6" t="s">
        <v>5</v>
      </c>
      <c r="C13" s="7">
        <v>1522</v>
      </c>
      <c r="D13" s="83">
        <v>29</v>
      </c>
    </row>
    <row r="14" spans="2:9" x14ac:dyDescent="0.25">
      <c r="B14" s="72" t="s">
        <v>8</v>
      </c>
      <c r="C14" s="73"/>
      <c r="D14" s="74">
        <f>SUM(D15,D18,D21)</f>
        <v>195</v>
      </c>
    </row>
    <row r="15" spans="2:9" x14ac:dyDescent="0.25">
      <c r="B15" s="72" t="s">
        <v>9</v>
      </c>
      <c r="C15" s="73"/>
      <c r="D15" s="74">
        <f>SUM(D16:D17)</f>
        <v>61</v>
      </c>
    </row>
    <row r="16" spans="2:9" x14ac:dyDescent="0.25">
      <c r="B16" s="6" t="s">
        <v>3</v>
      </c>
      <c r="C16" s="7">
        <v>1541</v>
      </c>
      <c r="D16" s="83">
        <v>30</v>
      </c>
    </row>
    <row r="17" spans="2:4" x14ac:dyDescent="0.25">
      <c r="B17" s="6" t="s">
        <v>5</v>
      </c>
      <c r="C17" s="7">
        <v>1542</v>
      </c>
      <c r="D17" s="83">
        <v>31</v>
      </c>
    </row>
    <row r="18" spans="2:4" x14ac:dyDescent="0.25">
      <c r="B18" s="72" t="s">
        <v>10</v>
      </c>
      <c r="C18" s="73"/>
      <c r="D18" s="74">
        <f>SUM(D19:D20)</f>
        <v>65</v>
      </c>
    </row>
    <row r="19" spans="2:4" x14ac:dyDescent="0.25">
      <c r="B19" s="6" t="s">
        <v>3</v>
      </c>
      <c r="C19" s="7">
        <v>1561</v>
      </c>
      <c r="D19" s="83">
        <v>32</v>
      </c>
    </row>
    <row r="20" spans="2:4" x14ac:dyDescent="0.25">
      <c r="B20" s="6" t="s">
        <v>5</v>
      </c>
      <c r="C20" s="7">
        <v>1562</v>
      </c>
      <c r="D20" s="83">
        <v>33</v>
      </c>
    </row>
    <row r="21" spans="2:4" x14ac:dyDescent="0.25">
      <c r="B21" s="72" t="s">
        <v>11</v>
      </c>
      <c r="C21" s="73"/>
      <c r="D21" s="74">
        <f>SUM(D22:D23)</f>
        <v>69</v>
      </c>
    </row>
    <row r="22" spans="2:4" x14ac:dyDescent="0.25">
      <c r="B22" s="6" t="s">
        <v>3</v>
      </c>
      <c r="C22" s="7">
        <v>1581</v>
      </c>
      <c r="D22" s="83">
        <v>34</v>
      </c>
    </row>
    <row r="23" spans="2:4" x14ac:dyDescent="0.25">
      <c r="B23" s="6" t="s">
        <v>5</v>
      </c>
      <c r="C23" s="7">
        <v>1582</v>
      </c>
      <c r="D23" s="83">
        <v>35</v>
      </c>
    </row>
    <row r="24" spans="2:4" x14ac:dyDescent="0.25">
      <c r="B24" s="75" t="s">
        <v>12</v>
      </c>
      <c r="C24" s="76"/>
      <c r="D24" s="77">
        <f>D25</f>
        <v>36</v>
      </c>
    </row>
    <row r="25" spans="2:4" x14ac:dyDescent="0.25">
      <c r="B25" s="8" t="s">
        <v>12</v>
      </c>
      <c r="C25" s="9">
        <v>1599</v>
      </c>
      <c r="D25" s="84">
        <v>36</v>
      </c>
    </row>
    <row r="26" spans="2:4" x14ac:dyDescent="0.25">
      <c r="B26" s="28" t="s">
        <v>2</v>
      </c>
      <c r="C26" s="73"/>
      <c r="D26" s="78">
        <f>SUM(D27:D28)</f>
        <v>75</v>
      </c>
    </row>
    <row r="27" spans="2:4" x14ac:dyDescent="0.25">
      <c r="B27" s="10" t="s">
        <v>4</v>
      </c>
      <c r="C27" s="7">
        <v>2331</v>
      </c>
      <c r="D27" s="85">
        <v>37</v>
      </c>
    </row>
    <row r="28" spans="2:4" x14ac:dyDescent="0.25">
      <c r="B28" s="10" t="s">
        <v>6</v>
      </c>
      <c r="C28" s="7">
        <v>2332</v>
      </c>
      <c r="D28" s="85">
        <v>38</v>
      </c>
    </row>
    <row r="29" spans="2:4" x14ac:dyDescent="0.25">
      <c r="B29" s="72" t="s">
        <v>13</v>
      </c>
      <c r="C29" s="73"/>
      <c r="D29" s="74">
        <f>SUM(D30:D31)</f>
        <v>79</v>
      </c>
    </row>
    <row r="30" spans="2:4" x14ac:dyDescent="0.25">
      <c r="B30" s="6" t="s">
        <v>15</v>
      </c>
      <c r="C30" s="7">
        <v>1707</v>
      </c>
      <c r="D30" s="83">
        <v>39</v>
      </c>
    </row>
    <row r="31" spans="2:4" x14ac:dyDescent="0.25">
      <c r="B31" s="6" t="s">
        <v>17</v>
      </c>
      <c r="C31" s="7">
        <v>1708</v>
      </c>
      <c r="D31" s="83">
        <v>40</v>
      </c>
    </row>
    <row r="32" spans="2:4" x14ac:dyDescent="0.25">
      <c r="B32" s="79" t="s">
        <v>21</v>
      </c>
      <c r="C32" s="80"/>
      <c r="D32" s="74">
        <f>SUM(D33:D34)</f>
        <v>83</v>
      </c>
    </row>
    <row r="33" spans="2:4" x14ac:dyDescent="0.25">
      <c r="B33" s="10" t="s">
        <v>14</v>
      </c>
      <c r="C33" s="7">
        <v>4302</v>
      </c>
      <c r="D33" s="85">
        <v>41</v>
      </c>
    </row>
    <row r="34" spans="2:4" x14ac:dyDescent="0.25">
      <c r="B34" s="10" t="s">
        <v>16</v>
      </c>
      <c r="C34" s="7">
        <v>4312</v>
      </c>
      <c r="D34" s="85">
        <v>42</v>
      </c>
    </row>
    <row r="35" spans="2:4" x14ac:dyDescent="0.25">
      <c r="B35" s="81" t="s">
        <v>22</v>
      </c>
      <c r="C35" s="80"/>
      <c r="D35" s="74">
        <f>SUM(D36:D37)</f>
        <v>87</v>
      </c>
    </row>
    <row r="36" spans="2:4" x14ac:dyDescent="0.25">
      <c r="B36" s="6" t="s">
        <v>18</v>
      </c>
      <c r="C36" s="7">
        <v>5204</v>
      </c>
      <c r="D36" s="83">
        <v>43</v>
      </c>
    </row>
    <row r="37" spans="2:4" x14ac:dyDescent="0.25">
      <c r="B37" s="6" t="s">
        <v>19</v>
      </c>
      <c r="C37" s="7">
        <v>5234</v>
      </c>
      <c r="D37" s="83">
        <v>44</v>
      </c>
    </row>
    <row r="38" spans="2:4" x14ac:dyDescent="0.25">
      <c r="B38" s="81" t="s">
        <v>23</v>
      </c>
      <c r="C38" s="80"/>
      <c r="D38" s="82">
        <f>+D39</f>
        <v>45</v>
      </c>
    </row>
    <row r="39" spans="2:4" x14ac:dyDescent="0.25">
      <c r="B39" s="6" t="s">
        <v>20</v>
      </c>
      <c r="C39" s="7">
        <v>9928</v>
      </c>
      <c r="D39" s="83">
        <v>45</v>
      </c>
    </row>
    <row r="43" spans="2:4" x14ac:dyDescent="0.25">
      <c r="B43" s="255" t="str">
        <f>+STAT!C33</f>
        <v>ТАМГА</v>
      </c>
      <c r="C43" s="4"/>
    </row>
    <row r="44" spans="2:4" x14ac:dyDescent="0.25">
      <c r="C44" s="4"/>
    </row>
    <row r="45" spans="2:4" x14ac:dyDescent="0.25">
      <c r="B45" s="4" t="str">
        <f>+STAT!C35</f>
        <v xml:space="preserve">             ТАЙЛАНГ ҮНЭН ЗӨВ ГАРГАСАН:</v>
      </c>
      <c r="C45" s="4"/>
    </row>
    <row r="46" spans="2:4" x14ac:dyDescent="0.25">
      <c r="C46" s="4"/>
    </row>
    <row r="47" spans="2:4" x14ac:dyDescent="0.25">
      <c r="B47" s="253" t="str">
        <f>+STAT!D37</f>
        <v>ГҮЙЦЭТГЭХ ЗАХИРАЛ...........BOLD..........//</v>
      </c>
      <c r="C47" s="4"/>
    </row>
    <row r="48" spans="2:4" x14ac:dyDescent="0.25">
      <c r="B48" s="254"/>
      <c r="C48" s="4"/>
    </row>
    <row r="49" spans="2:3" x14ac:dyDescent="0.25">
      <c r="B49" s="253" t="str">
        <f>+STAT!D39</f>
        <v>ЕРӨНХИЙ НЯГТЛАН БОДОГЧ..............BAT............//</v>
      </c>
      <c r="C49" s="4"/>
    </row>
  </sheetData>
  <sheetProtection algorithmName="SHA-512" hashValue="Hg7jnfAY/zWaHYENlG4Kk9d1Jys22uzpPotQ/5FhkyI/blCNGUtiJKe4MYbNKKBa8oUu+LwJD9EhD3Qjlfb2EA==" saltValue="xOCePa9AGe8fbuwQxzq7PQ==" spinCount="100000" sheet="1" objects="1" scenarios="1"/>
  <mergeCells count="3">
    <mergeCell ref="B2:D2"/>
    <mergeCell ref="B3:D3"/>
    <mergeCell ref="B4:D4"/>
  </mergeCells>
  <dataValidations count="2">
    <dataValidation type="textLength" allowBlank="1" showErrorMessage="1" errorTitle="ББСБ нэр нөхөх" error="ББСБ нэр нөхөөгүй" sqref="E3:I3" xr:uid="{470039CC-9E82-4B8E-8581-CDCB8ED385E4}">
      <formula1>5</formula1>
      <formula2>50</formula2>
    </dataValidation>
    <dataValidation type="textLength" allowBlank="1" showErrorMessage="1" errorTitle="ББСБ нэр нөхөх" error="ББСБ нэр нөхөөгүй" sqref="B3:D3" xr:uid="{EE1EB29D-7862-4E3D-8AF8-571C0F40C218}">
      <formula1>3</formula1>
      <formula2>50</formula2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D453-0B4D-4AEE-B38E-9898C2A74B42}">
  <dimension ref="A1:L35"/>
  <sheetViews>
    <sheetView workbookViewId="0">
      <selection activeCell="H15" sqref="H15:K25"/>
    </sheetView>
  </sheetViews>
  <sheetFormatPr defaultRowHeight="15" x14ac:dyDescent="0.25"/>
  <cols>
    <col min="1" max="1" width="41.85546875" style="4" bestFit="1" customWidth="1"/>
    <col min="2" max="7" width="19.5703125" style="4" customWidth="1"/>
    <col min="8" max="11" width="19.42578125" style="4" customWidth="1"/>
    <col min="12" max="16384" width="9.140625" style="4"/>
  </cols>
  <sheetData>
    <row r="1" spans="1:12" x14ac:dyDescent="0.25">
      <c r="A1" s="128"/>
      <c r="C1" s="31"/>
    </row>
    <row r="2" spans="1:12" x14ac:dyDescent="0.25">
      <c r="A2" s="282" t="s">
        <v>99</v>
      </c>
      <c r="B2" s="282"/>
      <c r="C2" s="282"/>
      <c r="D2" s="282"/>
      <c r="E2" s="282"/>
      <c r="F2" s="282"/>
      <c r="G2" s="282"/>
      <c r="H2" s="282"/>
      <c r="I2" s="282"/>
      <c r="J2" s="282"/>
    </row>
    <row r="3" spans="1:12" x14ac:dyDescent="0.25">
      <c r="A3" s="283" t="str">
        <f>+BC!B3</f>
        <v>ХУДАЛДАА ХӨГЖИЛ</v>
      </c>
      <c r="B3" s="283"/>
      <c r="C3" s="283"/>
      <c r="D3" s="283"/>
      <c r="E3" s="283"/>
      <c r="F3" s="283"/>
      <c r="G3" s="283"/>
      <c r="H3" s="283"/>
      <c r="I3" s="283"/>
      <c r="J3" s="283"/>
    </row>
    <row r="4" spans="1:12" x14ac:dyDescent="0.25">
      <c r="A4" s="284" t="str">
        <f>+BC!B4</f>
        <v>БАНК</v>
      </c>
      <c r="B4" s="284"/>
      <c r="C4" s="284"/>
      <c r="D4" s="284"/>
      <c r="E4" s="284"/>
      <c r="F4" s="284"/>
      <c r="G4" s="284"/>
      <c r="H4" s="284"/>
      <c r="I4" s="284"/>
      <c r="J4" s="284"/>
    </row>
    <row r="5" spans="1:12" x14ac:dyDescent="0.25">
      <c r="A5" s="129"/>
      <c r="B5" s="129"/>
      <c r="C5" s="129"/>
    </row>
    <row r="6" spans="1:12" x14ac:dyDescent="0.25">
      <c r="A6" s="129"/>
      <c r="B6" s="129"/>
      <c r="C6" s="129"/>
    </row>
    <row r="7" spans="1:12" x14ac:dyDescent="0.25">
      <c r="A7" s="167">
        <f>+BC!B6</f>
        <v>45382</v>
      </c>
      <c r="B7" s="130"/>
      <c r="C7" s="32"/>
      <c r="K7" s="131">
        <f>+BC!D6</f>
        <v>0</v>
      </c>
    </row>
    <row r="8" spans="1:12" x14ac:dyDescent="0.25">
      <c r="A8" s="285" t="s">
        <v>151</v>
      </c>
      <c r="B8" s="269" t="s">
        <v>100</v>
      </c>
      <c r="C8" s="269"/>
      <c r="D8" s="269" t="s">
        <v>101</v>
      </c>
      <c r="E8" s="269"/>
      <c r="F8" s="269" t="s">
        <v>102</v>
      </c>
      <c r="G8" s="269"/>
      <c r="H8" s="269" t="s">
        <v>60</v>
      </c>
      <c r="I8" s="269"/>
      <c r="J8" s="269"/>
      <c r="K8" s="269"/>
    </row>
    <row r="9" spans="1:12" ht="30.75" customHeight="1" x14ac:dyDescent="0.25">
      <c r="A9" s="285"/>
      <c r="B9" s="285" t="s">
        <v>155</v>
      </c>
      <c r="C9" s="285" t="s">
        <v>156</v>
      </c>
      <c r="D9" s="269" t="s">
        <v>103</v>
      </c>
      <c r="E9" s="269" t="s">
        <v>104</v>
      </c>
      <c r="F9" s="269" t="s">
        <v>103</v>
      </c>
      <c r="G9" s="269" t="s">
        <v>104</v>
      </c>
      <c r="H9" s="269" t="s">
        <v>103</v>
      </c>
      <c r="I9" s="269" t="s">
        <v>104</v>
      </c>
      <c r="J9" s="286" t="s">
        <v>105</v>
      </c>
      <c r="K9" s="286"/>
    </row>
    <row r="10" spans="1:12" x14ac:dyDescent="0.25">
      <c r="A10" s="285"/>
      <c r="B10" s="285"/>
      <c r="C10" s="285"/>
      <c r="D10" s="269"/>
      <c r="E10" s="269"/>
      <c r="F10" s="269"/>
      <c r="G10" s="269"/>
      <c r="H10" s="269"/>
      <c r="I10" s="269"/>
      <c r="J10" s="132" t="s">
        <v>103</v>
      </c>
      <c r="K10" s="132" t="s">
        <v>104</v>
      </c>
    </row>
    <row r="11" spans="1:12" s="133" customFormat="1" ht="14.25" x14ac:dyDescent="0.2">
      <c r="A11" s="33" t="s">
        <v>152</v>
      </c>
      <c r="B11" s="34">
        <f>SUM(B12:B14)</f>
        <v>639</v>
      </c>
      <c r="C11" s="34">
        <f>SUM(C12:C14)</f>
        <v>720</v>
      </c>
      <c r="D11" s="34">
        <f t="shared" ref="D11:K11" si="0">SUM(D12:D14)</f>
        <v>141</v>
      </c>
      <c r="E11" s="34">
        <f t="shared" si="0"/>
        <v>177</v>
      </c>
      <c r="F11" s="34">
        <f t="shared" si="0"/>
        <v>213</v>
      </c>
      <c r="G11" s="34">
        <f t="shared" si="0"/>
        <v>249</v>
      </c>
      <c r="H11" s="34">
        <f t="shared" si="0"/>
        <v>285</v>
      </c>
      <c r="I11" s="34">
        <f t="shared" si="0"/>
        <v>294</v>
      </c>
      <c r="J11" s="34">
        <f t="shared" si="0"/>
        <v>303</v>
      </c>
      <c r="K11" s="34">
        <f t="shared" si="0"/>
        <v>312</v>
      </c>
      <c r="L11" s="133" t="str">
        <f>IF(C11=E11+G11+I11,"","Ангилсан дүн Нийт дүнгээс зөрүүтэй")</f>
        <v/>
      </c>
    </row>
    <row r="12" spans="1:12" x14ac:dyDescent="0.25">
      <c r="A12" s="35" t="s">
        <v>38</v>
      </c>
      <c r="B12" s="36">
        <f>+D12+F12+H12</f>
        <v>210</v>
      </c>
      <c r="C12" s="36">
        <f>+E12+G12+I12</f>
        <v>237</v>
      </c>
      <c r="D12" s="37">
        <v>46</v>
      </c>
      <c r="E12" s="38">
        <v>58</v>
      </c>
      <c r="F12" s="37">
        <v>70</v>
      </c>
      <c r="G12" s="38">
        <v>82</v>
      </c>
      <c r="H12" s="37">
        <v>94</v>
      </c>
      <c r="I12" s="38">
        <v>97</v>
      </c>
      <c r="J12" s="37">
        <v>100</v>
      </c>
      <c r="K12" s="38">
        <v>103</v>
      </c>
      <c r="L12" s="4" t="str">
        <f>IF(C12=E12+G12+I12,"","Ангилсан дүн Нийт дүнгээс зөрүүтэй")</f>
        <v/>
      </c>
    </row>
    <row r="13" spans="1:12" x14ac:dyDescent="0.25">
      <c r="A13" s="39" t="s">
        <v>79</v>
      </c>
      <c r="B13" s="36">
        <f t="shared" ref="B13:C14" si="1">+D13+F13+H13</f>
        <v>213</v>
      </c>
      <c r="C13" s="36">
        <f t="shared" si="1"/>
        <v>240</v>
      </c>
      <c r="D13" s="40">
        <v>47</v>
      </c>
      <c r="E13" s="25">
        <v>59</v>
      </c>
      <c r="F13" s="40">
        <v>71</v>
      </c>
      <c r="G13" s="25">
        <v>83</v>
      </c>
      <c r="H13" s="40">
        <v>95</v>
      </c>
      <c r="I13" s="25">
        <v>98</v>
      </c>
      <c r="J13" s="40">
        <v>101</v>
      </c>
      <c r="K13" s="25">
        <v>104</v>
      </c>
      <c r="L13" s="4" t="str">
        <f>IF(C13=E13+G13+I13,"","Ангилсан дүн Нийт дүнгээс зөрүүтэй")</f>
        <v/>
      </c>
    </row>
    <row r="14" spans="1:12" x14ac:dyDescent="0.25">
      <c r="A14" s="41" t="s">
        <v>80</v>
      </c>
      <c r="B14" s="36">
        <f t="shared" si="1"/>
        <v>216</v>
      </c>
      <c r="C14" s="36">
        <f t="shared" si="1"/>
        <v>243</v>
      </c>
      <c r="D14" s="42">
        <v>48</v>
      </c>
      <c r="E14" s="43">
        <v>60</v>
      </c>
      <c r="F14" s="42">
        <v>72</v>
      </c>
      <c r="G14" s="43">
        <v>84</v>
      </c>
      <c r="H14" s="42">
        <v>96</v>
      </c>
      <c r="I14" s="43">
        <v>99</v>
      </c>
      <c r="J14" s="42">
        <v>102</v>
      </c>
      <c r="K14" s="43">
        <v>105</v>
      </c>
      <c r="L14" s="4" t="str">
        <f>IF(C14=E14+G14+I14,"","Ангилсан дүн Нийт дүнгээс зөрүүтэй")</f>
        <v/>
      </c>
    </row>
    <row r="15" spans="1:12" s="133" customFormat="1" ht="14.25" x14ac:dyDescent="0.2">
      <c r="A15" s="33" t="s">
        <v>153</v>
      </c>
      <c r="B15" s="34">
        <f>SUM(B16:B19)</f>
        <v>500</v>
      </c>
      <c r="C15" s="34">
        <f>SUM(C16:C19)</f>
        <v>596</v>
      </c>
      <c r="D15" s="34">
        <f t="shared" ref="D15:G15" si="2">SUM(D16:D19)</f>
        <v>202</v>
      </c>
      <c r="E15" s="34">
        <f t="shared" si="2"/>
        <v>250</v>
      </c>
      <c r="F15" s="34">
        <f t="shared" si="2"/>
        <v>298</v>
      </c>
      <c r="G15" s="163">
        <f t="shared" si="2"/>
        <v>346</v>
      </c>
      <c r="H15" s="287" t="s">
        <v>83</v>
      </c>
      <c r="I15" s="288"/>
      <c r="J15" s="288"/>
      <c r="K15" s="288"/>
      <c r="L15" s="133" t="str">
        <f>IF(C15=E15+G15,"","Ангилалын дүн нийт дүнгээс зөрүүтэй")</f>
        <v/>
      </c>
    </row>
    <row r="16" spans="1:12" x14ac:dyDescent="0.25">
      <c r="A16" s="35" t="s">
        <v>106</v>
      </c>
      <c r="B16" s="36">
        <f>+D16+F16+H16</f>
        <v>122</v>
      </c>
      <c r="C16" s="36">
        <f>+E16+G16+I16</f>
        <v>146</v>
      </c>
      <c r="D16" s="37">
        <v>49</v>
      </c>
      <c r="E16" s="38">
        <v>61</v>
      </c>
      <c r="F16" s="37">
        <v>73</v>
      </c>
      <c r="G16" s="164">
        <v>85</v>
      </c>
      <c r="H16" s="288"/>
      <c r="I16" s="288"/>
      <c r="J16" s="288"/>
      <c r="K16" s="288"/>
      <c r="L16" s="4" t="str">
        <f t="shared" ref="L16:L25" si="3">IF(C16=E16+G16,"","Ангилалын дүн нийт дүнгээс зөрүүтэй")</f>
        <v/>
      </c>
    </row>
    <row r="17" spans="1:12" x14ac:dyDescent="0.25">
      <c r="A17" s="39" t="s">
        <v>107</v>
      </c>
      <c r="B17" s="36">
        <f t="shared" ref="B17" si="4">+D17+F17+H17</f>
        <v>124</v>
      </c>
      <c r="C17" s="36">
        <f t="shared" ref="C17" si="5">+E17+G17+I17</f>
        <v>148</v>
      </c>
      <c r="D17" s="40">
        <v>50</v>
      </c>
      <c r="E17" s="25">
        <v>62</v>
      </c>
      <c r="F17" s="40">
        <v>74</v>
      </c>
      <c r="G17" s="165">
        <v>86</v>
      </c>
      <c r="H17" s="288"/>
      <c r="I17" s="288"/>
      <c r="J17" s="288"/>
      <c r="K17" s="288"/>
      <c r="L17" s="4" t="str">
        <f t="shared" si="3"/>
        <v/>
      </c>
    </row>
    <row r="18" spans="1:12" x14ac:dyDescent="0.25">
      <c r="A18" s="39" t="s">
        <v>108</v>
      </c>
      <c r="B18" s="36">
        <f t="shared" ref="B18:B19" si="6">+D18+F18+H18</f>
        <v>126</v>
      </c>
      <c r="C18" s="36">
        <f t="shared" ref="C18:C19" si="7">+E18+G18+I18</f>
        <v>150</v>
      </c>
      <c r="D18" s="40">
        <v>51</v>
      </c>
      <c r="E18" s="25">
        <v>63</v>
      </c>
      <c r="F18" s="40">
        <v>75</v>
      </c>
      <c r="G18" s="165">
        <v>87</v>
      </c>
      <c r="H18" s="288"/>
      <c r="I18" s="288"/>
      <c r="J18" s="288"/>
      <c r="K18" s="288"/>
      <c r="L18" s="4" t="str">
        <f t="shared" si="3"/>
        <v/>
      </c>
    </row>
    <row r="19" spans="1:12" x14ac:dyDescent="0.25">
      <c r="A19" s="39" t="s">
        <v>109</v>
      </c>
      <c r="B19" s="36">
        <f t="shared" si="6"/>
        <v>128</v>
      </c>
      <c r="C19" s="36">
        <f t="shared" si="7"/>
        <v>152</v>
      </c>
      <c r="D19" s="40">
        <v>52</v>
      </c>
      <c r="E19" s="25">
        <v>64</v>
      </c>
      <c r="F19" s="40">
        <v>76</v>
      </c>
      <c r="G19" s="165">
        <v>88</v>
      </c>
      <c r="H19" s="288"/>
      <c r="I19" s="288"/>
      <c r="J19" s="288"/>
      <c r="K19" s="288"/>
      <c r="L19" s="4" t="str">
        <f t="shared" si="3"/>
        <v/>
      </c>
    </row>
    <row r="20" spans="1:12" s="133" customFormat="1" ht="14.25" x14ac:dyDescent="0.2">
      <c r="A20" s="44" t="s">
        <v>154</v>
      </c>
      <c r="B20" s="45">
        <f>SUM(B21:B25)</f>
        <v>670</v>
      </c>
      <c r="C20" s="45">
        <f>SUM(C21:C25)</f>
        <v>790</v>
      </c>
      <c r="D20" s="45">
        <f t="shared" ref="D20:G20" si="8">SUM(D21:D25)</f>
        <v>275</v>
      </c>
      <c r="E20" s="45">
        <f t="shared" si="8"/>
        <v>335</v>
      </c>
      <c r="F20" s="45">
        <f t="shared" si="8"/>
        <v>395</v>
      </c>
      <c r="G20" s="166">
        <f t="shared" si="8"/>
        <v>455</v>
      </c>
      <c r="H20" s="289"/>
      <c r="I20" s="289"/>
      <c r="J20" s="289"/>
      <c r="K20" s="289"/>
      <c r="L20" s="133" t="str">
        <f t="shared" si="3"/>
        <v/>
      </c>
    </row>
    <row r="21" spans="1:12" x14ac:dyDescent="0.25">
      <c r="A21" s="46" t="s">
        <v>110</v>
      </c>
      <c r="B21" s="36">
        <f>+D21+F21+H21</f>
        <v>130</v>
      </c>
      <c r="C21" s="36">
        <f>+E21+G21+I21</f>
        <v>154</v>
      </c>
      <c r="D21" s="40">
        <v>53</v>
      </c>
      <c r="E21" s="25">
        <v>65</v>
      </c>
      <c r="F21" s="40">
        <v>77</v>
      </c>
      <c r="G21" s="165">
        <v>89</v>
      </c>
      <c r="H21" s="288"/>
      <c r="I21" s="288"/>
      <c r="J21" s="288"/>
      <c r="K21" s="288"/>
      <c r="L21" s="4" t="str">
        <f t="shared" si="3"/>
        <v/>
      </c>
    </row>
    <row r="22" spans="1:12" x14ac:dyDescent="0.25">
      <c r="A22" s="46" t="s">
        <v>111</v>
      </c>
      <c r="B22" s="36">
        <f t="shared" ref="B22:B23" si="9">+D22+F22+H22</f>
        <v>132</v>
      </c>
      <c r="C22" s="36">
        <f t="shared" ref="C22:C23" si="10">+E22+G22+I22</f>
        <v>156</v>
      </c>
      <c r="D22" s="40">
        <v>54</v>
      </c>
      <c r="E22" s="25">
        <v>66</v>
      </c>
      <c r="F22" s="40">
        <v>78</v>
      </c>
      <c r="G22" s="165">
        <v>90</v>
      </c>
      <c r="H22" s="288"/>
      <c r="I22" s="288"/>
      <c r="J22" s="288"/>
      <c r="K22" s="288"/>
      <c r="L22" s="4" t="str">
        <f t="shared" si="3"/>
        <v/>
      </c>
    </row>
    <row r="23" spans="1:12" x14ac:dyDescent="0.25">
      <c r="A23" s="46" t="s">
        <v>112</v>
      </c>
      <c r="B23" s="36">
        <f t="shared" si="9"/>
        <v>134</v>
      </c>
      <c r="C23" s="36">
        <f t="shared" si="10"/>
        <v>158</v>
      </c>
      <c r="D23" s="40">
        <v>55</v>
      </c>
      <c r="E23" s="25">
        <v>67</v>
      </c>
      <c r="F23" s="40">
        <v>79</v>
      </c>
      <c r="G23" s="165">
        <v>91</v>
      </c>
      <c r="H23" s="288"/>
      <c r="I23" s="288"/>
      <c r="J23" s="288"/>
      <c r="K23" s="288"/>
      <c r="L23" s="4" t="str">
        <f t="shared" si="3"/>
        <v/>
      </c>
    </row>
    <row r="24" spans="1:12" x14ac:dyDescent="0.25">
      <c r="A24" s="46" t="s">
        <v>113</v>
      </c>
      <c r="B24" s="36">
        <f>+D24+F24+H24</f>
        <v>136</v>
      </c>
      <c r="C24" s="36">
        <f>+E24+G24+I24</f>
        <v>160</v>
      </c>
      <c r="D24" s="40">
        <v>56</v>
      </c>
      <c r="E24" s="25">
        <v>68</v>
      </c>
      <c r="F24" s="40">
        <v>80</v>
      </c>
      <c r="G24" s="165">
        <v>92</v>
      </c>
      <c r="H24" s="288"/>
      <c r="I24" s="288"/>
      <c r="J24" s="288"/>
      <c r="K24" s="288"/>
      <c r="L24" s="4" t="str">
        <f t="shared" si="3"/>
        <v/>
      </c>
    </row>
    <row r="25" spans="1:12" x14ac:dyDescent="0.25">
      <c r="A25" s="46" t="s">
        <v>114</v>
      </c>
      <c r="B25" s="36">
        <f t="shared" ref="B25" si="11">+D25+F25+H25</f>
        <v>138</v>
      </c>
      <c r="C25" s="36">
        <f t="shared" ref="C25" si="12">+E25+G25+I25</f>
        <v>162</v>
      </c>
      <c r="D25" s="40">
        <v>57</v>
      </c>
      <c r="E25" s="25">
        <v>69</v>
      </c>
      <c r="F25" s="40">
        <v>81</v>
      </c>
      <c r="G25" s="165">
        <v>93</v>
      </c>
      <c r="H25" s="288"/>
      <c r="I25" s="288"/>
      <c r="J25" s="288"/>
      <c r="K25" s="288"/>
      <c r="L25" s="4" t="str">
        <f t="shared" si="3"/>
        <v/>
      </c>
    </row>
    <row r="29" spans="1:12" x14ac:dyDescent="0.25">
      <c r="B29" s="260" t="str">
        <f>+STAT!C33</f>
        <v>ТАМГА</v>
      </c>
      <c r="C29" s="260"/>
      <c r="D29" s="47"/>
    </row>
    <row r="30" spans="1:12" x14ac:dyDescent="0.25">
      <c r="B30" s="136"/>
      <c r="C30" s="137"/>
      <c r="D30" s="47"/>
    </row>
    <row r="31" spans="1:12" x14ac:dyDescent="0.25">
      <c r="B31" s="138" t="str">
        <f>+STAT!C35</f>
        <v xml:space="preserve">             ТАЙЛАНГ ҮНЭН ЗӨВ ГАРГАСАН:</v>
      </c>
      <c r="C31" s="138"/>
      <c r="D31" s="139"/>
    </row>
    <row r="32" spans="1:12" x14ac:dyDescent="0.25">
      <c r="B32" s="140"/>
      <c r="C32" s="141"/>
      <c r="D32" s="47"/>
    </row>
    <row r="33" spans="2:5" x14ac:dyDescent="0.25">
      <c r="B33" s="140"/>
      <c r="C33" s="47" t="str">
        <f>+STAT!D37</f>
        <v>ГҮЙЦЭТГЭХ ЗАХИРАЛ...........BOLD..........//</v>
      </c>
      <c r="D33" s="47"/>
      <c r="E33" s="47"/>
    </row>
    <row r="34" spans="2:5" x14ac:dyDescent="0.25">
      <c r="B34" s="140"/>
      <c r="C34" s="48"/>
      <c r="D34" s="48"/>
    </row>
    <row r="35" spans="2:5" x14ac:dyDescent="0.25">
      <c r="B35" s="140"/>
      <c r="C35" s="47" t="str">
        <f>+STAT!D39</f>
        <v>ЕРӨНХИЙ НЯГТЛАН БОДОГЧ..............BAT............//</v>
      </c>
      <c r="D35" s="47"/>
      <c r="E35" s="47"/>
    </row>
  </sheetData>
  <sheetProtection algorithmName="SHA-512" hashValue="cw8dLNOYyOInmKp4vqvgYYYa9Wtc6MKLC/2+QLE2iuxZ3+ozCXYcN0QXR99WulXKyg610e1C5KSVRfW39xWjUQ==" saltValue="K6PGCBlcoqUaF0IS9rPCtQ==" spinCount="100000" sheet="1" objects="1" scenarios="1"/>
  <mergeCells count="18">
    <mergeCell ref="H15:K25"/>
    <mergeCell ref="D9:D10"/>
    <mergeCell ref="E9:E10"/>
    <mergeCell ref="F9:F10"/>
    <mergeCell ref="G9:G10"/>
    <mergeCell ref="H9:H10"/>
    <mergeCell ref="I9:I10"/>
    <mergeCell ref="A2:J2"/>
    <mergeCell ref="A3:J3"/>
    <mergeCell ref="A4:J4"/>
    <mergeCell ref="A8:A10"/>
    <mergeCell ref="B8:C8"/>
    <mergeCell ref="D8:E8"/>
    <mergeCell ref="F8:G8"/>
    <mergeCell ref="H8:K8"/>
    <mergeCell ref="B9:B10"/>
    <mergeCell ref="C9:C10"/>
    <mergeCell ref="J9:K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12BF-E4E5-4876-A1B6-167813EA2D6D}">
  <dimension ref="A2:O179"/>
  <sheetViews>
    <sheetView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G6" sqref="G6:G7"/>
    </sheetView>
  </sheetViews>
  <sheetFormatPr defaultRowHeight="12.75" x14ac:dyDescent="0.2"/>
  <cols>
    <col min="1" max="1" width="4" style="86" bestFit="1" customWidth="1"/>
    <col min="2" max="2" width="27.28515625" style="103" bestFit="1" customWidth="1"/>
    <col min="3" max="3" width="10.85546875" style="103" customWidth="1"/>
    <col min="4" max="4" width="26.140625" style="103" customWidth="1"/>
    <col min="5" max="5" width="18.85546875" style="125" customWidth="1"/>
    <col min="6" max="6" width="11.140625" style="126" bestFit="1" customWidth="1"/>
    <col min="7" max="7" width="44.85546875" style="125" bestFit="1" customWidth="1"/>
    <col min="8" max="10" width="9.85546875" style="86" customWidth="1"/>
    <col min="11" max="11" width="20.7109375" style="125" customWidth="1"/>
    <col min="12" max="12" width="17.42578125" style="127" customWidth="1"/>
    <col min="13" max="13" width="15.42578125" style="125" customWidth="1"/>
    <col min="14" max="16384" width="9.140625" style="86"/>
  </cols>
  <sheetData>
    <row r="2" spans="1:15" x14ac:dyDescent="0.2">
      <c r="A2" s="291" t="s">
        <v>71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15" x14ac:dyDescent="0.2">
      <c r="A3" s="292" t="str">
        <f>+BC!B3</f>
        <v>ХУДАЛДАА ХӨГЖИЛ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</row>
    <row r="4" spans="1:15" x14ac:dyDescent="0.2">
      <c r="A4" s="293" t="str">
        <f>+BC!B4</f>
        <v>БАНК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</row>
    <row r="5" spans="1:15" x14ac:dyDescent="0.2">
      <c r="A5" s="294">
        <f>+BC!B6</f>
        <v>45382</v>
      </c>
      <c r="B5" s="294"/>
      <c r="C5" s="168"/>
      <c r="D5" s="168"/>
      <c r="E5" s="127"/>
      <c r="G5" s="169"/>
      <c r="H5" s="169"/>
      <c r="I5" s="169"/>
      <c r="J5" s="169"/>
      <c r="K5" s="127"/>
      <c r="M5" s="170">
        <f>+BC!D6</f>
        <v>0</v>
      </c>
    </row>
    <row r="6" spans="1:15" ht="51" customHeight="1" x14ac:dyDescent="0.2">
      <c r="A6" s="295" t="s">
        <v>24</v>
      </c>
      <c r="B6" s="295" t="s">
        <v>133</v>
      </c>
      <c r="C6" s="295"/>
      <c r="D6" s="296" t="s">
        <v>25</v>
      </c>
      <c r="E6" s="290" t="s">
        <v>132</v>
      </c>
      <c r="F6" s="297" t="s">
        <v>134</v>
      </c>
      <c r="G6" s="290" t="s">
        <v>26</v>
      </c>
      <c r="H6" s="296" t="s">
        <v>27</v>
      </c>
      <c r="I6" s="296" t="s">
        <v>28</v>
      </c>
      <c r="J6" s="296" t="s">
        <v>29</v>
      </c>
      <c r="K6" s="290" t="s">
        <v>74</v>
      </c>
      <c r="L6" s="290" t="s">
        <v>30</v>
      </c>
      <c r="M6" s="290" t="s">
        <v>135</v>
      </c>
    </row>
    <row r="7" spans="1:15" x14ac:dyDescent="0.2">
      <c r="A7" s="295"/>
      <c r="B7" s="88" t="s">
        <v>31</v>
      </c>
      <c r="C7" s="88" t="s">
        <v>32</v>
      </c>
      <c r="D7" s="296"/>
      <c r="E7" s="290"/>
      <c r="F7" s="297"/>
      <c r="G7" s="290"/>
      <c r="H7" s="296"/>
      <c r="I7" s="296"/>
      <c r="J7" s="296"/>
      <c r="K7" s="290"/>
      <c r="L7" s="290"/>
      <c r="M7" s="290"/>
    </row>
    <row r="8" spans="1:15" x14ac:dyDescent="0.2">
      <c r="A8" s="89">
        <v>1</v>
      </c>
      <c r="B8" s="49" t="s">
        <v>165</v>
      </c>
      <c r="C8" s="50" t="s">
        <v>190</v>
      </c>
      <c r="D8" s="51" t="s">
        <v>55</v>
      </c>
      <c r="E8" s="52">
        <v>1000</v>
      </c>
      <c r="F8" s="53">
        <v>0.01</v>
      </c>
      <c r="G8" s="54" t="s">
        <v>64</v>
      </c>
      <c r="H8" s="55">
        <v>45817</v>
      </c>
      <c r="I8" s="55">
        <v>46151</v>
      </c>
      <c r="J8" s="55">
        <f>+I8+30</f>
        <v>46181</v>
      </c>
      <c r="K8" s="56">
        <v>5000</v>
      </c>
      <c r="L8" s="57" t="s">
        <v>61</v>
      </c>
      <c r="M8" s="58" t="s">
        <v>38</v>
      </c>
      <c r="N8" s="90" t="e">
        <f>IF(B8&gt;0,IF(AND(#REF!&gt;0,C8&gt;0,#REF!&gt;0),"","C, M болон N баганын холбогдох утгыг нөхнө үү"),"")</f>
        <v>#REF!</v>
      </c>
      <c r="O8" s="90"/>
    </row>
    <row r="9" spans="1:15" x14ac:dyDescent="0.2">
      <c r="A9" s="91">
        <f>+A8+1</f>
        <v>2</v>
      </c>
      <c r="B9" s="13" t="s">
        <v>166</v>
      </c>
      <c r="C9" s="14" t="s">
        <v>191</v>
      </c>
      <c r="D9" s="51" t="s">
        <v>54</v>
      </c>
      <c r="E9" s="15">
        <v>2000</v>
      </c>
      <c r="F9" s="16">
        <v>0.02</v>
      </c>
      <c r="G9" s="54" t="s">
        <v>63</v>
      </c>
      <c r="H9" s="55">
        <f>+H8+1</f>
        <v>45818</v>
      </c>
      <c r="I9" s="55">
        <f>+I8+1</f>
        <v>46152</v>
      </c>
      <c r="J9" s="55">
        <f t="shared" ref="J9:J31" si="0">+I9+30</f>
        <v>46182</v>
      </c>
      <c r="K9" s="17">
        <v>6000</v>
      </c>
      <c r="L9" s="57" t="s">
        <v>62</v>
      </c>
      <c r="M9" s="58" t="s">
        <v>79</v>
      </c>
      <c r="N9" s="90" t="e">
        <f>IF(B9&gt;0,IF(AND(#REF!&gt;0,C9&gt;0,#REF!&gt;0),"","C, M болон N баганын холбогдох утгыг нөхнө үү"),"")</f>
        <v>#REF!</v>
      </c>
      <c r="O9" s="90"/>
    </row>
    <row r="10" spans="1:15" x14ac:dyDescent="0.2">
      <c r="A10" s="91">
        <f t="shared" ref="A10:A73" si="1">+A9+1</f>
        <v>3</v>
      </c>
      <c r="B10" s="13" t="s">
        <v>167</v>
      </c>
      <c r="C10" s="14" t="s">
        <v>192</v>
      </c>
      <c r="D10" s="51" t="s">
        <v>56</v>
      </c>
      <c r="E10" s="15">
        <v>3000</v>
      </c>
      <c r="F10" s="16">
        <v>0.03</v>
      </c>
      <c r="G10" s="54" t="s">
        <v>65</v>
      </c>
      <c r="H10" s="55">
        <f t="shared" ref="H10:I32" si="2">+H9+1</f>
        <v>45819</v>
      </c>
      <c r="I10" s="55">
        <f t="shared" si="2"/>
        <v>46153</v>
      </c>
      <c r="J10" s="55">
        <f t="shared" si="0"/>
        <v>46183</v>
      </c>
      <c r="K10" s="17">
        <v>7000</v>
      </c>
      <c r="L10" s="57" t="s">
        <v>61</v>
      </c>
      <c r="M10" s="58" t="s">
        <v>41</v>
      </c>
      <c r="N10" s="90" t="e">
        <f>IF(B10&gt;0,IF(AND(#REF!&gt;0,C10&gt;0,#REF!&gt;0),"","C, M болон N баганын холбогдох утгыг нөхнө үү"),"")</f>
        <v>#REF!</v>
      </c>
      <c r="O10" s="90"/>
    </row>
    <row r="11" spans="1:15" x14ac:dyDescent="0.2">
      <c r="A11" s="91">
        <f t="shared" si="1"/>
        <v>4</v>
      </c>
      <c r="B11" s="13" t="s">
        <v>168</v>
      </c>
      <c r="C11" s="14" t="s">
        <v>193</v>
      </c>
      <c r="D11" s="51" t="s">
        <v>47</v>
      </c>
      <c r="E11" s="15">
        <v>4000</v>
      </c>
      <c r="F11" s="16">
        <v>0.04</v>
      </c>
      <c r="G11" s="54" t="s">
        <v>137</v>
      </c>
      <c r="H11" s="55">
        <f t="shared" si="2"/>
        <v>45820</v>
      </c>
      <c r="I11" s="55">
        <f t="shared" si="2"/>
        <v>46154</v>
      </c>
      <c r="J11" s="55">
        <f t="shared" si="0"/>
        <v>46184</v>
      </c>
      <c r="K11" s="18">
        <v>8000</v>
      </c>
      <c r="L11" s="57" t="s">
        <v>62</v>
      </c>
      <c r="M11" s="58" t="s">
        <v>43</v>
      </c>
      <c r="N11" s="90" t="e">
        <f>IF(B11&gt;0,IF(AND(#REF!&gt;0,C11&gt;0,#REF!&gt;0),"","C, M болон N баганын холбогдох утгыг нөхнө үү"),"")</f>
        <v>#REF!</v>
      </c>
      <c r="O11" s="90"/>
    </row>
    <row r="12" spans="1:15" x14ac:dyDescent="0.2">
      <c r="A12" s="91">
        <f t="shared" si="1"/>
        <v>5</v>
      </c>
      <c r="B12" s="13" t="s">
        <v>169</v>
      </c>
      <c r="C12" s="14" t="s">
        <v>194</v>
      </c>
      <c r="D12" s="51" t="s">
        <v>57</v>
      </c>
      <c r="E12" s="15">
        <v>5000</v>
      </c>
      <c r="F12" s="16">
        <v>0.05</v>
      </c>
      <c r="G12" s="54" t="s">
        <v>138</v>
      </c>
      <c r="H12" s="55">
        <f t="shared" si="2"/>
        <v>45821</v>
      </c>
      <c r="I12" s="55">
        <f t="shared" si="2"/>
        <v>46155</v>
      </c>
      <c r="J12" s="55">
        <f t="shared" si="0"/>
        <v>46185</v>
      </c>
      <c r="K12" s="19">
        <v>9000</v>
      </c>
      <c r="L12" s="57" t="s">
        <v>61</v>
      </c>
      <c r="M12" s="58" t="s">
        <v>45</v>
      </c>
      <c r="N12" s="90" t="e">
        <f>IF(B12&gt;0,IF(AND(#REF!&gt;0,C12&gt;0,#REF!&gt;0),"","C, M болон N баганын холбогдох утгыг нөхнө үү"),"")</f>
        <v>#REF!</v>
      </c>
      <c r="O12" s="90"/>
    </row>
    <row r="13" spans="1:15" x14ac:dyDescent="0.2">
      <c r="A13" s="91">
        <f t="shared" si="1"/>
        <v>6</v>
      </c>
      <c r="B13" s="13" t="s">
        <v>170</v>
      </c>
      <c r="C13" s="14" t="s">
        <v>195</v>
      </c>
      <c r="D13" s="51" t="s">
        <v>57</v>
      </c>
      <c r="E13" s="15">
        <v>6000</v>
      </c>
      <c r="F13" s="16">
        <v>0.06</v>
      </c>
      <c r="G13" s="54" t="s">
        <v>37</v>
      </c>
      <c r="H13" s="55">
        <f t="shared" si="2"/>
        <v>45822</v>
      </c>
      <c r="I13" s="55">
        <f t="shared" si="2"/>
        <v>46156</v>
      </c>
      <c r="J13" s="55">
        <f t="shared" si="0"/>
        <v>46186</v>
      </c>
      <c r="K13" s="19">
        <v>10000</v>
      </c>
      <c r="L13" s="57" t="s">
        <v>62</v>
      </c>
      <c r="M13" s="58" t="s">
        <v>38</v>
      </c>
      <c r="N13" s="90" t="e">
        <f>IF(B13&gt;0,IF(AND(#REF!&gt;0,C13&gt;0,#REF!&gt;0),"","C, M болон N баганын холбогдох утгыг нөхнө үү"),"")</f>
        <v>#REF!</v>
      </c>
      <c r="O13" s="90"/>
    </row>
    <row r="14" spans="1:15" x14ac:dyDescent="0.2">
      <c r="A14" s="91">
        <f t="shared" si="1"/>
        <v>7</v>
      </c>
      <c r="B14" s="13" t="s">
        <v>171</v>
      </c>
      <c r="C14" s="14" t="s">
        <v>196</v>
      </c>
      <c r="D14" s="51" t="s">
        <v>56</v>
      </c>
      <c r="E14" s="15">
        <v>7000</v>
      </c>
      <c r="F14" s="16">
        <v>7.0000000000000007E-2</v>
      </c>
      <c r="G14" s="54" t="s">
        <v>139</v>
      </c>
      <c r="H14" s="55">
        <f t="shared" si="2"/>
        <v>45823</v>
      </c>
      <c r="I14" s="55">
        <f t="shared" si="2"/>
        <v>46157</v>
      </c>
      <c r="J14" s="55">
        <f t="shared" si="0"/>
        <v>46187</v>
      </c>
      <c r="K14" s="19">
        <v>11000</v>
      </c>
      <c r="L14" s="57" t="s">
        <v>61</v>
      </c>
      <c r="M14" s="58" t="s">
        <v>79</v>
      </c>
      <c r="N14" s="90" t="e">
        <f>IF(B14&gt;0,IF(AND(#REF!&gt;0,C14&gt;0,#REF!&gt;0),"","C, M болон N баганын холбогдох утгыг нөхнө үү"),"")</f>
        <v>#REF!</v>
      </c>
      <c r="O14" s="90"/>
    </row>
    <row r="15" spans="1:15" x14ac:dyDescent="0.2">
      <c r="A15" s="91">
        <f t="shared" si="1"/>
        <v>8</v>
      </c>
      <c r="B15" s="13" t="s">
        <v>172</v>
      </c>
      <c r="C15" s="14" t="s">
        <v>197</v>
      </c>
      <c r="D15" s="51" t="s">
        <v>58</v>
      </c>
      <c r="E15" s="15">
        <v>8000</v>
      </c>
      <c r="F15" s="16">
        <v>0.08</v>
      </c>
      <c r="G15" s="54" t="s">
        <v>141</v>
      </c>
      <c r="H15" s="55">
        <f t="shared" si="2"/>
        <v>45824</v>
      </c>
      <c r="I15" s="55">
        <f t="shared" si="2"/>
        <v>46158</v>
      </c>
      <c r="J15" s="55">
        <f t="shared" si="0"/>
        <v>46188</v>
      </c>
      <c r="K15" s="19">
        <v>12000</v>
      </c>
      <c r="L15" s="57" t="s">
        <v>62</v>
      </c>
      <c r="M15" s="58" t="s">
        <v>41</v>
      </c>
      <c r="N15" s="90" t="e">
        <f>IF(B15&gt;0,IF(AND(#REF!&gt;0,C15&gt;0,#REF!&gt;0),"","C, M болон N баганын холбогдох утгыг нөхнө үү"),"")</f>
        <v>#REF!</v>
      </c>
      <c r="O15" s="90"/>
    </row>
    <row r="16" spans="1:15" x14ac:dyDescent="0.2">
      <c r="A16" s="91">
        <f t="shared" si="1"/>
        <v>9</v>
      </c>
      <c r="B16" s="13" t="s">
        <v>173</v>
      </c>
      <c r="C16" s="14">
        <v>41867461</v>
      </c>
      <c r="D16" s="51" t="s">
        <v>60</v>
      </c>
      <c r="E16" s="15">
        <v>9000</v>
      </c>
      <c r="F16" s="16">
        <v>0.09</v>
      </c>
      <c r="G16" s="54" t="s">
        <v>140</v>
      </c>
      <c r="H16" s="55">
        <f t="shared" si="2"/>
        <v>45825</v>
      </c>
      <c r="I16" s="55">
        <f t="shared" si="2"/>
        <v>46159</v>
      </c>
      <c r="J16" s="55">
        <f t="shared" si="0"/>
        <v>46189</v>
      </c>
      <c r="K16" s="19">
        <v>13000</v>
      </c>
      <c r="L16" s="57" t="s">
        <v>61</v>
      </c>
      <c r="M16" s="58" t="s">
        <v>43</v>
      </c>
      <c r="N16" s="90" t="e">
        <f>IF(B16&gt;0,IF(AND(#REF!&gt;0,C16&gt;0,#REF!&gt;0),"","C, M болон N баганын холбогдох утгыг нөхнө үү"),"")</f>
        <v>#REF!</v>
      </c>
      <c r="O16" s="90"/>
    </row>
    <row r="17" spans="1:15" x14ac:dyDescent="0.2">
      <c r="A17" s="91">
        <f t="shared" si="1"/>
        <v>10</v>
      </c>
      <c r="B17" s="13" t="s">
        <v>174</v>
      </c>
      <c r="C17" s="14">
        <v>45674846</v>
      </c>
      <c r="D17" s="51" t="s">
        <v>59</v>
      </c>
      <c r="E17" s="15">
        <v>10000</v>
      </c>
      <c r="F17" s="16">
        <v>0.1</v>
      </c>
      <c r="G17" s="54" t="s">
        <v>142</v>
      </c>
      <c r="H17" s="55">
        <f t="shared" si="2"/>
        <v>45826</v>
      </c>
      <c r="I17" s="55">
        <f t="shared" si="2"/>
        <v>46160</v>
      </c>
      <c r="J17" s="55">
        <f t="shared" si="0"/>
        <v>46190</v>
      </c>
      <c r="K17" s="19">
        <v>14000</v>
      </c>
      <c r="L17" s="57" t="s">
        <v>62</v>
      </c>
      <c r="M17" s="58" t="s">
        <v>45</v>
      </c>
      <c r="N17" s="90" t="e">
        <f>IF(B17&gt;0,IF(AND(#REF!&gt;0,C17&gt;0,#REF!&gt;0),"","C, M болон N баганын холбогдох утгыг нөхнө үү"),"")</f>
        <v>#REF!</v>
      </c>
      <c r="O17" s="90"/>
    </row>
    <row r="18" spans="1:15" x14ac:dyDescent="0.2">
      <c r="A18" s="91">
        <f t="shared" si="1"/>
        <v>11</v>
      </c>
      <c r="B18" s="13" t="s">
        <v>175</v>
      </c>
      <c r="C18" s="14">
        <v>415674874</v>
      </c>
      <c r="D18" s="51" t="s">
        <v>58</v>
      </c>
      <c r="E18" s="15">
        <v>11000</v>
      </c>
      <c r="F18" s="16">
        <v>0.11</v>
      </c>
      <c r="G18" s="54" t="s">
        <v>66</v>
      </c>
      <c r="H18" s="55">
        <f t="shared" si="2"/>
        <v>45827</v>
      </c>
      <c r="I18" s="55">
        <f t="shared" si="2"/>
        <v>46161</v>
      </c>
      <c r="J18" s="55">
        <f t="shared" si="0"/>
        <v>46191</v>
      </c>
      <c r="K18" s="19">
        <v>15000</v>
      </c>
      <c r="L18" s="57" t="s">
        <v>61</v>
      </c>
      <c r="M18" s="58" t="s">
        <v>38</v>
      </c>
      <c r="N18" s="90" t="e">
        <f>IF(B18&gt;0,IF(AND(#REF!&gt;0,C18&gt;0,#REF!&gt;0),"","C, M болон N баганын холбогдох утгыг нөхнө үү"),"")</f>
        <v>#REF!</v>
      </c>
      <c r="O18" s="90"/>
    </row>
    <row r="19" spans="1:15" x14ac:dyDescent="0.2">
      <c r="A19" s="91">
        <f t="shared" si="1"/>
        <v>12</v>
      </c>
      <c r="B19" s="13" t="s">
        <v>176</v>
      </c>
      <c r="C19" s="14">
        <v>4658748974</v>
      </c>
      <c r="D19" s="51" t="s">
        <v>55</v>
      </c>
      <c r="E19" s="15">
        <v>12000</v>
      </c>
      <c r="F19" s="16">
        <v>0.12</v>
      </c>
      <c r="G19" s="54" t="s">
        <v>67</v>
      </c>
      <c r="H19" s="55">
        <f t="shared" si="2"/>
        <v>45828</v>
      </c>
      <c r="I19" s="55">
        <f t="shared" si="2"/>
        <v>46162</v>
      </c>
      <c r="J19" s="55">
        <f t="shared" si="0"/>
        <v>46192</v>
      </c>
      <c r="K19" s="17">
        <v>16000</v>
      </c>
      <c r="L19" s="57" t="s">
        <v>62</v>
      </c>
      <c r="M19" s="58" t="s">
        <v>79</v>
      </c>
      <c r="N19" s="90" t="e">
        <f>IF(B19&gt;0,IF(AND(#REF!&gt;0,C19&gt;0,#REF!&gt;0),"","C, M болон N баганын холбогдох утгыг нөхнө үү"),"")</f>
        <v>#REF!</v>
      </c>
      <c r="O19" s="90"/>
    </row>
    <row r="20" spans="1:15" x14ac:dyDescent="0.2">
      <c r="A20" s="91">
        <f t="shared" si="1"/>
        <v>13</v>
      </c>
      <c r="B20" s="13" t="s">
        <v>177</v>
      </c>
      <c r="C20" s="14">
        <v>4674874</v>
      </c>
      <c r="D20" s="51" t="s">
        <v>54</v>
      </c>
      <c r="E20" s="15">
        <v>13000</v>
      </c>
      <c r="F20" s="16">
        <v>0.13</v>
      </c>
      <c r="G20" s="54" t="s">
        <v>68</v>
      </c>
      <c r="H20" s="55">
        <f t="shared" si="2"/>
        <v>45829</v>
      </c>
      <c r="I20" s="55">
        <f t="shared" si="2"/>
        <v>46163</v>
      </c>
      <c r="J20" s="55">
        <f t="shared" si="0"/>
        <v>46193</v>
      </c>
      <c r="K20" s="17">
        <v>17000</v>
      </c>
      <c r="L20" s="57" t="s">
        <v>61</v>
      </c>
      <c r="M20" s="58" t="s">
        <v>41</v>
      </c>
      <c r="N20" s="90" t="e">
        <f>IF(B20&gt;0,IF(AND(#REF!&gt;0,C20&gt;0,#REF!&gt;0),"","C, M болон N баганын холбогдох утгыг нөхнө үү"),"")</f>
        <v>#REF!</v>
      </c>
      <c r="O20" s="90"/>
    </row>
    <row r="21" spans="1:15" x14ac:dyDescent="0.2">
      <c r="A21" s="91">
        <f t="shared" si="1"/>
        <v>14</v>
      </c>
      <c r="B21" s="20" t="s">
        <v>178</v>
      </c>
      <c r="C21" s="14">
        <v>485454</v>
      </c>
      <c r="D21" s="51" t="s">
        <v>56</v>
      </c>
      <c r="E21" s="15">
        <v>14000</v>
      </c>
      <c r="F21" s="21">
        <v>0.14000000000000001</v>
      </c>
      <c r="G21" s="54" t="s">
        <v>143</v>
      </c>
      <c r="H21" s="55">
        <f t="shared" si="2"/>
        <v>45830</v>
      </c>
      <c r="I21" s="55">
        <f t="shared" si="2"/>
        <v>46164</v>
      </c>
      <c r="J21" s="55">
        <f t="shared" si="0"/>
        <v>46194</v>
      </c>
      <c r="K21" s="22">
        <v>18000</v>
      </c>
      <c r="L21" s="57" t="s">
        <v>62</v>
      </c>
      <c r="M21" s="58" t="s">
        <v>43</v>
      </c>
      <c r="N21" s="90" t="e">
        <f>IF(B21&gt;0,IF(AND(#REF!&gt;0,C21&gt;0,#REF!&gt;0),"","C, M болон N баганын холбогдох утгыг нөхнө үү"),"")</f>
        <v>#REF!</v>
      </c>
      <c r="O21" s="90"/>
    </row>
    <row r="22" spans="1:15" x14ac:dyDescent="0.2">
      <c r="A22" s="91">
        <f t="shared" si="1"/>
        <v>15</v>
      </c>
      <c r="B22" s="20" t="s">
        <v>179</v>
      </c>
      <c r="C22" s="14">
        <v>897874</v>
      </c>
      <c r="D22" s="51" t="s">
        <v>47</v>
      </c>
      <c r="E22" s="15">
        <v>15000</v>
      </c>
      <c r="F22" s="21">
        <v>0.15</v>
      </c>
      <c r="G22" s="54" t="s">
        <v>144</v>
      </c>
      <c r="H22" s="55">
        <f t="shared" si="2"/>
        <v>45831</v>
      </c>
      <c r="I22" s="55">
        <f t="shared" si="2"/>
        <v>46165</v>
      </c>
      <c r="J22" s="55">
        <f t="shared" si="0"/>
        <v>46195</v>
      </c>
      <c r="K22" s="22">
        <v>19000</v>
      </c>
      <c r="L22" s="57" t="s">
        <v>61</v>
      </c>
      <c r="M22" s="58" t="s">
        <v>45</v>
      </c>
      <c r="N22" s="90" t="e">
        <f>IF(B22&gt;0,IF(AND(#REF!&gt;0,C22&gt;0,#REF!&gt;0),"","C, M болон N баганын холбогдох утгыг нөхнө үү"),"")</f>
        <v>#REF!</v>
      </c>
      <c r="O22" s="90"/>
    </row>
    <row r="23" spans="1:15" x14ac:dyDescent="0.2">
      <c r="A23" s="91">
        <f t="shared" si="1"/>
        <v>16</v>
      </c>
      <c r="B23" s="20" t="s">
        <v>180</v>
      </c>
      <c r="C23" s="23">
        <v>5113</v>
      </c>
      <c r="D23" s="51" t="s">
        <v>57</v>
      </c>
      <c r="E23" s="15">
        <v>16000</v>
      </c>
      <c r="F23" s="21">
        <v>0.16</v>
      </c>
      <c r="G23" s="54" t="s">
        <v>69</v>
      </c>
      <c r="H23" s="55">
        <f t="shared" si="2"/>
        <v>45832</v>
      </c>
      <c r="I23" s="55">
        <f t="shared" si="2"/>
        <v>46166</v>
      </c>
      <c r="J23" s="55">
        <f t="shared" si="0"/>
        <v>46196</v>
      </c>
      <c r="K23" s="22">
        <v>20000</v>
      </c>
      <c r="L23" s="57" t="s">
        <v>62</v>
      </c>
      <c r="M23" s="58" t="s">
        <v>38</v>
      </c>
      <c r="N23" s="90" t="e">
        <f>IF(B23&gt;0,IF(AND(#REF!&gt;0,C23&gt;0,#REF!&gt;0),"","C, M болон N баганын холбогдох утгыг нөхнө үү"),"")</f>
        <v>#REF!</v>
      </c>
      <c r="O23" s="90"/>
    </row>
    <row r="24" spans="1:15" x14ac:dyDescent="0.2">
      <c r="A24" s="91">
        <f t="shared" si="1"/>
        <v>17</v>
      </c>
      <c r="B24" s="20" t="s">
        <v>181</v>
      </c>
      <c r="C24" s="23">
        <v>4634687</v>
      </c>
      <c r="D24" s="51" t="s">
        <v>57</v>
      </c>
      <c r="E24" s="15">
        <v>17000</v>
      </c>
      <c r="F24" s="21">
        <v>0.17</v>
      </c>
      <c r="G24" s="54" t="s">
        <v>145</v>
      </c>
      <c r="H24" s="55">
        <f t="shared" si="2"/>
        <v>45833</v>
      </c>
      <c r="I24" s="55">
        <f t="shared" si="2"/>
        <v>46167</v>
      </c>
      <c r="J24" s="55">
        <f t="shared" si="0"/>
        <v>46197</v>
      </c>
      <c r="K24" s="22">
        <v>21000</v>
      </c>
      <c r="L24" s="57" t="s">
        <v>61</v>
      </c>
      <c r="M24" s="58" t="s">
        <v>79</v>
      </c>
      <c r="N24" s="90" t="e">
        <f>IF(B24&gt;0,IF(AND(#REF!&gt;0,C24&gt;0,#REF!&gt;0),"","C, M болон N баганын холбогдох утгыг нөхнө үү"),"")</f>
        <v>#REF!</v>
      </c>
      <c r="O24" s="90"/>
    </row>
    <row r="25" spans="1:15" x14ac:dyDescent="0.2">
      <c r="A25" s="91">
        <f t="shared" si="1"/>
        <v>18</v>
      </c>
      <c r="B25" s="20" t="s">
        <v>182</v>
      </c>
      <c r="C25" s="23">
        <v>4547897</v>
      </c>
      <c r="D25" s="51" t="s">
        <v>56</v>
      </c>
      <c r="E25" s="15">
        <v>18000</v>
      </c>
      <c r="F25" s="21">
        <v>0.18</v>
      </c>
      <c r="G25" s="54" t="s">
        <v>47</v>
      </c>
      <c r="H25" s="55">
        <f t="shared" si="2"/>
        <v>45834</v>
      </c>
      <c r="I25" s="55">
        <f t="shared" si="2"/>
        <v>46168</v>
      </c>
      <c r="J25" s="55">
        <f t="shared" si="0"/>
        <v>46198</v>
      </c>
      <c r="K25" s="22">
        <v>22000</v>
      </c>
      <c r="L25" s="57" t="s">
        <v>62</v>
      </c>
      <c r="M25" s="58" t="s">
        <v>41</v>
      </c>
      <c r="N25" s="90" t="e">
        <f>IF(B25&gt;0,IF(AND(#REF!&gt;0,C25&gt;0,#REF!&gt;0),"","C, M болон N баганын холбогдох утгыг нөхнө үү"),"")</f>
        <v>#REF!</v>
      </c>
      <c r="O25" s="90"/>
    </row>
    <row r="26" spans="1:15" x14ac:dyDescent="0.2">
      <c r="A26" s="91">
        <f t="shared" si="1"/>
        <v>19</v>
      </c>
      <c r="B26" s="20" t="s">
        <v>183</v>
      </c>
      <c r="C26" s="23">
        <v>456748</v>
      </c>
      <c r="D26" s="51" t="s">
        <v>58</v>
      </c>
      <c r="E26" s="15">
        <v>19000</v>
      </c>
      <c r="F26" s="21">
        <v>0.19</v>
      </c>
      <c r="G26" s="54" t="s">
        <v>141</v>
      </c>
      <c r="H26" s="55">
        <f t="shared" si="2"/>
        <v>45835</v>
      </c>
      <c r="I26" s="55">
        <f t="shared" si="2"/>
        <v>46169</v>
      </c>
      <c r="J26" s="55">
        <f t="shared" si="0"/>
        <v>46199</v>
      </c>
      <c r="K26" s="22">
        <v>23000</v>
      </c>
      <c r="L26" s="57" t="s">
        <v>61</v>
      </c>
      <c r="M26" s="58" t="s">
        <v>43</v>
      </c>
      <c r="N26" s="90" t="e">
        <f>IF(B26&gt;0,IF(AND(#REF!&gt;0,C26&gt;0,#REF!&gt;0),"","C, M болон N баганын холбогдох утгыг нөхнө үү"),"")</f>
        <v>#REF!</v>
      </c>
      <c r="O26" s="90"/>
    </row>
    <row r="27" spans="1:15" x14ac:dyDescent="0.2">
      <c r="A27" s="91">
        <f t="shared" si="1"/>
        <v>20</v>
      </c>
      <c r="B27" s="20" t="s">
        <v>184</v>
      </c>
      <c r="C27" s="23">
        <v>9854856</v>
      </c>
      <c r="D27" s="51" t="s">
        <v>60</v>
      </c>
      <c r="E27" s="15">
        <v>20000</v>
      </c>
      <c r="F27" s="21">
        <v>0.2</v>
      </c>
      <c r="G27" s="54" t="s">
        <v>140</v>
      </c>
      <c r="H27" s="55">
        <f t="shared" si="2"/>
        <v>45836</v>
      </c>
      <c r="I27" s="55">
        <f t="shared" si="2"/>
        <v>46170</v>
      </c>
      <c r="J27" s="55">
        <f t="shared" si="0"/>
        <v>46200</v>
      </c>
      <c r="K27" s="22">
        <v>24000</v>
      </c>
      <c r="L27" s="57" t="s">
        <v>62</v>
      </c>
      <c r="M27" s="58" t="s">
        <v>45</v>
      </c>
      <c r="N27" s="90" t="e">
        <f>IF(B27&gt;0,IF(AND(#REF!&gt;0,C27&gt;0,#REF!&gt;0),"","C, M болон N баганын холбогдох утгыг нөхнө үү"),"")</f>
        <v>#REF!</v>
      </c>
      <c r="O27" s="90"/>
    </row>
    <row r="28" spans="1:15" x14ac:dyDescent="0.2">
      <c r="A28" s="91">
        <f t="shared" si="1"/>
        <v>21</v>
      </c>
      <c r="B28" s="20" t="s">
        <v>185</v>
      </c>
      <c r="C28" s="23">
        <v>4156476</v>
      </c>
      <c r="D28" s="51" t="s">
        <v>59</v>
      </c>
      <c r="E28" s="15">
        <v>21000</v>
      </c>
      <c r="F28" s="21">
        <v>0.21</v>
      </c>
      <c r="G28" s="54" t="s">
        <v>142</v>
      </c>
      <c r="H28" s="55">
        <f t="shared" si="2"/>
        <v>45837</v>
      </c>
      <c r="I28" s="55">
        <f t="shared" si="2"/>
        <v>46171</v>
      </c>
      <c r="J28" s="55">
        <f t="shared" si="0"/>
        <v>46201</v>
      </c>
      <c r="K28" s="22">
        <v>25000</v>
      </c>
      <c r="L28" s="57" t="s">
        <v>61</v>
      </c>
      <c r="M28" s="58" t="s">
        <v>38</v>
      </c>
      <c r="N28" s="90" t="e">
        <f>IF(B28&gt;0,IF(AND(#REF!&gt;0,C28&gt;0,#REF!&gt;0),"","C, M болон N баганын холбогдох утгыг нөхнө үү"),"")</f>
        <v>#REF!</v>
      </c>
      <c r="O28" s="90"/>
    </row>
    <row r="29" spans="1:15" x14ac:dyDescent="0.2">
      <c r="A29" s="91">
        <f t="shared" si="1"/>
        <v>22</v>
      </c>
      <c r="B29" s="20" t="s">
        <v>186</v>
      </c>
      <c r="C29" s="23">
        <v>4156456</v>
      </c>
      <c r="D29" s="51" t="s">
        <v>58</v>
      </c>
      <c r="E29" s="15">
        <v>22000</v>
      </c>
      <c r="F29" s="21">
        <v>0.22</v>
      </c>
      <c r="G29" s="54" t="s">
        <v>63</v>
      </c>
      <c r="H29" s="55">
        <f t="shared" si="2"/>
        <v>45838</v>
      </c>
      <c r="I29" s="55">
        <f t="shared" si="2"/>
        <v>46172</v>
      </c>
      <c r="J29" s="55">
        <f t="shared" si="0"/>
        <v>46202</v>
      </c>
      <c r="K29" s="22">
        <v>26000</v>
      </c>
      <c r="L29" s="57" t="s">
        <v>62</v>
      </c>
      <c r="M29" s="58" t="s">
        <v>79</v>
      </c>
      <c r="N29" s="90" t="e">
        <f>IF(B29&gt;0,IF(AND(#REF!&gt;0,C29&gt;0,#REF!&gt;0),"","C, M болон N баганын холбогдох утгыг нөхнө үү"),"")</f>
        <v>#REF!</v>
      </c>
      <c r="O29" s="90"/>
    </row>
    <row r="30" spans="1:15" x14ac:dyDescent="0.2">
      <c r="A30" s="91">
        <f t="shared" si="1"/>
        <v>23</v>
      </c>
      <c r="B30" s="20" t="s">
        <v>187</v>
      </c>
      <c r="C30" s="23">
        <v>798461</v>
      </c>
      <c r="D30" s="51" t="s">
        <v>60</v>
      </c>
      <c r="E30" s="15">
        <v>23000</v>
      </c>
      <c r="F30" s="21">
        <v>0.23</v>
      </c>
      <c r="G30" s="54" t="s">
        <v>65</v>
      </c>
      <c r="H30" s="55">
        <f t="shared" si="2"/>
        <v>45839</v>
      </c>
      <c r="I30" s="55">
        <f t="shared" si="2"/>
        <v>46173</v>
      </c>
      <c r="J30" s="55">
        <f t="shared" si="0"/>
        <v>46203</v>
      </c>
      <c r="K30" s="22">
        <v>27000</v>
      </c>
      <c r="L30" s="57" t="s">
        <v>61</v>
      </c>
      <c r="M30" s="58" t="s">
        <v>41</v>
      </c>
      <c r="N30" s="90" t="e">
        <f>IF(B30&gt;0,IF(AND(#REF!&gt;0,C30&gt;0,#REF!&gt;0),"","C, M болон N баганын холбогдох утгыг нөхнө үү"),"")</f>
        <v>#REF!</v>
      </c>
      <c r="O30" s="90"/>
    </row>
    <row r="31" spans="1:15" x14ac:dyDescent="0.2">
      <c r="A31" s="91">
        <f t="shared" si="1"/>
        <v>24</v>
      </c>
      <c r="B31" s="20" t="s">
        <v>188</v>
      </c>
      <c r="C31" s="23">
        <v>41514</v>
      </c>
      <c r="D31" s="51" t="s">
        <v>59</v>
      </c>
      <c r="E31" s="15">
        <v>24000</v>
      </c>
      <c r="F31" s="21">
        <v>0.24</v>
      </c>
      <c r="G31" s="54" t="s">
        <v>137</v>
      </c>
      <c r="H31" s="55">
        <f t="shared" si="2"/>
        <v>45840</v>
      </c>
      <c r="I31" s="55">
        <f t="shared" si="2"/>
        <v>46174</v>
      </c>
      <c r="J31" s="55">
        <f t="shared" si="0"/>
        <v>46204</v>
      </c>
      <c r="K31" s="22">
        <v>28000</v>
      </c>
      <c r="L31" s="57" t="s">
        <v>62</v>
      </c>
      <c r="M31" s="58" t="s">
        <v>43</v>
      </c>
      <c r="N31" s="90" t="e">
        <f>IF(B31&gt;0,IF(AND(#REF!&gt;0,C31&gt;0,#REF!&gt;0),"","C, M болон N баганын холбогдох утгыг нөхнө үү"),"")</f>
        <v>#REF!</v>
      </c>
      <c r="O31" s="90"/>
    </row>
    <row r="32" spans="1:15" x14ac:dyDescent="0.2">
      <c r="A32" s="91">
        <f t="shared" si="1"/>
        <v>25</v>
      </c>
      <c r="B32" s="20" t="s">
        <v>189</v>
      </c>
      <c r="C32" s="23">
        <v>45485</v>
      </c>
      <c r="D32" s="51" t="s">
        <v>58</v>
      </c>
      <c r="E32" s="15">
        <v>25000</v>
      </c>
      <c r="F32" s="21">
        <v>0.25</v>
      </c>
      <c r="G32" s="54" t="s">
        <v>138</v>
      </c>
      <c r="H32" s="55">
        <f t="shared" si="2"/>
        <v>45841</v>
      </c>
      <c r="I32" s="55">
        <f t="shared" si="2"/>
        <v>46175</v>
      </c>
      <c r="J32" s="55">
        <f>+I32+30</f>
        <v>46205</v>
      </c>
      <c r="K32" s="22">
        <v>29000</v>
      </c>
      <c r="L32" s="57" t="s">
        <v>61</v>
      </c>
      <c r="M32" s="58" t="s">
        <v>45</v>
      </c>
      <c r="N32" s="90"/>
      <c r="O32" s="90"/>
    </row>
    <row r="33" spans="1:15" x14ac:dyDescent="0.2">
      <c r="A33" s="91">
        <f t="shared" si="1"/>
        <v>26</v>
      </c>
      <c r="B33" s="20"/>
      <c r="C33" s="23"/>
      <c r="D33" s="51"/>
      <c r="E33" s="15"/>
      <c r="F33" s="21"/>
      <c r="G33" s="54"/>
      <c r="H33" s="55"/>
      <c r="I33" s="55"/>
      <c r="J33" s="55"/>
      <c r="K33" s="22"/>
      <c r="L33" s="57"/>
      <c r="M33" s="58"/>
      <c r="N33" s="90"/>
      <c r="O33" s="90"/>
    </row>
    <row r="34" spans="1:15" x14ac:dyDescent="0.2">
      <c r="A34" s="91">
        <f t="shared" si="1"/>
        <v>27</v>
      </c>
      <c r="B34" s="20"/>
      <c r="C34" s="23"/>
      <c r="D34" s="51"/>
      <c r="E34" s="15"/>
      <c r="F34" s="21"/>
      <c r="G34" s="54"/>
      <c r="H34" s="55"/>
      <c r="I34" s="55"/>
      <c r="J34" s="55"/>
      <c r="K34" s="22"/>
      <c r="L34" s="57"/>
      <c r="M34" s="58"/>
      <c r="N34" s="90"/>
      <c r="O34" s="90"/>
    </row>
    <row r="35" spans="1:15" x14ac:dyDescent="0.2">
      <c r="A35" s="91">
        <f t="shared" si="1"/>
        <v>28</v>
      </c>
      <c r="B35" s="20"/>
      <c r="C35" s="23"/>
      <c r="D35" s="51"/>
      <c r="E35" s="15"/>
      <c r="F35" s="21"/>
      <c r="G35" s="54"/>
      <c r="H35" s="55"/>
      <c r="I35" s="55"/>
      <c r="J35" s="55"/>
      <c r="K35" s="22"/>
      <c r="L35" s="57"/>
      <c r="M35" s="58"/>
      <c r="N35" s="90"/>
      <c r="O35" s="90"/>
    </row>
    <row r="36" spans="1:15" x14ac:dyDescent="0.2">
      <c r="A36" s="91">
        <f t="shared" si="1"/>
        <v>29</v>
      </c>
      <c r="B36" s="20"/>
      <c r="C36" s="23"/>
      <c r="D36" s="51"/>
      <c r="E36" s="15"/>
      <c r="F36" s="21"/>
      <c r="G36" s="54"/>
      <c r="H36" s="55"/>
      <c r="I36" s="55"/>
      <c r="J36" s="55"/>
      <c r="K36" s="22"/>
      <c r="L36" s="57"/>
      <c r="M36" s="58"/>
      <c r="N36" s="90"/>
      <c r="O36" s="90"/>
    </row>
    <row r="37" spans="1:15" x14ac:dyDescent="0.2">
      <c r="A37" s="91">
        <f t="shared" si="1"/>
        <v>30</v>
      </c>
      <c r="B37" s="20"/>
      <c r="C37" s="23"/>
      <c r="D37" s="51"/>
      <c r="E37" s="15"/>
      <c r="F37" s="21"/>
      <c r="G37" s="54"/>
      <c r="H37" s="55"/>
      <c r="I37" s="55"/>
      <c r="J37" s="55"/>
      <c r="K37" s="22"/>
      <c r="L37" s="57"/>
      <c r="M37" s="58"/>
      <c r="N37" s="90"/>
      <c r="O37" s="90"/>
    </row>
    <row r="38" spans="1:15" x14ac:dyDescent="0.2">
      <c r="A38" s="91">
        <f t="shared" si="1"/>
        <v>31</v>
      </c>
      <c r="B38" s="20"/>
      <c r="C38" s="23"/>
      <c r="D38" s="51"/>
      <c r="E38" s="15"/>
      <c r="F38" s="21"/>
      <c r="G38" s="54"/>
      <c r="H38" s="55"/>
      <c r="I38" s="55"/>
      <c r="J38" s="55"/>
      <c r="K38" s="22"/>
      <c r="L38" s="57"/>
      <c r="M38" s="58"/>
      <c r="N38" s="90"/>
      <c r="O38" s="90"/>
    </row>
    <row r="39" spans="1:15" x14ac:dyDescent="0.2">
      <c r="A39" s="91">
        <f t="shared" si="1"/>
        <v>32</v>
      </c>
      <c r="B39" s="20"/>
      <c r="C39" s="23"/>
      <c r="D39" s="51"/>
      <c r="E39" s="15"/>
      <c r="F39" s="21"/>
      <c r="G39" s="54"/>
      <c r="H39" s="55"/>
      <c r="I39" s="55"/>
      <c r="J39" s="55"/>
      <c r="K39" s="22"/>
      <c r="L39" s="57"/>
      <c r="M39" s="58"/>
      <c r="N39" s="90"/>
      <c r="O39" s="90"/>
    </row>
    <row r="40" spans="1:15" x14ac:dyDescent="0.2">
      <c r="A40" s="91">
        <f t="shared" si="1"/>
        <v>33</v>
      </c>
      <c r="B40" s="20"/>
      <c r="C40" s="23"/>
      <c r="D40" s="51"/>
      <c r="E40" s="15"/>
      <c r="F40" s="21"/>
      <c r="G40" s="54"/>
      <c r="H40" s="55"/>
      <c r="I40" s="55"/>
      <c r="J40" s="55"/>
      <c r="K40" s="22"/>
      <c r="L40" s="57"/>
      <c r="M40" s="58"/>
      <c r="N40" s="90"/>
      <c r="O40" s="90"/>
    </row>
    <row r="41" spans="1:15" x14ac:dyDescent="0.2">
      <c r="A41" s="91">
        <f t="shared" si="1"/>
        <v>34</v>
      </c>
      <c r="B41" s="20"/>
      <c r="C41" s="23"/>
      <c r="D41" s="51"/>
      <c r="E41" s="15"/>
      <c r="F41" s="21"/>
      <c r="G41" s="54"/>
      <c r="H41" s="55"/>
      <c r="I41" s="55"/>
      <c r="J41" s="55"/>
      <c r="K41" s="22"/>
      <c r="L41" s="57"/>
      <c r="M41" s="58"/>
      <c r="N41" s="90"/>
      <c r="O41" s="90"/>
    </row>
    <row r="42" spans="1:15" x14ac:dyDescent="0.2">
      <c r="A42" s="91">
        <f t="shared" si="1"/>
        <v>35</v>
      </c>
      <c r="B42" s="20"/>
      <c r="C42" s="23"/>
      <c r="D42" s="51"/>
      <c r="E42" s="15"/>
      <c r="F42" s="21"/>
      <c r="G42" s="54"/>
      <c r="H42" s="55"/>
      <c r="I42" s="55"/>
      <c r="J42" s="55"/>
      <c r="K42" s="22"/>
      <c r="L42" s="57"/>
      <c r="M42" s="58"/>
      <c r="N42" s="90"/>
      <c r="O42" s="90"/>
    </row>
    <row r="43" spans="1:15" x14ac:dyDescent="0.2">
      <c r="A43" s="91">
        <f t="shared" si="1"/>
        <v>36</v>
      </c>
      <c r="B43" s="20"/>
      <c r="C43" s="23"/>
      <c r="D43" s="51"/>
      <c r="E43" s="15"/>
      <c r="F43" s="21"/>
      <c r="G43" s="54"/>
      <c r="H43" s="55"/>
      <c r="I43" s="55"/>
      <c r="J43" s="55"/>
      <c r="K43" s="22"/>
      <c r="L43" s="57"/>
      <c r="M43" s="58"/>
      <c r="N43" s="90"/>
      <c r="O43" s="90"/>
    </row>
    <row r="44" spans="1:15" x14ac:dyDescent="0.2">
      <c r="A44" s="91">
        <f t="shared" si="1"/>
        <v>37</v>
      </c>
      <c r="B44" s="20"/>
      <c r="C44" s="23"/>
      <c r="D44" s="51"/>
      <c r="E44" s="15"/>
      <c r="F44" s="21"/>
      <c r="G44" s="54"/>
      <c r="H44" s="55"/>
      <c r="I44" s="55"/>
      <c r="J44" s="55"/>
      <c r="K44" s="22"/>
      <c r="L44" s="57"/>
      <c r="M44" s="58"/>
      <c r="N44" s="90"/>
      <c r="O44" s="90"/>
    </row>
    <row r="45" spans="1:15" x14ac:dyDescent="0.2">
      <c r="A45" s="91">
        <f t="shared" si="1"/>
        <v>38</v>
      </c>
      <c r="B45" s="20"/>
      <c r="C45" s="23"/>
      <c r="D45" s="51"/>
      <c r="E45" s="15"/>
      <c r="F45" s="21"/>
      <c r="G45" s="54"/>
      <c r="H45" s="55"/>
      <c r="I45" s="55"/>
      <c r="J45" s="55"/>
      <c r="K45" s="22"/>
      <c r="L45" s="57"/>
      <c r="M45" s="58"/>
      <c r="N45" s="90"/>
      <c r="O45" s="90"/>
    </row>
    <row r="46" spans="1:15" x14ac:dyDescent="0.2">
      <c r="A46" s="91">
        <f t="shared" si="1"/>
        <v>39</v>
      </c>
      <c r="B46" s="20"/>
      <c r="C46" s="23"/>
      <c r="D46" s="51"/>
      <c r="E46" s="15"/>
      <c r="F46" s="21"/>
      <c r="G46" s="54"/>
      <c r="H46" s="55"/>
      <c r="I46" s="55"/>
      <c r="J46" s="55"/>
      <c r="K46" s="22"/>
      <c r="L46" s="57"/>
      <c r="M46" s="58"/>
      <c r="N46" s="90"/>
      <c r="O46" s="90"/>
    </row>
    <row r="47" spans="1:15" x14ac:dyDescent="0.2">
      <c r="A47" s="91">
        <f t="shared" si="1"/>
        <v>40</v>
      </c>
      <c r="B47" s="20"/>
      <c r="C47" s="23"/>
      <c r="D47" s="51"/>
      <c r="E47" s="15"/>
      <c r="F47" s="21"/>
      <c r="G47" s="54"/>
      <c r="H47" s="55"/>
      <c r="I47" s="55"/>
      <c r="J47" s="55"/>
      <c r="K47" s="22"/>
      <c r="L47" s="57"/>
      <c r="M47" s="58"/>
      <c r="N47" s="90"/>
      <c r="O47" s="90"/>
    </row>
    <row r="48" spans="1:15" x14ac:dyDescent="0.2">
      <c r="A48" s="91">
        <f t="shared" si="1"/>
        <v>41</v>
      </c>
      <c r="B48" s="20"/>
      <c r="C48" s="23"/>
      <c r="D48" s="51"/>
      <c r="E48" s="15"/>
      <c r="F48" s="21"/>
      <c r="G48" s="54"/>
      <c r="H48" s="55"/>
      <c r="I48" s="55"/>
      <c r="J48" s="55"/>
      <c r="K48" s="22"/>
      <c r="L48" s="57"/>
      <c r="M48" s="58"/>
      <c r="N48" s="90"/>
      <c r="O48" s="90"/>
    </row>
    <row r="49" spans="1:15" x14ac:dyDescent="0.2">
      <c r="A49" s="91">
        <f t="shared" si="1"/>
        <v>42</v>
      </c>
      <c r="B49" s="20"/>
      <c r="C49" s="23"/>
      <c r="D49" s="51"/>
      <c r="E49" s="15"/>
      <c r="F49" s="21"/>
      <c r="G49" s="54"/>
      <c r="H49" s="55"/>
      <c r="I49" s="55"/>
      <c r="J49" s="55"/>
      <c r="K49" s="22"/>
      <c r="L49" s="57"/>
      <c r="M49" s="58"/>
      <c r="N49" s="90"/>
      <c r="O49" s="90"/>
    </row>
    <row r="50" spans="1:15" x14ac:dyDescent="0.2">
      <c r="A50" s="91">
        <f t="shared" si="1"/>
        <v>43</v>
      </c>
      <c r="B50" s="20"/>
      <c r="C50" s="23"/>
      <c r="D50" s="51"/>
      <c r="E50" s="15"/>
      <c r="F50" s="21"/>
      <c r="G50" s="54"/>
      <c r="H50" s="55"/>
      <c r="I50" s="55"/>
      <c r="J50" s="55"/>
      <c r="K50" s="22"/>
      <c r="L50" s="57"/>
      <c r="M50" s="58"/>
      <c r="N50" s="90"/>
      <c r="O50" s="90"/>
    </row>
    <row r="51" spans="1:15" x14ac:dyDescent="0.2">
      <c r="A51" s="91">
        <f t="shared" si="1"/>
        <v>44</v>
      </c>
      <c r="B51" s="20"/>
      <c r="C51" s="23"/>
      <c r="D51" s="51"/>
      <c r="E51" s="15"/>
      <c r="F51" s="21"/>
      <c r="G51" s="54"/>
      <c r="H51" s="55"/>
      <c r="I51" s="55"/>
      <c r="J51" s="55"/>
      <c r="K51" s="22"/>
      <c r="L51" s="57"/>
      <c r="M51" s="58"/>
      <c r="N51" s="90"/>
      <c r="O51" s="90"/>
    </row>
    <row r="52" spans="1:15" x14ac:dyDescent="0.2">
      <c r="A52" s="91">
        <f t="shared" si="1"/>
        <v>45</v>
      </c>
      <c r="B52" s="20"/>
      <c r="C52" s="23"/>
      <c r="D52" s="51"/>
      <c r="E52" s="15"/>
      <c r="F52" s="21"/>
      <c r="G52" s="54"/>
      <c r="H52" s="55"/>
      <c r="I52" s="55"/>
      <c r="J52" s="55"/>
      <c r="K52" s="22"/>
      <c r="L52" s="57"/>
      <c r="M52" s="58"/>
      <c r="N52" s="90"/>
      <c r="O52" s="90"/>
    </row>
    <row r="53" spans="1:15" x14ac:dyDescent="0.2">
      <c r="A53" s="91">
        <f t="shared" si="1"/>
        <v>46</v>
      </c>
      <c r="B53" s="20"/>
      <c r="C53" s="23"/>
      <c r="D53" s="51"/>
      <c r="E53" s="15"/>
      <c r="F53" s="21"/>
      <c r="G53" s="54"/>
      <c r="H53" s="55"/>
      <c r="I53" s="55"/>
      <c r="J53" s="55"/>
      <c r="K53" s="22"/>
      <c r="L53" s="57"/>
      <c r="M53" s="58"/>
      <c r="N53" s="90"/>
      <c r="O53" s="90"/>
    </row>
    <row r="54" spans="1:15" x14ac:dyDescent="0.2">
      <c r="A54" s="91">
        <f t="shared" si="1"/>
        <v>47</v>
      </c>
      <c r="B54" s="20"/>
      <c r="C54" s="23"/>
      <c r="D54" s="51"/>
      <c r="E54" s="15"/>
      <c r="F54" s="21"/>
      <c r="G54" s="54"/>
      <c r="H54" s="55"/>
      <c r="I54" s="55"/>
      <c r="J54" s="55"/>
      <c r="K54" s="22"/>
      <c r="L54" s="57"/>
      <c r="M54" s="58"/>
      <c r="N54" s="90"/>
      <c r="O54" s="90"/>
    </row>
    <row r="55" spans="1:15" x14ac:dyDescent="0.2">
      <c r="A55" s="91">
        <f t="shared" si="1"/>
        <v>48</v>
      </c>
      <c r="B55" s="20"/>
      <c r="C55" s="23"/>
      <c r="D55" s="51"/>
      <c r="E55" s="15"/>
      <c r="F55" s="21"/>
      <c r="G55" s="54"/>
      <c r="H55" s="55"/>
      <c r="I55" s="55"/>
      <c r="J55" s="55"/>
      <c r="K55" s="22"/>
      <c r="L55" s="57"/>
      <c r="M55" s="58"/>
      <c r="N55" s="90"/>
      <c r="O55" s="90"/>
    </row>
    <row r="56" spans="1:15" x14ac:dyDescent="0.2">
      <c r="A56" s="91">
        <f t="shared" si="1"/>
        <v>49</v>
      </c>
      <c r="B56" s="20"/>
      <c r="C56" s="23"/>
      <c r="D56" s="51"/>
      <c r="E56" s="15"/>
      <c r="F56" s="21"/>
      <c r="G56" s="54"/>
      <c r="H56" s="55"/>
      <c r="I56" s="55"/>
      <c r="J56" s="55"/>
      <c r="K56" s="22"/>
      <c r="L56" s="57"/>
      <c r="M56" s="58"/>
      <c r="N56" s="90"/>
      <c r="O56" s="90"/>
    </row>
    <row r="57" spans="1:15" x14ac:dyDescent="0.2">
      <c r="A57" s="91">
        <f t="shared" si="1"/>
        <v>50</v>
      </c>
      <c r="B57" s="20"/>
      <c r="C57" s="23"/>
      <c r="D57" s="51"/>
      <c r="E57" s="15"/>
      <c r="F57" s="21"/>
      <c r="G57" s="54"/>
      <c r="H57" s="55"/>
      <c r="I57" s="55"/>
      <c r="J57" s="55"/>
      <c r="K57" s="22"/>
      <c r="L57" s="57"/>
      <c r="M57" s="58"/>
      <c r="N57" s="90"/>
      <c r="O57" s="90"/>
    </row>
    <row r="58" spans="1:15" x14ac:dyDescent="0.2">
      <c r="A58" s="91">
        <f t="shared" si="1"/>
        <v>51</v>
      </c>
      <c r="B58" s="20"/>
      <c r="C58" s="23"/>
      <c r="D58" s="51"/>
      <c r="E58" s="15"/>
      <c r="F58" s="21"/>
      <c r="G58" s="54"/>
      <c r="H58" s="55"/>
      <c r="I58" s="55"/>
      <c r="J58" s="55"/>
      <c r="K58" s="22"/>
      <c r="L58" s="57"/>
      <c r="M58" s="58"/>
      <c r="N58" s="90"/>
      <c r="O58" s="90"/>
    </row>
    <row r="59" spans="1:15" x14ac:dyDescent="0.2">
      <c r="A59" s="91">
        <f t="shared" si="1"/>
        <v>52</v>
      </c>
      <c r="B59" s="20"/>
      <c r="C59" s="23"/>
      <c r="D59" s="51"/>
      <c r="E59" s="15"/>
      <c r="F59" s="21"/>
      <c r="G59" s="54"/>
      <c r="H59" s="55"/>
      <c r="I59" s="55"/>
      <c r="J59" s="55"/>
      <c r="K59" s="22"/>
      <c r="L59" s="57"/>
      <c r="M59" s="58"/>
      <c r="N59" s="90"/>
      <c r="O59" s="90"/>
    </row>
    <row r="60" spans="1:15" x14ac:dyDescent="0.2">
      <c r="A60" s="91">
        <f t="shared" si="1"/>
        <v>53</v>
      </c>
      <c r="B60" s="20"/>
      <c r="C60" s="23"/>
      <c r="D60" s="51"/>
      <c r="E60" s="15"/>
      <c r="F60" s="21"/>
      <c r="G60" s="54"/>
      <c r="H60" s="55"/>
      <c r="I60" s="55"/>
      <c r="J60" s="55"/>
      <c r="K60" s="22"/>
      <c r="L60" s="57"/>
      <c r="M60" s="58"/>
      <c r="N60" s="90"/>
      <c r="O60" s="90"/>
    </row>
    <row r="61" spans="1:15" x14ac:dyDescent="0.2">
      <c r="A61" s="91">
        <f t="shared" si="1"/>
        <v>54</v>
      </c>
      <c r="B61" s="20"/>
      <c r="C61" s="23"/>
      <c r="D61" s="51"/>
      <c r="E61" s="15"/>
      <c r="F61" s="21"/>
      <c r="G61" s="54"/>
      <c r="H61" s="55"/>
      <c r="I61" s="55"/>
      <c r="J61" s="55"/>
      <c r="K61" s="22"/>
      <c r="L61" s="57"/>
      <c r="M61" s="58"/>
      <c r="N61" s="90"/>
      <c r="O61" s="90"/>
    </row>
    <row r="62" spans="1:15" x14ac:dyDescent="0.2">
      <c r="A62" s="91">
        <f t="shared" si="1"/>
        <v>55</v>
      </c>
      <c r="B62" s="20"/>
      <c r="C62" s="23"/>
      <c r="D62" s="51"/>
      <c r="E62" s="15"/>
      <c r="F62" s="21"/>
      <c r="G62" s="54"/>
      <c r="H62" s="55"/>
      <c r="I62" s="55"/>
      <c r="J62" s="55"/>
      <c r="K62" s="22"/>
      <c r="L62" s="57"/>
      <c r="M62" s="58"/>
      <c r="N62" s="90"/>
      <c r="O62" s="90"/>
    </row>
    <row r="63" spans="1:15" x14ac:dyDescent="0.2">
      <c r="A63" s="91">
        <f t="shared" si="1"/>
        <v>56</v>
      </c>
      <c r="B63" s="20"/>
      <c r="C63" s="23"/>
      <c r="D63" s="51"/>
      <c r="E63" s="15"/>
      <c r="F63" s="21"/>
      <c r="G63" s="54"/>
      <c r="H63" s="55"/>
      <c r="I63" s="55"/>
      <c r="J63" s="55"/>
      <c r="K63" s="22"/>
      <c r="L63" s="57"/>
      <c r="M63" s="58"/>
      <c r="N63" s="90"/>
      <c r="O63" s="90"/>
    </row>
    <row r="64" spans="1:15" x14ac:dyDescent="0.2">
      <c r="A64" s="91">
        <f t="shared" si="1"/>
        <v>57</v>
      </c>
      <c r="B64" s="20"/>
      <c r="C64" s="23"/>
      <c r="D64" s="51"/>
      <c r="E64" s="15"/>
      <c r="F64" s="21"/>
      <c r="G64" s="54"/>
      <c r="H64" s="55"/>
      <c r="I64" s="55"/>
      <c r="J64" s="55"/>
      <c r="K64" s="22"/>
      <c r="L64" s="57"/>
      <c r="M64" s="58"/>
      <c r="N64" s="90"/>
      <c r="O64" s="90"/>
    </row>
    <row r="65" spans="1:15" x14ac:dyDescent="0.2">
      <c r="A65" s="91">
        <f t="shared" si="1"/>
        <v>58</v>
      </c>
      <c r="B65" s="20"/>
      <c r="C65" s="23"/>
      <c r="D65" s="51"/>
      <c r="E65" s="15"/>
      <c r="F65" s="21"/>
      <c r="G65" s="54"/>
      <c r="H65" s="55"/>
      <c r="I65" s="55"/>
      <c r="J65" s="55"/>
      <c r="K65" s="22"/>
      <c r="L65" s="57"/>
      <c r="M65" s="58"/>
      <c r="N65" s="90"/>
      <c r="O65" s="90"/>
    </row>
    <row r="66" spans="1:15" x14ac:dyDescent="0.2">
      <c r="A66" s="91">
        <f t="shared" si="1"/>
        <v>59</v>
      </c>
      <c r="B66" s="20"/>
      <c r="C66" s="23"/>
      <c r="D66" s="51"/>
      <c r="E66" s="15"/>
      <c r="F66" s="21"/>
      <c r="G66" s="54"/>
      <c r="H66" s="55"/>
      <c r="I66" s="55"/>
      <c r="J66" s="55"/>
      <c r="K66" s="22"/>
      <c r="L66" s="57"/>
      <c r="M66" s="58"/>
      <c r="N66" s="90"/>
      <c r="O66" s="90"/>
    </row>
    <row r="67" spans="1:15" x14ac:dyDescent="0.2">
      <c r="A67" s="91">
        <f t="shared" si="1"/>
        <v>60</v>
      </c>
      <c r="B67" s="20"/>
      <c r="C67" s="23"/>
      <c r="D67" s="51"/>
      <c r="E67" s="15"/>
      <c r="F67" s="21"/>
      <c r="G67" s="54"/>
      <c r="H67" s="55"/>
      <c r="I67" s="55"/>
      <c r="J67" s="55"/>
      <c r="K67" s="22"/>
      <c r="L67" s="57"/>
      <c r="M67" s="58"/>
      <c r="N67" s="90"/>
      <c r="O67" s="90"/>
    </row>
    <row r="68" spans="1:15" x14ac:dyDescent="0.2">
      <c r="A68" s="91">
        <f t="shared" si="1"/>
        <v>61</v>
      </c>
      <c r="B68" s="20"/>
      <c r="C68" s="23"/>
      <c r="D68" s="51"/>
      <c r="E68" s="15"/>
      <c r="F68" s="21"/>
      <c r="G68" s="54"/>
      <c r="H68" s="55"/>
      <c r="I68" s="55"/>
      <c r="J68" s="55"/>
      <c r="K68" s="22"/>
      <c r="L68" s="57"/>
      <c r="M68" s="58"/>
      <c r="N68" s="90"/>
      <c r="O68" s="90"/>
    </row>
    <row r="69" spans="1:15" x14ac:dyDescent="0.2">
      <c r="A69" s="91">
        <f t="shared" si="1"/>
        <v>62</v>
      </c>
      <c r="B69" s="20"/>
      <c r="C69" s="23"/>
      <c r="D69" s="51"/>
      <c r="E69" s="15"/>
      <c r="F69" s="21"/>
      <c r="G69" s="54"/>
      <c r="H69" s="55"/>
      <c r="I69" s="55"/>
      <c r="J69" s="55"/>
      <c r="K69" s="22"/>
      <c r="L69" s="57"/>
      <c r="M69" s="58"/>
      <c r="N69" s="90"/>
      <c r="O69" s="90"/>
    </row>
    <row r="70" spans="1:15" x14ac:dyDescent="0.2">
      <c r="A70" s="91">
        <f t="shared" si="1"/>
        <v>63</v>
      </c>
      <c r="B70" s="20"/>
      <c r="C70" s="23"/>
      <c r="D70" s="51"/>
      <c r="E70" s="15"/>
      <c r="F70" s="21"/>
      <c r="G70" s="54"/>
      <c r="H70" s="55"/>
      <c r="I70" s="55"/>
      <c r="J70" s="55"/>
      <c r="K70" s="22"/>
      <c r="L70" s="57"/>
      <c r="M70" s="58"/>
      <c r="N70" s="90"/>
      <c r="O70" s="90"/>
    </row>
    <row r="71" spans="1:15" x14ac:dyDescent="0.2">
      <c r="A71" s="91">
        <f t="shared" si="1"/>
        <v>64</v>
      </c>
      <c r="B71" s="20"/>
      <c r="C71" s="23"/>
      <c r="D71" s="51"/>
      <c r="E71" s="15"/>
      <c r="F71" s="21"/>
      <c r="G71" s="54"/>
      <c r="H71" s="55"/>
      <c r="I71" s="55"/>
      <c r="J71" s="55"/>
      <c r="K71" s="22"/>
      <c r="L71" s="57"/>
      <c r="M71" s="58"/>
      <c r="N71" s="90"/>
      <c r="O71" s="90"/>
    </row>
    <row r="72" spans="1:15" x14ac:dyDescent="0.2">
      <c r="A72" s="91">
        <f t="shared" si="1"/>
        <v>65</v>
      </c>
      <c r="B72" s="20"/>
      <c r="C72" s="23"/>
      <c r="D72" s="51"/>
      <c r="E72" s="15"/>
      <c r="F72" s="21"/>
      <c r="G72" s="54"/>
      <c r="H72" s="55"/>
      <c r="I72" s="55"/>
      <c r="J72" s="55"/>
      <c r="K72" s="22"/>
      <c r="L72" s="57"/>
      <c r="M72" s="58"/>
      <c r="N72" s="90"/>
      <c r="O72" s="90"/>
    </row>
    <row r="73" spans="1:15" x14ac:dyDescent="0.2">
      <c r="A73" s="91">
        <f t="shared" si="1"/>
        <v>66</v>
      </c>
      <c r="B73" s="20"/>
      <c r="C73" s="23"/>
      <c r="D73" s="51"/>
      <c r="E73" s="15"/>
      <c r="F73" s="21"/>
      <c r="G73" s="54"/>
      <c r="H73" s="55"/>
      <c r="I73" s="55"/>
      <c r="J73" s="55"/>
      <c r="K73" s="22"/>
      <c r="L73" s="57"/>
      <c r="M73" s="58"/>
      <c r="N73" s="90"/>
      <c r="O73" s="90"/>
    </row>
    <row r="74" spans="1:15" x14ac:dyDescent="0.2">
      <c r="A74" s="91">
        <f t="shared" ref="A74:A107" si="3">+A73+1</f>
        <v>67</v>
      </c>
      <c r="B74" s="20"/>
      <c r="C74" s="23"/>
      <c r="D74" s="51"/>
      <c r="E74" s="15"/>
      <c r="F74" s="21"/>
      <c r="G74" s="54"/>
      <c r="H74" s="55"/>
      <c r="I74" s="55"/>
      <c r="J74" s="55"/>
      <c r="K74" s="22"/>
      <c r="L74" s="57"/>
      <c r="M74" s="58"/>
      <c r="N74" s="90"/>
      <c r="O74" s="90"/>
    </row>
    <row r="75" spans="1:15" x14ac:dyDescent="0.2">
      <c r="A75" s="91">
        <f t="shared" si="3"/>
        <v>68</v>
      </c>
      <c r="B75" s="20"/>
      <c r="C75" s="23"/>
      <c r="D75" s="51"/>
      <c r="E75" s="15"/>
      <c r="F75" s="21"/>
      <c r="G75" s="54"/>
      <c r="H75" s="55"/>
      <c r="I75" s="55"/>
      <c r="J75" s="55"/>
      <c r="K75" s="22"/>
      <c r="L75" s="57"/>
      <c r="M75" s="58"/>
      <c r="N75" s="90"/>
      <c r="O75" s="90"/>
    </row>
    <row r="76" spans="1:15" x14ac:dyDescent="0.2">
      <c r="A76" s="91">
        <f t="shared" si="3"/>
        <v>69</v>
      </c>
      <c r="B76" s="20"/>
      <c r="C76" s="23"/>
      <c r="D76" s="51"/>
      <c r="E76" s="15"/>
      <c r="F76" s="21"/>
      <c r="G76" s="54"/>
      <c r="H76" s="55"/>
      <c r="I76" s="55"/>
      <c r="J76" s="55"/>
      <c r="K76" s="22"/>
      <c r="L76" s="57"/>
      <c r="M76" s="58"/>
      <c r="N76" s="90"/>
      <c r="O76" s="90"/>
    </row>
    <row r="77" spans="1:15" x14ac:dyDescent="0.2">
      <c r="A77" s="91">
        <f t="shared" si="3"/>
        <v>70</v>
      </c>
      <c r="B77" s="20"/>
      <c r="C77" s="23"/>
      <c r="D77" s="51"/>
      <c r="E77" s="15"/>
      <c r="F77" s="21"/>
      <c r="G77" s="54"/>
      <c r="H77" s="55"/>
      <c r="I77" s="55"/>
      <c r="J77" s="55"/>
      <c r="K77" s="22"/>
      <c r="L77" s="57"/>
      <c r="M77" s="58"/>
      <c r="N77" s="90"/>
      <c r="O77" s="90"/>
    </row>
    <row r="78" spans="1:15" x14ac:dyDescent="0.2">
      <c r="A78" s="91">
        <f t="shared" si="3"/>
        <v>71</v>
      </c>
      <c r="B78" s="20"/>
      <c r="C78" s="23"/>
      <c r="D78" s="51"/>
      <c r="E78" s="15"/>
      <c r="F78" s="21"/>
      <c r="G78" s="54"/>
      <c r="H78" s="55"/>
      <c r="I78" s="55"/>
      <c r="J78" s="55"/>
      <c r="K78" s="22"/>
      <c r="L78" s="57"/>
      <c r="M78" s="58"/>
      <c r="N78" s="90"/>
      <c r="O78" s="90"/>
    </row>
    <row r="79" spans="1:15" x14ac:dyDescent="0.2">
      <c r="A79" s="91">
        <f t="shared" si="3"/>
        <v>72</v>
      </c>
      <c r="B79" s="20"/>
      <c r="C79" s="23"/>
      <c r="D79" s="51"/>
      <c r="E79" s="15"/>
      <c r="F79" s="21"/>
      <c r="G79" s="54"/>
      <c r="H79" s="55"/>
      <c r="I79" s="55"/>
      <c r="J79" s="55"/>
      <c r="K79" s="22"/>
      <c r="L79" s="57"/>
      <c r="M79" s="58"/>
      <c r="N79" s="90"/>
      <c r="O79" s="90"/>
    </row>
    <row r="80" spans="1:15" x14ac:dyDescent="0.2">
      <c r="A80" s="91">
        <f t="shared" si="3"/>
        <v>73</v>
      </c>
      <c r="B80" s="20"/>
      <c r="C80" s="23"/>
      <c r="D80" s="51"/>
      <c r="E80" s="15"/>
      <c r="F80" s="21"/>
      <c r="G80" s="54"/>
      <c r="H80" s="55"/>
      <c r="I80" s="55"/>
      <c r="J80" s="55"/>
      <c r="K80" s="22"/>
      <c r="L80" s="57"/>
      <c r="M80" s="58"/>
      <c r="N80" s="90"/>
      <c r="O80" s="90"/>
    </row>
    <row r="81" spans="1:15" x14ac:dyDescent="0.2">
      <c r="A81" s="91">
        <f t="shared" si="3"/>
        <v>74</v>
      </c>
      <c r="B81" s="20"/>
      <c r="C81" s="23"/>
      <c r="D81" s="51"/>
      <c r="E81" s="15"/>
      <c r="F81" s="21"/>
      <c r="G81" s="54"/>
      <c r="H81" s="55"/>
      <c r="I81" s="55"/>
      <c r="J81" s="55"/>
      <c r="K81" s="22"/>
      <c r="L81" s="57"/>
      <c r="M81" s="58"/>
      <c r="N81" s="90"/>
      <c r="O81" s="90"/>
    </row>
    <row r="82" spans="1:15" x14ac:dyDescent="0.2">
      <c r="A82" s="91">
        <f t="shared" si="3"/>
        <v>75</v>
      </c>
      <c r="B82" s="20"/>
      <c r="C82" s="23"/>
      <c r="D82" s="51"/>
      <c r="E82" s="15"/>
      <c r="F82" s="21"/>
      <c r="G82" s="54"/>
      <c r="H82" s="55"/>
      <c r="I82" s="55"/>
      <c r="J82" s="55"/>
      <c r="K82" s="22"/>
      <c r="L82" s="57"/>
      <c r="M82" s="58"/>
      <c r="N82" s="90"/>
      <c r="O82" s="90"/>
    </row>
    <row r="83" spans="1:15" x14ac:dyDescent="0.2">
      <c r="A83" s="91">
        <f t="shared" si="3"/>
        <v>76</v>
      </c>
      <c r="B83" s="20"/>
      <c r="C83" s="23"/>
      <c r="D83" s="51"/>
      <c r="E83" s="15"/>
      <c r="F83" s="21"/>
      <c r="G83" s="54"/>
      <c r="H83" s="55"/>
      <c r="I83" s="55"/>
      <c r="J83" s="55"/>
      <c r="K83" s="22"/>
      <c r="L83" s="57"/>
      <c r="M83" s="58"/>
      <c r="N83" s="90"/>
      <c r="O83" s="90"/>
    </row>
    <row r="84" spans="1:15" x14ac:dyDescent="0.2">
      <c r="A84" s="91">
        <f t="shared" si="3"/>
        <v>77</v>
      </c>
      <c r="B84" s="20"/>
      <c r="C84" s="23"/>
      <c r="D84" s="51"/>
      <c r="E84" s="15"/>
      <c r="F84" s="21"/>
      <c r="G84" s="54"/>
      <c r="H84" s="55"/>
      <c r="I84" s="55"/>
      <c r="J84" s="55"/>
      <c r="K84" s="22"/>
      <c r="L84" s="57"/>
      <c r="M84" s="58"/>
      <c r="N84" s="90" t="str">
        <f>IF(B84&gt;0,IF(AND(#REF!&gt;0,C84&gt;0,#REF!&gt;0),"","C, M болон N баганын холбогдох утгыг нөхнө үү"),"")</f>
        <v/>
      </c>
      <c r="O84" s="90"/>
    </row>
    <row r="85" spans="1:15" x14ac:dyDescent="0.2">
      <c r="A85" s="91">
        <f t="shared" si="3"/>
        <v>78</v>
      </c>
      <c r="B85" s="20"/>
      <c r="C85" s="23"/>
      <c r="D85" s="51"/>
      <c r="E85" s="15"/>
      <c r="F85" s="21"/>
      <c r="G85" s="54"/>
      <c r="H85" s="55"/>
      <c r="I85" s="55"/>
      <c r="J85" s="55"/>
      <c r="K85" s="22"/>
      <c r="L85" s="57"/>
      <c r="M85" s="58"/>
      <c r="N85" s="90" t="str">
        <f>IF(B85&gt;0,IF(AND(#REF!&gt;0,C85&gt;0,#REF!&gt;0),"","C, M болон N баганын холбогдох утгыг нөхнө үү"),"")</f>
        <v/>
      </c>
      <c r="O85" s="90"/>
    </row>
    <row r="86" spans="1:15" x14ac:dyDescent="0.2">
      <c r="A86" s="91">
        <f t="shared" si="3"/>
        <v>79</v>
      </c>
      <c r="B86" s="20"/>
      <c r="C86" s="23"/>
      <c r="D86" s="51"/>
      <c r="E86" s="15"/>
      <c r="F86" s="21"/>
      <c r="G86" s="54"/>
      <c r="H86" s="55"/>
      <c r="I86" s="55"/>
      <c r="J86" s="55"/>
      <c r="K86" s="22"/>
      <c r="L86" s="57"/>
      <c r="M86" s="58"/>
      <c r="N86" s="90" t="str">
        <f>IF(B86&gt;0,IF(AND(#REF!&gt;0,C86&gt;0,#REF!&gt;0),"","C, M болон N баганын холбогдох утгыг нөхнө үү"),"")</f>
        <v/>
      </c>
      <c r="O86" s="90"/>
    </row>
    <row r="87" spans="1:15" x14ac:dyDescent="0.2">
      <c r="A87" s="91">
        <f t="shared" si="3"/>
        <v>80</v>
      </c>
      <c r="B87" s="20"/>
      <c r="C87" s="23"/>
      <c r="D87" s="51"/>
      <c r="E87" s="15"/>
      <c r="F87" s="21"/>
      <c r="G87" s="54"/>
      <c r="H87" s="55"/>
      <c r="I87" s="55"/>
      <c r="J87" s="55"/>
      <c r="K87" s="22"/>
      <c r="L87" s="57"/>
      <c r="M87" s="58"/>
      <c r="N87" s="90" t="str">
        <f>IF(B87&gt;0,IF(AND(#REF!&gt;0,C87&gt;0,#REF!&gt;0),"","C, M болон N баганын холбогдох утгыг нөхнө үү"),"")</f>
        <v/>
      </c>
      <c r="O87" s="90"/>
    </row>
    <row r="88" spans="1:15" x14ac:dyDescent="0.2">
      <c r="A88" s="91">
        <f t="shared" si="3"/>
        <v>81</v>
      </c>
      <c r="B88" s="20"/>
      <c r="C88" s="23"/>
      <c r="D88" s="51"/>
      <c r="E88" s="15"/>
      <c r="F88" s="21"/>
      <c r="G88" s="54"/>
      <c r="H88" s="55"/>
      <c r="I88" s="55"/>
      <c r="J88" s="55"/>
      <c r="K88" s="22"/>
      <c r="L88" s="57"/>
      <c r="M88" s="58"/>
      <c r="N88" s="90" t="str">
        <f>IF(B88&gt;0,IF(AND(#REF!&gt;0,C88&gt;0,#REF!&gt;0),"","C, M болон N баганын холбогдох утгыг нөхнө үү"),"")</f>
        <v/>
      </c>
      <c r="O88" s="90"/>
    </row>
    <row r="89" spans="1:15" x14ac:dyDescent="0.2">
      <c r="A89" s="91">
        <f t="shared" si="3"/>
        <v>82</v>
      </c>
      <c r="B89" s="20"/>
      <c r="C89" s="23"/>
      <c r="D89" s="51"/>
      <c r="E89" s="15"/>
      <c r="F89" s="21"/>
      <c r="G89" s="54"/>
      <c r="H89" s="55"/>
      <c r="I89" s="55"/>
      <c r="J89" s="55"/>
      <c r="K89" s="22"/>
      <c r="L89" s="57"/>
      <c r="M89" s="58"/>
      <c r="N89" s="90" t="str">
        <f>IF(B89&gt;0,IF(AND(#REF!&gt;0,C89&gt;0,#REF!&gt;0),"","C, M болон N баганын холбогдох утгыг нөхнө үү"),"")</f>
        <v/>
      </c>
      <c r="O89" s="90"/>
    </row>
    <row r="90" spans="1:15" x14ac:dyDescent="0.2">
      <c r="A90" s="91">
        <f t="shared" si="3"/>
        <v>83</v>
      </c>
      <c r="B90" s="20"/>
      <c r="C90" s="23"/>
      <c r="D90" s="51"/>
      <c r="E90" s="15"/>
      <c r="F90" s="21"/>
      <c r="G90" s="54"/>
      <c r="H90" s="55"/>
      <c r="I90" s="55"/>
      <c r="J90" s="55"/>
      <c r="K90" s="22"/>
      <c r="L90" s="57"/>
      <c r="M90" s="58"/>
      <c r="N90" s="90"/>
      <c r="O90" s="90"/>
    </row>
    <row r="91" spans="1:15" x14ac:dyDescent="0.2">
      <c r="A91" s="91">
        <f t="shared" si="3"/>
        <v>84</v>
      </c>
      <c r="B91" s="20"/>
      <c r="C91" s="23"/>
      <c r="D91" s="51"/>
      <c r="E91" s="15"/>
      <c r="F91" s="21"/>
      <c r="G91" s="54"/>
      <c r="H91" s="55"/>
      <c r="I91" s="55"/>
      <c r="J91" s="55"/>
      <c r="K91" s="22"/>
      <c r="L91" s="57"/>
      <c r="M91" s="58"/>
      <c r="N91" s="90"/>
      <c r="O91" s="90"/>
    </row>
    <row r="92" spans="1:15" x14ac:dyDescent="0.2">
      <c r="A92" s="91">
        <f t="shared" si="3"/>
        <v>85</v>
      </c>
      <c r="B92" s="20"/>
      <c r="C92" s="23"/>
      <c r="D92" s="51"/>
      <c r="E92" s="15"/>
      <c r="F92" s="21"/>
      <c r="G92" s="54"/>
      <c r="H92" s="55"/>
      <c r="I92" s="55"/>
      <c r="J92" s="55"/>
      <c r="K92" s="22"/>
      <c r="L92" s="57"/>
      <c r="M92" s="58"/>
      <c r="N92" s="90"/>
      <c r="O92" s="90"/>
    </row>
    <row r="93" spans="1:15" x14ac:dyDescent="0.2">
      <c r="A93" s="91">
        <f t="shared" si="3"/>
        <v>86</v>
      </c>
      <c r="B93" s="20"/>
      <c r="C93" s="23"/>
      <c r="D93" s="51"/>
      <c r="E93" s="15"/>
      <c r="F93" s="21"/>
      <c r="G93" s="54"/>
      <c r="H93" s="55"/>
      <c r="I93" s="55"/>
      <c r="J93" s="55"/>
      <c r="K93" s="22"/>
      <c r="L93" s="57"/>
      <c r="M93" s="58"/>
      <c r="N93" s="90"/>
      <c r="O93" s="90"/>
    </row>
    <row r="94" spans="1:15" x14ac:dyDescent="0.2">
      <c r="A94" s="91">
        <f t="shared" si="3"/>
        <v>87</v>
      </c>
      <c r="B94" s="20"/>
      <c r="C94" s="23"/>
      <c r="D94" s="51"/>
      <c r="E94" s="15"/>
      <c r="F94" s="21"/>
      <c r="G94" s="54"/>
      <c r="H94" s="55"/>
      <c r="I94" s="55"/>
      <c r="J94" s="55"/>
      <c r="K94" s="22"/>
      <c r="L94" s="57"/>
      <c r="M94" s="58"/>
      <c r="N94" s="90"/>
      <c r="O94" s="90"/>
    </row>
    <row r="95" spans="1:15" x14ac:dyDescent="0.2">
      <c r="A95" s="91">
        <f t="shared" si="3"/>
        <v>88</v>
      </c>
      <c r="B95" s="20"/>
      <c r="C95" s="23"/>
      <c r="D95" s="51"/>
      <c r="E95" s="15"/>
      <c r="F95" s="21"/>
      <c r="G95" s="54"/>
      <c r="H95" s="55"/>
      <c r="I95" s="55"/>
      <c r="J95" s="55"/>
      <c r="K95" s="22"/>
      <c r="L95" s="57"/>
      <c r="M95" s="58"/>
      <c r="N95" s="90"/>
      <c r="O95" s="90"/>
    </row>
    <row r="96" spans="1:15" x14ac:dyDescent="0.2">
      <c r="A96" s="91">
        <f t="shared" si="3"/>
        <v>89</v>
      </c>
      <c r="B96" s="20"/>
      <c r="C96" s="23"/>
      <c r="D96" s="51"/>
      <c r="E96" s="15"/>
      <c r="F96" s="21"/>
      <c r="G96" s="54"/>
      <c r="H96" s="55"/>
      <c r="I96" s="55"/>
      <c r="J96" s="55"/>
      <c r="K96" s="22"/>
      <c r="L96" s="57"/>
      <c r="M96" s="58"/>
      <c r="N96" s="90"/>
      <c r="O96" s="90"/>
    </row>
    <row r="97" spans="1:15" x14ac:dyDescent="0.2">
      <c r="A97" s="91">
        <f t="shared" si="3"/>
        <v>90</v>
      </c>
      <c r="B97" s="20"/>
      <c r="C97" s="23"/>
      <c r="D97" s="51"/>
      <c r="E97" s="15"/>
      <c r="F97" s="21"/>
      <c r="G97" s="54"/>
      <c r="H97" s="55"/>
      <c r="I97" s="55"/>
      <c r="J97" s="55"/>
      <c r="K97" s="22"/>
      <c r="L97" s="57"/>
      <c r="M97" s="58"/>
      <c r="N97" s="90"/>
      <c r="O97" s="90"/>
    </row>
    <row r="98" spans="1:15" x14ac:dyDescent="0.2">
      <c r="A98" s="91">
        <f t="shared" si="3"/>
        <v>91</v>
      </c>
      <c r="B98" s="20"/>
      <c r="C98" s="23"/>
      <c r="D98" s="51"/>
      <c r="E98" s="15"/>
      <c r="F98" s="21"/>
      <c r="G98" s="54"/>
      <c r="H98" s="55"/>
      <c r="I98" s="55"/>
      <c r="J98" s="55"/>
      <c r="K98" s="22"/>
      <c r="L98" s="57"/>
      <c r="M98" s="58"/>
      <c r="N98" s="90"/>
      <c r="O98" s="90"/>
    </row>
    <row r="99" spans="1:15" x14ac:dyDescent="0.2">
      <c r="A99" s="91">
        <f t="shared" si="3"/>
        <v>92</v>
      </c>
      <c r="B99" s="20"/>
      <c r="C99" s="23"/>
      <c r="D99" s="51"/>
      <c r="E99" s="15"/>
      <c r="F99" s="21"/>
      <c r="G99" s="54"/>
      <c r="H99" s="55"/>
      <c r="I99" s="55"/>
      <c r="J99" s="55"/>
      <c r="K99" s="22"/>
      <c r="L99" s="57"/>
      <c r="M99" s="58"/>
      <c r="N99" s="90"/>
      <c r="O99" s="90"/>
    </row>
    <row r="100" spans="1:15" x14ac:dyDescent="0.2">
      <c r="A100" s="91">
        <f t="shared" si="3"/>
        <v>93</v>
      </c>
      <c r="B100" s="20"/>
      <c r="C100" s="23"/>
      <c r="D100" s="51"/>
      <c r="E100" s="15"/>
      <c r="F100" s="21"/>
      <c r="G100" s="54"/>
      <c r="H100" s="55"/>
      <c r="I100" s="55"/>
      <c r="J100" s="55"/>
      <c r="K100" s="22"/>
      <c r="L100" s="57"/>
      <c r="M100" s="58"/>
      <c r="N100" s="90" t="str">
        <f>IF(B100&gt;0,IF(AND(#REF!&gt;0,C100&gt;0,#REF!&gt;0),"","C, M болон N баганын холбогдох утгыг нөхнө үү"),"")</f>
        <v/>
      </c>
      <c r="O100" s="90"/>
    </row>
    <row r="101" spans="1:15" x14ac:dyDescent="0.2">
      <c r="A101" s="91">
        <f t="shared" si="3"/>
        <v>94</v>
      </c>
      <c r="B101" s="20"/>
      <c r="C101" s="23"/>
      <c r="D101" s="51"/>
      <c r="E101" s="15"/>
      <c r="F101" s="21"/>
      <c r="G101" s="54"/>
      <c r="H101" s="55"/>
      <c r="I101" s="55"/>
      <c r="J101" s="55"/>
      <c r="K101" s="22"/>
      <c r="L101" s="57"/>
      <c r="M101" s="58"/>
      <c r="N101" s="90" t="str">
        <f>IF(B101&gt;0,IF(AND(#REF!&gt;0,C101&gt;0,#REF!&gt;0),"","C, M болон N баганын холбогдох утгыг нөхнө үү"),"")</f>
        <v/>
      </c>
      <c r="O101" s="90"/>
    </row>
    <row r="102" spans="1:15" x14ac:dyDescent="0.2">
      <c r="A102" s="91">
        <f t="shared" si="3"/>
        <v>95</v>
      </c>
      <c r="B102" s="20"/>
      <c r="C102" s="23"/>
      <c r="D102" s="51"/>
      <c r="E102" s="15"/>
      <c r="F102" s="21"/>
      <c r="G102" s="54"/>
      <c r="H102" s="55"/>
      <c r="I102" s="55"/>
      <c r="J102" s="55"/>
      <c r="K102" s="22"/>
      <c r="L102" s="57"/>
      <c r="M102" s="58"/>
      <c r="N102" s="90" t="str">
        <f>IF(B102&gt;0,IF(AND(#REF!&gt;0,C102&gt;0,#REF!&gt;0),"","C, M болон N баганын холбогдох утгыг нөхнө үү"),"")</f>
        <v/>
      </c>
      <c r="O102" s="90"/>
    </row>
    <row r="103" spans="1:15" x14ac:dyDescent="0.2">
      <c r="A103" s="91">
        <f t="shared" si="3"/>
        <v>96</v>
      </c>
      <c r="B103" s="20"/>
      <c r="C103" s="23"/>
      <c r="D103" s="51"/>
      <c r="E103" s="15"/>
      <c r="F103" s="21"/>
      <c r="G103" s="54"/>
      <c r="H103" s="55"/>
      <c r="I103" s="55"/>
      <c r="J103" s="55"/>
      <c r="K103" s="22"/>
      <c r="L103" s="57"/>
      <c r="M103" s="58"/>
      <c r="N103" s="90" t="str">
        <f>IF(B103&gt;0,IF(AND(#REF!&gt;0,C103&gt;0,#REF!&gt;0),"","C, M болон N баганын холбогдох утгыг нөхнө үү"),"")</f>
        <v/>
      </c>
      <c r="O103" s="90"/>
    </row>
    <row r="104" spans="1:15" x14ac:dyDescent="0.2">
      <c r="A104" s="91">
        <f t="shared" si="3"/>
        <v>97</v>
      </c>
      <c r="B104" s="20"/>
      <c r="C104" s="23"/>
      <c r="D104" s="51"/>
      <c r="E104" s="15"/>
      <c r="F104" s="21"/>
      <c r="G104" s="54"/>
      <c r="H104" s="55"/>
      <c r="I104" s="55"/>
      <c r="J104" s="55"/>
      <c r="K104" s="22"/>
      <c r="L104" s="57"/>
      <c r="M104" s="58"/>
      <c r="N104" s="90" t="str">
        <f>IF(B104&gt;0,IF(AND(#REF!&gt;0,C104&gt;0,#REF!&gt;0),"","C, M болон N баганын холбогдох утгыг нөхнө үү"),"")</f>
        <v/>
      </c>
      <c r="O104" s="90"/>
    </row>
    <row r="105" spans="1:15" x14ac:dyDescent="0.2">
      <c r="A105" s="91">
        <f t="shared" si="3"/>
        <v>98</v>
      </c>
      <c r="B105" s="20"/>
      <c r="C105" s="23"/>
      <c r="D105" s="51"/>
      <c r="E105" s="15"/>
      <c r="F105" s="21"/>
      <c r="G105" s="54"/>
      <c r="H105" s="55"/>
      <c r="I105" s="55"/>
      <c r="J105" s="55"/>
      <c r="K105" s="22"/>
      <c r="L105" s="57"/>
      <c r="M105" s="58"/>
      <c r="N105" s="90" t="str">
        <f>IF(B105&gt;0,IF(AND(#REF!&gt;0,C105&gt;0,#REF!&gt;0),"","C, M болон N баганын холбогдох утгыг нөхнө үү"),"")</f>
        <v/>
      </c>
      <c r="O105" s="90"/>
    </row>
    <row r="106" spans="1:15" x14ac:dyDescent="0.2">
      <c r="A106" s="91">
        <f t="shared" si="3"/>
        <v>99</v>
      </c>
      <c r="B106" s="20"/>
      <c r="C106" s="23"/>
      <c r="D106" s="51"/>
      <c r="E106" s="15"/>
      <c r="F106" s="21"/>
      <c r="G106" s="54"/>
      <c r="H106" s="55"/>
      <c r="I106" s="55"/>
      <c r="J106" s="55"/>
      <c r="K106" s="22"/>
      <c r="L106" s="57"/>
      <c r="M106" s="58"/>
      <c r="N106" s="90" t="str">
        <f>IF(B106&gt;0,IF(AND(#REF!&gt;0,C106&gt;0,#REF!&gt;0),"","C, M болон N баганын холбогдох утгыг нөхнө үү"),"")</f>
        <v/>
      </c>
      <c r="O106" s="90"/>
    </row>
    <row r="107" spans="1:15" x14ac:dyDescent="0.2">
      <c r="A107" s="92">
        <f t="shared" si="3"/>
        <v>100</v>
      </c>
      <c r="B107" s="59"/>
      <c r="C107" s="60"/>
      <c r="D107" s="51"/>
      <c r="E107" s="61"/>
      <c r="F107" s="62"/>
      <c r="G107" s="54"/>
      <c r="H107" s="55"/>
      <c r="I107" s="55"/>
      <c r="J107" s="55"/>
      <c r="K107" s="63"/>
      <c r="L107" s="57"/>
      <c r="M107" s="58"/>
      <c r="N107" s="90" t="str">
        <f>IF(B107&gt;0,IF(AND(#REF!&gt;0,C107&gt;0,#REF!&gt;0),"","C, M болон N баганын холбогдох утгыг нөхнө үү"),"")</f>
        <v/>
      </c>
      <c r="O107" s="90"/>
    </row>
    <row r="108" spans="1:15" x14ac:dyDescent="0.2">
      <c r="A108" s="299" t="s">
        <v>33</v>
      </c>
      <c r="B108" s="299"/>
      <c r="C108" s="93"/>
      <c r="D108" s="93"/>
      <c r="E108" s="65">
        <f>+SUM(E8:E107)</f>
        <v>325000</v>
      </c>
      <c r="F108" s="94"/>
      <c r="G108" s="65"/>
      <c r="H108" s="95"/>
      <c r="I108" s="95"/>
      <c r="J108" s="95"/>
      <c r="K108" s="65">
        <f>+SUM(K8:K107)</f>
        <v>425000</v>
      </c>
      <c r="L108" s="96"/>
      <c r="M108" s="65"/>
    </row>
    <row r="109" spans="1:15" x14ac:dyDescent="0.2">
      <c r="A109" s="11"/>
      <c r="B109" s="11"/>
      <c r="C109" s="11"/>
      <c r="D109" s="11"/>
      <c r="E109" s="97"/>
      <c r="F109" s="98"/>
      <c r="G109" s="64"/>
      <c r="H109" s="99"/>
      <c r="I109" s="99"/>
      <c r="J109" s="99"/>
      <c r="K109" s="100">
        <f>MAX(K8:K107)</f>
        <v>29000</v>
      </c>
      <c r="L109" s="300" t="s">
        <v>34</v>
      </c>
      <c r="M109" s="300"/>
    </row>
    <row r="110" spans="1:15" ht="12.75" customHeight="1" x14ac:dyDescent="0.2">
      <c r="A110" s="301" t="s">
        <v>35</v>
      </c>
      <c r="B110" s="301"/>
      <c r="C110" s="301"/>
      <c r="D110" s="301"/>
      <c r="E110" s="301"/>
      <c r="F110" s="301"/>
      <c r="G110" s="301"/>
      <c r="H110" s="301"/>
      <c r="I110" s="301"/>
      <c r="J110" s="301"/>
      <c r="K110" s="301"/>
      <c r="L110" s="301"/>
      <c r="M110" s="301"/>
      <c r="N110" s="102"/>
    </row>
    <row r="111" spans="1:15" ht="12.75" customHeight="1" x14ac:dyDescent="0.2">
      <c r="A111" s="302" t="s">
        <v>136</v>
      </c>
      <c r="B111" s="302"/>
      <c r="C111" s="302"/>
      <c r="D111" s="302"/>
      <c r="E111" s="302"/>
      <c r="F111" s="302"/>
      <c r="G111" s="302"/>
      <c r="H111" s="302"/>
      <c r="I111" s="302"/>
      <c r="J111" s="302"/>
      <c r="K111" s="302"/>
      <c r="L111" s="302"/>
      <c r="M111" s="302"/>
      <c r="N111" s="102"/>
    </row>
    <row r="112" spans="1:15" x14ac:dyDescent="0.2">
      <c r="A112" s="302"/>
      <c r="B112" s="302"/>
      <c r="C112" s="302"/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101"/>
    </row>
    <row r="113" spans="2:13" x14ac:dyDescent="0.2">
      <c r="E113" s="104"/>
      <c r="F113" s="105"/>
      <c r="G113" s="104"/>
      <c r="K113" s="106"/>
      <c r="L113" s="107"/>
      <c r="M113" s="106"/>
    </row>
    <row r="114" spans="2:13" x14ac:dyDescent="0.2">
      <c r="E114" s="256" t="str">
        <f>+STAT!C33</f>
        <v>ТАМГА</v>
      </c>
      <c r="F114" s="256"/>
      <c r="G114" s="257"/>
      <c r="H114" s="108"/>
      <c r="I114" s="108"/>
      <c r="J114" s="109"/>
      <c r="K114" s="106"/>
      <c r="L114" s="107"/>
      <c r="M114" s="106"/>
    </row>
    <row r="115" spans="2:13" x14ac:dyDescent="0.2">
      <c r="E115" s="110"/>
      <c r="F115" s="111"/>
      <c r="G115" s="112"/>
      <c r="H115" s="108"/>
      <c r="I115" s="108"/>
      <c r="J115" s="109"/>
      <c r="K115" s="106"/>
      <c r="L115" s="107"/>
      <c r="M115" s="106"/>
    </row>
    <row r="116" spans="2:13" x14ac:dyDescent="0.2">
      <c r="D116" s="111"/>
      <c r="E116" s="12" t="str">
        <f>+STAT!C35</f>
        <v xml:space="preserve">             ТАЙЛАНГ ҮНЭН ЗӨВ ГАРГАСАН:</v>
      </c>
      <c r="F116" s="12"/>
      <c r="G116" s="12"/>
      <c r="H116" s="109"/>
      <c r="I116" s="106"/>
      <c r="J116" s="107"/>
      <c r="K116" s="106"/>
      <c r="L116" s="86"/>
      <c r="M116" s="86"/>
    </row>
    <row r="117" spans="2:13" x14ac:dyDescent="0.2">
      <c r="D117" s="111"/>
      <c r="E117" s="112"/>
      <c r="F117" s="108"/>
      <c r="G117" s="108"/>
      <c r="H117" s="109"/>
      <c r="I117" s="106"/>
      <c r="J117" s="107"/>
      <c r="K117" s="106"/>
      <c r="L117" s="86"/>
      <c r="M117" s="86"/>
    </row>
    <row r="118" spans="2:13" ht="15" customHeight="1" x14ac:dyDescent="0.2">
      <c r="D118" s="111"/>
      <c r="E118" s="112"/>
      <c r="F118" s="108" t="str">
        <f>+STAT!D37</f>
        <v>ГҮЙЦЭТГЭХ ЗАХИРАЛ...........BOLD..........//</v>
      </c>
      <c r="G118" s="108"/>
      <c r="H118" s="108"/>
      <c r="I118" s="106"/>
      <c r="J118" s="107"/>
      <c r="K118" s="106"/>
      <c r="L118" s="86"/>
      <c r="M118" s="86"/>
    </row>
    <row r="119" spans="2:13" x14ac:dyDescent="0.2">
      <c r="D119" s="111"/>
      <c r="E119" s="112"/>
      <c r="F119" s="113"/>
      <c r="G119" s="113"/>
      <c r="H119" s="113"/>
      <c r="I119" s="106"/>
      <c r="J119" s="107"/>
      <c r="K119" s="106"/>
      <c r="L119" s="86"/>
      <c r="M119" s="86"/>
    </row>
    <row r="120" spans="2:13" ht="15" customHeight="1" x14ac:dyDescent="0.2">
      <c r="D120" s="111"/>
      <c r="E120" s="112"/>
      <c r="F120" s="108" t="str">
        <f>+STAT!D39</f>
        <v>ЕРӨНХИЙ НЯГТЛАН БОДОГЧ..............BAT............//</v>
      </c>
      <c r="G120" s="108"/>
      <c r="H120" s="108"/>
      <c r="I120" s="104"/>
      <c r="J120" s="114"/>
      <c r="K120" s="104"/>
      <c r="L120" s="86"/>
      <c r="M120" s="86"/>
    </row>
    <row r="121" spans="2:13" x14ac:dyDescent="0.2">
      <c r="E121" s="110"/>
      <c r="F121" s="111"/>
      <c r="G121" s="112"/>
      <c r="H121" s="113"/>
      <c r="I121" s="113"/>
      <c r="J121" s="113"/>
      <c r="K121" s="104"/>
      <c r="L121" s="114"/>
      <c r="M121" s="104"/>
    </row>
    <row r="122" spans="2:13" ht="15" customHeight="1" x14ac:dyDescent="0.2">
      <c r="E122" s="110"/>
      <c r="F122" s="111"/>
      <c r="G122" s="112"/>
      <c r="H122" s="298">
        <f>[1]BALANCE!D365</f>
        <v>0</v>
      </c>
      <c r="I122" s="298"/>
      <c r="J122" s="298"/>
      <c r="K122" s="104"/>
      <c r="L122" s="114"/>
      <c r="M122" s="104"/>
    </row>
    <row r="123" spans="2:13" x14ac:dyDescent="0.2">
      <c r="E123" s="104"/>
      <c r="F123" s="105"/>
      <c r="G123" s="104"/>
      <c r="K123" s="104"/>
      <c r="L123" s="114"/>
      <c r="M123" s="104"/>
    </row>
    <row r="124" spans="2:13" hidden="1" x14ac:dyDescent="0.2">
      <c r="B124" s="115" t="s">
        <v>37</v>
      </c>
      <c r="C124" s="115"/>
      <c r="D124" s="115"/>
      <c r="E124" s="104" t="s">
        <v>38</v>
      </c>
      <c r="F124" s="105"/>
      <c r="G124" s="104"/>
      <c r="K124" s="104"/>
      <c r="L124" s="114"/>
      <c r="M124" s="104"/>
    </row>
    <row r="125" spans="2:13" hidden="1" x14ac:dyDescent="0.2">
      <c r="B125" s="115" t="s">
        <v>39</v>
      </c>
      <c r="C125" s="115"/>
      <c r="D125" s="115"/>
      <c r="E125" s="104" t="s">
        <v>79</v>
      </c>
      <c r="F125" s="105"/>
      <c r="G125" s="104"/>
      <c r="K125" s="104"/>
      <c r="L125" s="114"/>
      <c r="M125" s="104"/>
    </row>
    <row r="126" spans="2:13" hidden="1" x14ac:dyDescent="0.2">
      <c r="B126" s="116" t="s">
        <v>40</v>
      </c>
      <c r="C126" s="116"/>
      <c r="D126" s="116"/>
      <c r="E126" s="104" t="s">
        <v>41</v>
      </c>
      <c r="F126" s="105"/>
      <c r="G126" s="104"/>
      <c r="K126" s="104"/>
      <c r="L126" s="114"/>
      <c r="M126" s="104"/>
    </row>
    <row r="127" spans="2:13" hidden="1" x14ac:dyDescent="0.2">
      <c r="B127" s="116" t="s">
        <v>42</v>
      </c>
      <c r="C127" s="116"/>
      <c r="D127" s="116"/>
      <c r="E127" s="104" t="s">
        <v>43</v>
      </c>
      <c r="F127" s="105"/>
      <c r="G127" s="104"/>
      <c r="K127" s="104"/>
      <c r="L127" s="114"/>
      <c r="M127" s="104"/>
    </row>
    <row r="128" spans="2:13" hidden="1" x14ac:dyDescent="0.2">
      <c r="B128" s="116" t="s">
        <v>44</v>
      </c>
      <c r="C128" s="116"/>
      <c r="D128" s="116"/>
      <c r="E128" s="104" t="s">
        <v>45</v>
      </c>
      <c r="F128" s="105"/>
      <c r="G128" s="104"/>
      <c r="K128" s="104"/>
      <c r="L128" s="114"/>
      <c r="M128" s="104"/>
    </row>
    <row r="129" spans="2:13" hidden="1" x14ac:dyDescent="0.2">
      <c r="B129" s="116" t="s">
        <v>46</v>
      </c>
      <c r="C129" s="116"/>
      <c r="D129" s="116"/>
      <c r="E129" s="104"/>
      <c r="F129" s="105"/>
      <c r="G129" s="104"/>
      <c r="K129" s="104"/>
      <c r="L129" s="114"/>
      <c r="M129" s="104"/>
    </row>
    <row r="130" spans="2:13" hidden="1" x14ac:dyDescent="0.2">
      <c r="B130" s="116" t="s">
        <v>47</v>
      </c>
      <c r="C130" s="116"/>
      <c r="D130" s="116"/>
      <c r="E130" s="104"/>
      <c r="F130" s="105"/>
      <c r="G130" s="104"/>
      <c r="K130" s="104"/>
      <c r="L130" s="114"/>
      <c r="M130" s="104"/>
    </row>
    <row r="131" spans="2:13" hidden="1" x14ac:dyDescent="0.2">
      <c r="B131" s="116" t="s">
        <v>48</v>
      </c>
      <c r="C131" s="116"/>
      <c r="D131" s="116"/>
      <c r="E131" s="104"/>
      <c r="F131" s="105"/>
      <c r="G131" s="104"/>
      <c r="K131" s="104"/>
      <c r="L131" s="114"/>
      <c r="M131" s="104"/>
    </row>
    <row r="132" spans="2:13" hidden="1" x14ac:dyDescent="0.2">
      <c r="B132" s="116" t="s">
        <v>49</v>
      </c>
      <c r="C132" s="116"/>
      <c r="D132" s="116"/>
      <c r="E132" s="104"/>
      <c r="F132" s="105"/>
      <c r="G132" s="104"/>
      <c r="K132" s="104"/>
      <c r="L132" s="114"/>
      <c r="M132" s="104"/>
    </row>
    <row r="133" spans="2:13" hidden="1" x14ac:dyDescent="0.2">
      <c r="B133" s="116" t="s">
        <v>50</v>
      </c>
      <c r="C133" s="116"/>
      <c r="D133" s="116"/>
      <c r="E133" s="104"/>
      <c r="F133" s="105"/>
      <c r="G133" s="104"/>
      <c r="K133" s="104"/>
      <c r="L133" s="114"/>
      <c r="M133" s="104"/>
    </row>
    <row r="134" spans="2:13" hidden="1" x14ac:dyDescent="0.2">
      <c r="B134" s="116" t="s">
        <v>51</v>
      </c>
      <c r="C134" s="116"/>
      <c r="D134" s="116"/>
      <c r="E134" s="104"/>
      <c r="F134" s="105"/>
      <c r="G134" s="104"/>
      <c r="K134" s="104"/>
      <c r="L134" s="114"/>
      <c r="M134" s="104"/>
    </row>
    <row r="135" spans="2:13" hidden="1" x14ac:dyDescent="0.2">
      <c r="B135" s="116" t="s">
        <v>52</v>
      </c>
      <c r="C135" s="116"/>
      <c r="D135" s="116"/>
      <c r="E135" s="104"/>
      <c r="F135" s="105"/>
      <c r="G135" s="104"/>
      <c r="K135" s="104"/>
      <c r="L135" s="114"/>
      <c r="M135" s="104"/>
    </row>
    <row r="136" spans="2:13" hidden="1" x14ac:dyDescent="0.2">
      <c r="B136" s="117" t="s">
        <v>53</v>
      </c>
      <c r="C136" s="117"/>
      <c r="D136" s="117"/>
      <c r="E136" s="104"/>
      <c r="F136" s="105"/>
      <c r="G136" s="104"/>
      <c r="K136" s="104"/>
      <c r="L136" s="114"/>
      <c r="M136" s="104"/>
    </row>
    <row r="137" spans="2:13" hidden="1" x14ac:dyDescent="0.2">
      <c r="E137" s="104"/>
      <c r="F137" s="105"/>
      <c r="G137" s="104"/>
      <c r="K137" s="104"/>
      <c r="L137" s="114"/>
      <c r="M137" s="104"/>
    </row>
    <row r="138" spans="2:13" hidden="1" x14ac:dyDescent="0.2">
      <c r="E138" s="104"/>
      <c r="F138" s="105"/>
      <c r="G138" s="104"/>
      <c r="K138" s="104"/>
      <c r="L138" s="114"/>
      <c r="M138" s="104"/>
    </row>
    <row r="139" spans="2:13" hidden="1" x14ac:dyDescent="0.2">
      <c r="E139" s="104"/>
      <c r="F139" s="105"/>
      <c r="G139" s="104"/>
      <c r="K139" s="104"/>
      <c r="L139" s="114"/>
      <c r="M139" s="104"/>
    </row>
    <row r="140" spans="2:13" hidden="1" x14ac:dyDescent="0.2">
      <c r="D140" s="118" t="s">
        <v>54</v>
      </c>
      <c r="E140" s="119"/>
      <c r="F140" s="120"/>
      <c r="G140" s="119"/>
      <c r="H140" s="118"/>
      <c r="I140" s="118"/>
      <c r="J140" s="118"/>
      <c r="K140" s="104"/>
      <c r="L140" s="114"/>
      <c r="M140" s="104"/>
    </row>
    <row r="141" spans="2:13" hidden="1" x14ac:dyDescent="0.2">
      <c r="D141" s="118" t="s">
        <v>47</v>
      </c>
      <c r="E141" s="119"/>
      <c r="F141" s="120"/>
      <c r="G141" s="119"/>
      <c r="H141" s="118"/>
      <c r="I141" s="118"/>
      <c r="J141" s="118"/>
      <c r="K141" s="104"/>
      <c r="L141" s="114"/>
      <c r="M141" s="104"/>
    </row>
    <row r="142" spans="2:13" hidden="1" x14ac:dyDescent="0.2">
      <c r="D142" s="118" t="s">
        <v>55</v>
      </c>
      <c r="E142" s="119"/>
      <c r="F142" s="120"/>
      <c r="G142" s="119"/>
      <c r="H142" s="118"/>
      <c r="I142" s="118"/>
      <c r="J142" s="118"/>
      <c r="K142" s="104"/>
      <c r="L142" s="114"/>
      <c r="M142" s="104"/>
    </row>
    <row r="143" spans="2:13" hidden="1" x14ac:dyDescent="0.2">
      <c r="D143" s="118" t="s">
        <v>56</v>
      </c>
      <c r="E143" s="119"/>
      <c r="F143" s="120"/>
      <c r="G143" s="119"/>
      <c r="H143" s="118"/>
      <c r="I143" s="118"/>
      <c r="J143" s="118"/>
      <c r="K143" s="104"/>
      <c r="L143" s="114"/>
      <c r="M143" s="104"/>
    </row>
    <row r="144" spans="2:13" hidden="1" x14ac:dyDescent="0.2">
      <c r="D144" s="118" t="s">
        <v>57</v>
      </c>
      <c r="E144" s="119"/>
      <c r="F144" s="120"/>
      <c r="G144" s="119"/>
      <c r="H144" s="118"/>
      <c r="I144" s="118"/>
      <c r="J144" s="118"/>
      <c r="K144" s="104"/>
      <c r="L144" s="114"/>
      <c r="M144" s="104"/>
    </row>
    <row r="145" spans="4:13" hidden="1" x14ac:dyDescent="0.2">
      <c r="D145" s="118" t="s">
        <v>58</v>
      </c>
      <c r="E145" s="119"/>
      <c r="F145" s="120"/>
      <c r="G145" s="119"/>
      <c r="H145" s="118"/>
      <c r="I145" s="118"/>
      <c r="J145" s="118"/>
      <c r="K145" s="104"/>
      <c r="L145" s="114"/>
      <c r="M145" s="104"/>
    </row>
    <row r="146" spans="4:13" hidden="1" x14ac:dyDescent="0.2">
      <c r="D146" s="118" t="s">
        <v>59</v>
      </c>
      <c r="E146" s="119"/>
      <c r="F146" s="120"/>
      <c r="G146" s="119"/>
      <c r="H146" s="118"/>
      <c r="I146" s="118"/>
      <c r="J146" s="118"/>
      <c r="K146" s="104"/>
      <c r="L146" s="114"/>
      <c r="M146" s="104"/>
    </row>
    <row r="147" spans="4:13" hidden="1" x14ac:dyDescent="0.2">
      <c r="D147" s="118" t="s">
        <v>60</v>
      </c>
      <c r="E147" s="119"/>
      <c r="F147" s="120"/>
      <c r="G147" s="119"/>
      <c r="H147" s="118"/>
      <c r="I147" s="118"/>
      <c r="J147" s="118"/>
      <c r="K147" s="104"/>
      <c r="L147" s="114"/>
      <c r="M147" s="104"/>
    </row>
    <row r="148" spans="4:13" hidden="1" x14ac:dyDescent="0.2">
      <c r="D148" s="121"/>
      <c r="E148" s="119"/>
      <c r="F148" s="120"/>
      <c r="G148" s="119"/>
      <c r="H148" s="118"/>
      <c r="I148" s="118"/>
      <c r="J148" s="118"/>
      <c r="K148" s="104"/>
      <c r="L148" s="114"/>
      <c r="M148" s="104"/>
    </row>
    <row r="149" spans="4:13" hidden="1" x14ac:dyDescent="0.2">
      <c r="E149" s="104"/>
      <c r="F149" s="105"/>
      <c r="G149" s="104"/>
      <c r="K149" s="104"/>
      <c r="L149" s="114"/>
      <c r="M149" s="104"/>
    </row>
    <row r="150" spans="4:13" hidden="1" x14ac:dyDescent="0.2">
      <c r="E150" s="104"/>
      <c r="F150" s="105"/>
      <c r="G150" s="104"/>
      <c r="K150" s="104"/>
      <c r="L150" s="114"/>
      <c r="M150" s="104"/>
    </row>
    <row r="151" spans="4:13" hidden="1" x14ac:dyDescent="0.2">
      <c r="E151" s="104"/>
      <c r="F151" s="105"/>
      <c r="G151" s="104"/>
      <c r="I151" s="86" t="s">
        <v>61</v>
      </c>
      <c r="K151" s="104"/>
      <c r="L151" s="114"/>
      <c r="M151" s="104"/>
    </row>
    <row r="152" spans="4:13" hidden="1" x14ac:dyDescent="0.2">
      <c r="E152" s="104"/>
      <c r="F152" s="105"/>
      <c r="G152" s="104"/>
      <c r="I152" s="86" t="s">
        <v>62</v>
      </c>
      <c r="K152" s="104"/>
      <c r="L152" s="114"/>
      <c r="M152" s="104"/>
    </row>
    <row r="153" spans="4:13" hidden="1" x14ac:dyDescent="0.2">
      <c r="E153" s="104"/>
      <c r="F153" s="105"/>
      <c r="G153" s="104"/>
      <c r="K153" s="104"/>
      <c r="L153" s="114"/>
      <c r="M153" s="104"/>
    </row>
    <row r="154" spans="4:13" hidden="1" x14ac:dyDescent="0.2">
      <c r="E154" s="104"/>
      <c r="F154" s="105"/>
      <c r="G154" s="104"/>
      <c r="K154" s="104"/>
      <c r="L154" s="114"/>
      <c r="M154" s="104"/>
    </row>
    <row r="155" spans="4:13" hidden="1" x14ac:dyDescent="0.2">
      <c r="E155" s="154" t="s">
        <v>63</v>
      </c>
      <c r="F155" s="122"/>
      <c r="G155" s="104"/>
      <c r="K155" s="104"/>
      <c r="L155" s="114"/>
      <c r="M155" s="104"/>
    </row>
    <row r="156" spans="4:13" hidden="1" x14ac:dyDescent="0.2">
      <c r="E156" s="154" t="s">
        <v>64</v>
      </c>
      <c r="F156" s="122"/>
      <c r="G156" s="104"/>
      <c r="K156" s="104"/>
      <c r="L156" s="114"/>
      <c r="M156" s="104"/>
    </row>
    <row r="157" spans="4:13" hidden="1" x14ac:dyDescent="0.2">
      <c r="E157" s="155" t="s">
        <v>65</v>
      </c>
      <c r="F157" s="124"/>
      <c r="G157" s="104"/>
      <c r="K157" s="104"/>
      <c r="L157" s="114"/>
      <c r="M157" s="104"/>
    </row>
    <row r="158" spans="4:13" hidden="1" x14ac:dyDescent="0.2">
      <c r="E158" s="155" t="s">
        <v>137</v>
      </c>
      <c r="F158" s="124"/>
      <c r="G158" s="104"/>
      <c r="K158" s="104"/>
      <c r="L158" s="114"/>
      <c r="M158" s="104"/>
    </row>
    <row r="159" spans="4:13" hidden="1" x14ac:dyDescent="0.2">
      <c r="E159" s="155" t="s">
        <v>138</v>
      </c>
      <c r="F159" s="124"/>
      <c r="G159" s="104"/>
      <c r="K159" s="104"/>
      <c r="L159" s="114"/>
      <c r="M159" s="104"/>
    </row>
    <row r="160" spans="4:13" hidden="1" x14ac:dyDescent="0.2">
      <c r="E160" s="155" t="s">
        <v>37</v>
      </c>
      <c r="F160" s="124"/>
      <c r="G160" s="104"/>
      <c r="K160" s="104"/>
      <c r="L160" s="114"/>
      <c r="M160" s="104"/>
    </row>
    <row r="161" spans="5:13" hidden="1" x14ac:dyDescent="0.2">
      <c r="E161" s="155" t="s">
        <v>139</v>
      </c>
      <c r="F161" s="124"/>
      <c r="G161" s="104"/>
      <c r="K161" s="104"/>
      <c r="L161" s="114"/>
      <c r="M161" s="104"/>
    </row>
    <row r="162" spans="5:13" hidden="1" x14ac:dyDescent="0.2">
      <c r="E162" s="155" t="s">
        <v>140</v>
      </c>
      <c r="F162" s="124"/>
      <c r="G162" s="104"/>
      <c r="K162" s="104"/>
      <c r="L162" s="114"/>
      <c r="M162" s="104"/>
    </row>
    <row r="163" spans="5:13" hidden="1" x14ac:dyDescent="0.2">
      <c r="E163" s="155" t="s">
        <v>141</v>
      </c>
      <c r="F163" s="124"/>
      <c r="G163" s="104"/>
      <c r="K163" s="104"/>
      <c r="L163" s="114"/>
      <c r="M163" s="104"/>
    </row>
    <row r="164" spans="5:13" hidden="1" x14ac:dyDescent="0.2">
      <c r="E164" s="155" t="s">
        <v>142</v>
      </c>
      <c r="F164" s="124"/>
      <c r="G164" s="104"/>
      <c r="K164" s="104"/>
      <c r="L164" s="114"/>
      <c r="M164" s="104"/>
    </row>
    <row r="165" spans="5:13" ht="23.25" hidden="1" customHeight="1" x14ac:dyDescent="0.2">
      <c r="E165" s="155" t="s">
        <v>66</v>
      </c>
      <c r="F165" s="124"/>
      <c r="G165" s="104"/>
      <c r="K165" s="104"/>
      <c r="L165" s="114"/>
      <c r="M165" s="104"/>
    </row>
    <row r="166" spans="5:13" hidden="1" x14ac:dyDescent="0.2">
      <c r="E166" s="155" t="s">
        <v>67</v>
      </c>
      <c r="F166" s="124"/>
      <c r="G166" s="104"/>
      <c r="K166" s="104"/>
      <c r="L166" s="114"/>
      <c r="M166" s="104"/>
    </row>
    <row r="167" spans="5:13" hidden="1" x14ac:dyDescent="0.2">
      <c r="E167" s="155" t="s">
        <v>68</v>
      </c>
      <c r="F167" s="124"/>
      <c r="G167" s="104"/>
      <c r="K167" s="104"/>
      <c r="L167" s="114"/>
      <c r="M167" s="104"/>
    </row>
    <row r="168" spans="5:13" hidden="1" x14ac:dyDescent="0.2">
      <c r="E168" s="155" t="s">
        <v>143</v>
      </c>
      <c r="F168" s="124"/>
      <c r="G168" s="104"/>
      <c r="K168" s="104"/>
      <c r="L168" s="114"/>
      <c r="M168" s="104"/>
    </row>
    <row r="169" spans="5:13" hidden="1" x14ac:dyDescent="0.2">
      <c r="E169" s="155" t="s">
        <v>144</v>
      </c>
      <c r="F169" s="124"/>
      <c r="G169" s="104"/>
      <c r="K169" s="104"/>
      <c r="L169" s="114"/>
      <c r="M169" s="104"/>
    </row>
    <row r="170" spans="5:13" hidden="1" x14ac:dyDescent="0.2">
      <c r="E170" s="155" t="s">
        <v>69</v>
      </c>
      <c r="F170" s="124"/>
      <c r="G170" s="104"/>
      <c r="K170" s="104"/>
      <c r="L170" s="114"/>
      <c r="M170" s="104"/>
    </row>
    <row r="171" spans="5:13" hidden="1" x14ac:dyDescent="0.2">
      <c r="E171" s="155" t="s">
        <v>145</v>
      </c>
      <c r="F171" s="124"/>
      <c r="G171" s="104"/>
      <c r="K171" s="104"/>
      <c r="L171" s="114"/>
      <c r="M171" s="104"/>
    </row>
    <row r="172" spans="5:13" hidden="1" x14ac:dyDescent="0.2">
      <c r="E172" s="155" t="s">
        <v>47</v>
      </c>
      <c r="F172" s="124"/>
      <c r="G172" s="104"/>
      <c r="K172" s="104"/>
      <c r="L172" s="114"/>
      <c r="M172" s="104"/>
    </row>
    <row r="173" spans="5:13" x14ac:dyDescent="0.2">
      <c r="E173" s="123"/>
      <c r="F173" s="124"/>
      <c r="G173" s="104"/>
      <c r="K173" s="104"/>
      <c r="L173" s="114"/>
      <c r="M173" s="104"/>
    </row>
    <row r="174" spans="5:13" x14ac:dyDescent="0.2">
      <c r="E174" s="123"/>
      <c r="F174" s="124"/>
      <c r="G174" s="104"/>
      <c r="K174" s="104"/>
      <c r="L174" s="114"/>
      <c r="M174" s="104"/>
    </row>
    <row r="175" spans="5:13" x14ac:dyDescent="0.2">
      <c r="E175" s="104"/>
      <c r="F175" s="105"/>
      <c r="G175" s="104"/>
      <c r="K175" s="104"/>
      <c r="L175" s="114"/>
      <c r="M175" s="104"/>
    </row>
    <row r="176" spans="5:13" x14ac:dyDescent="0.2">
      <c r="E176" s="104"/>
      <c r="F176" s="105"/>
      <c r="G176" s="104"/>
      <c r="K176" s="104"/>
      <c r="L176" s="114"/>
      <c r="M176" s="104"/>
    </row>
    <row r="177" spans="5:13" x14ac:dyDescent="0.2">
      <c r="E177" s="104"/>
      <c r="F177" s="105"/>
      <c r="G177" s="104"/>
      <c r="K177" s="104"/>
      <c r="L177" s="114"/>
      <c r="M177" s="104"/>
    </row>
    <row r="178" spans="5:13" x14ac:dyDescent="0.2">
      <c r="E178" s="104"/>
      <c r="F178" s="105"/>
      <c r="G178" s="104"/>
      <c r="K178" s="104"/>
      <c r="L178" s="114"/>
      <c r="M178" s="104"/>
    </row>
    <row r="179" spans="5:13" x14ac:dyDescent="0.2">
      <c r="E179" s="104"/>
      <c r="F179" s="105"/>
      <c r="G179" s="104"/>
      <c r="K179" s="104"/>
      <c r="L179" s="114"/>
      <c r="M179" s="104"/>
    </row>
  </sheetData>
  <sheetProtection algorithmName="SHA-512" hashValue="hj2o/McnBoJUxfkup3wN4lttWP1DXEyh0HdBn1O8XBELNNYnmBfmpi4M0zr+90knXAB3ZQ+aHEdEp8LivLE8Kw==" saltValue="Y6+W5lb7nj7sUMpLOWP1Zg==" spinCount="100000" sheet="1" objects="1" scenarios="1"/>
  <mergeCells count="21">
    <mergeCell ref="H122:J122"/>
    <mergeCell ref="A108:B108"/>
    <mergeCell ref="L109:M109"/>
    <mergeCell ref="A110:M110"/>
    <mergeCell ref="A111:M112"/>
    <mergeCell ref="M6:M7"/>
    <mergeCell ref="A2:M2"/>
    <mergeCell ref="A3:M3"/>
    <mergeCell ref="A4:M4"/>
    <mergeCell ref="A5:B5"/>
    <mergeCell ref="A6:A7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</mergeCells>
  <dataValidations count="10">
    <dataValidation showDropDown="1" showInputMessage="1" showErrorMessage="1" sqref="G108:G109" xr:uid="{3B2A123B-0ED5-49B1-B1F6-54C83E27C1EE}"/>
    <dataValidation type="textLength" showInputMessage="1" showErrorMessage="1" errorTitle="Утга нөхөх" sqref="B10:C107" xr:uid="{CEC222E9-18E2-4BF3-A9F9-F514FDCCEF05}">
      <formula1>0</formula1>
      <formula2>100</formula2>
    </dataValidation>
    <dataValidation showInputMessage="1" showErrorMessage="1" errorTitle="Утга нөхөх" error="Утга нөхөх_x000a_" sqref="B8:C8" xr:uid="{FA26EB89-1F63-41DC-B698-34D62207F848}"/>
    <dataValidation type="textLength" allowBlank="1" showErrorMessage="1" errorTitle="Утга нөхөх" sqref="B9:C9" xr:uid="{BEAB55A1-9C44-434C-93FC-F03BF33D1D15}">
      <formula1>1</formula1>
      <formula2>100</formula2>
    </dataValidation>
    <dataValidation type="decimal" allowBlank="1" showInputMessage="1" showErrorMessage="1" error="Мянгачилсан дүнг оруулна уу." sqref="K8:K107" xr:uid="{4293C7A4-8C69-49F9-B344-2846694CB242}">
      <formula1>100</formula1>
      <formula2>100000000</formula2>
    </dataValidation>
    <dataValidation type="list" allowBlank="1" showInputMessage="1" showErrorMessage="1" error="Оруулсан утга сонгох утгаас зөрүүтэй байна!_x000a__x000a_Copy, paste хийж байгаа бол утгаа &quot;Эдийн засгийн бүх төрлийн үйл ажиллагааны салбарын ангилал&quot;-ын нэршлээр бичнэ үү." sqref="G8:G107" xr:uid="{02F74EFB-64D4-459A-B2AD-6E75BFCEE140}">
      <formula1>$E$155:$E$172</formula1>
    </dataValidation>
    <dataValidation type="list" showInputMessage="1" showErrorMessage="1" errorTitle="Утга зөв нөхөх" error="Оруулсан утга Ажил эрхлэлтийн  сонголтын утгаас зөрүүтэй байна._x000a_" sqref="D8:D107" xr:uid="{C749FD3E-CC94-40C7-9B97-12EEB50B4AC0}">
      <formula1>$D$140:$D$147</formula1>
    </dataValidation>
    <dataValidation type="date" allowBlank="1" showInputMessage="1" showErrorMessage="1" errorTitle="Огноо буруу бичсэн" error="Огноог СС/ӨӨ/ОООО гэсэн дарааллаар бичнэ үү!_x000a__x000a_Комьпютерийн огноог адилхан хэлбэрт оруулсан байх шаардлагатайг анхаарна уу." sqref="H8:J107" xr:uid="{1045FEEE-2CAD-4C79-94E1-3760F1ACCAA7}">
      <formula1>44927</formula1>
      <formula2>767011</formula2>
    </dataValidation>
    <dataValidation type="list" allowBlank="1" showInputMessage="1" showErrorMessage="1" errorTitle="Утга зөрүүтэй" error="Төгрөг, валютын аль нь болохыг сонгоно уу." sqref="L8:L107" xr:uid="{707D566C-0EC1-49B1-A9AF-809A4B913F8C}">
      <formula1>$I$151:$I$152</formula1>
    </dataValidation>
    <dataValidation type="list" allowBlank="1" showInputMessage="1" showErrorMessage="1" errorTitle="Утга зөрүүтэй" error="Ангиллын утгыг сонгож оруулна уу." sqref="M8:M107" xr:uid="{1F3D168A-2F78-40A2-808A-4B471B34B7A9}">
      <formula1>$E$124:$E$128</formula1>
    </dataValidation>
  </dataValidations>
  <hyperlinks>
    <hyperlink ref="A110:M110" r:id="rId1" display="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" xr:uid="{D4D132DA-E965-4F94-9756-5309073B43EB}"/>
  </hyperlink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9A0A9-08F4-4F16-8141-7A1E65B78FAE}">
  <dimension ref="A2:S70"/>
  <sheetViews>
    <sheetView tabSelected="1" workbookViewId="0">
      <pane xSplit="4" ySplit="10" topLeftCell="E11" activePane="bottomRight" state="frozen"/>
      <selection pane="topRight" activeCell="D1" sqref="D1"/>
      <selection pane="bottomLeft" activeCell="A11" sqref="A11"/>
      <selection pane="bottomRight" activeCell="L49" sqref="L49"/>
    </sheetView>
  </sheetViews>
  <sheetFormatPr defaultRowHeight="12.75" x14ac:dyDescent="0.2"/>
  <cols>
    <col min="1" max="1" width="4" style="86" bestFit="1" customWidth="1"/>
    <col min="2" max="2" width="39.5703125" style="86" customWidth="1"/>
    <col min="3" max="3" width="13.7109375" style="237" customWidth="1"/>
    <col min="4" max="4" width="8" style="237" bestFit="1" customWidth="1"/>
    <col min="5" max="5" width="14.140625" style="237" customWidth="1"/>
    <col min="6" max="6" width="8" style="181" bestFit="1" customWidth="1"/>
    <col min="7" max="7" width="9.140625" style="238"/>
    <col min="8" max="8" width="15.5703125" style="237" customWidth="1"/>
    <col min="9" max="9" width="8" style="181" bestFit="1" customWidth="1"/>
    <col min="10" max="10" width="20.85546875" style="181" customWidth="1"/>
    <col min="11" max="11" width="14.85546875" style="237" customWidth="1"/>
    <col min="12" max="12" width="8" style="237" bestFit="1" customWidth="1"/>
    <col min="13" max="14" width="14.85546875" style="237" customWidth="1"/>
    <col min="15" max="15" width="14.85546875" style="181" customWidth="1"/>
    <col min="16" max="16" width="11.140625" style="238" customWidth="1"/>
    <col min="17" max="17" width="12.28515625" style="238" customWidth="1"/>
    <col min="18" max="18" width="24.85546875" style="171" bestFit="1" customWidth="1"/>
    <col min="19" max="19" width="18.42578125" style="109" customWidth="1"/>
    <col min="20" max="16384" width="9.140625" style="86"/>
  </cols>
  <sheetData>
    <row r="2" spans="1:19" x14ac:dyDescent="0.2">
      <c r="B2" s="308" t="s">
        <v>98</v>
      </c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</row>
    <row r="3" spans="1:19" x14ac:dyDescent="0.2">
      <c r="B3" s="292" t="str">
        <f>+BC!B3</f>
        <v>ХУДАЛДАА ХӨГЖИЛ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</row>
    <row r="4" spans="1:19" x14ac:dyDescent="0.2">
      <c r="B4" s="293" t="str">
        <f>+BC!B4</f>
        <v>БАНК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</row>
    <row r="5" spans="1:19" x14ac:dyDescent="0.2">
      <c r="B5" s="87"/>
      <c r="C5" s="87"/>
      <c r="D5" s="87"/>
      <c r="E5" s="87"/>
      <c r="F5" s="172"/>
      <c r="G5" s="173"/>
      <c r="H5" s="87"/>
      <c r="I5" s="172"/>
      <c r="J5" s="172"/>
      <c r="K5" s="87"/>
      <c r="L5" s="87"/>
      <c r="M5" s="87"/>
      <c r="N5" s="87"/>
      <c r="O5" s="172"/>
      <c r="P5" s="173"/>
      <c r="Q5" s="173"/>
    </row>
    <row r="6" spans="1:19" ht="13.5" x14ac:dyDescent="0.2">
      <c r="B6" s="174">
        <f>+BC!B6</f>
        <v>45382</v>
      </c>
      <c r="C6" s="175"/>
      <c r="D6" s="175"/>
      <c r="E6" s="176"/>
      <c r="F6" s="177"/>
      <c r="G6" s="178"/>
      <c r="H6" s="179"/>
      <c r="I6" s="309"/>
      <c r="J6" s="309"/>
      <c r="K6" s="309"/>
      <c r="L6" s="180"/>
      <c r="M6" s="180"/>
      <c r="N6" s="180"/>
      <c r="P6" s="310">
        <f>+BC!D6</f>
        <v>0</v>
      </c>
      <c r="Q6" s="310"/>
    </row>
    <row r="7" spans="1:19" ht="25.5" customHeight="1" x14ac:dyDescent="0.2">
      <c r="A7" s="306" t="s">
        <v>24</v>
      </c>
      <c r="B7" s="306" t="s">
        <v>72</v>
      </c>
      <c r="C7" s="307" t="s">
        <v>73</v>
      </c>
      <c r="D7" s="307"/>
      <c r="E7" s="307" t="s">
        <v>87</v>
      </c>
      <c r="F7" s="307"/>
      <c r="G7" s="303" t="s">
        <v>89</v>
      </c>
      <c r="H7" s="307" t="s">
        <v>88</v>
      </c>
      <c r="I7" s="307"/>
      <c r="J7" s="307" t="s">
        <v>90</v>
      </c>
      <c r="K7" s="307" t="s">
        <v>74</v>
      </c>
      <c r="L7" s="307"/>
      <c r="M7" s="307"/>
      <c r="N7" s="307"/>
      <c r="O7" s="307"/>
      <c r="P7" s="303" t="s">
        <v>75</v>
      </c>
      <c r="Q7" s="303"/>
    </row>
    <row r="8" spans="1:19" ht="29.25" customHeight="1" x14ac:dyDescent="0.2">
      <c r="A8" s="306"/>
      <c r="B8" s="306"/>
      <c r="C8" s="184" t="s">
        <v>76</v>
      </c>
      <c r="D8" s="185" t="s">
        <v>77</v>
      </c>
      <c r="E8" s="184" t="s">
        <v>76</v>
      </c>
      <c r="F8" s="185" t="s">
        <v>77</v>
      </c>
      <c r="G8" s="303"/>
      <c r="H8" s="184" t="s">
        <v>76</v>
      </c>
      <c r="I8" s="185" t="s">
        <v>77</v>
      </c>
      <c r="J8" s="307"/>
      <c r="K8" s="184" t="s">
        <v>76</v>
      </c>
      <c r="L8" s="185" t="s">
        <v>77</v>
      </c>
      <c r="M8" s="184" t="s">
        <v>78</v>
      </c>
      <c r="N8" s="184" t="s">
        <v>79</v>
      </c>
      <c r="O8" s="185" t="s">
        <v>80</v>
      </c>
      <c r="P8" s="183" t="s">
        <v>81</v>
      </c>
      <c r="Q8" s="183" t="s">
        <v>82</v>
      </c>
    </row>
    <row r="9" spans="1:19" s="99" customFormat="1" x14ac:dyDescent="0.2">
      <c r="A9" s="186">
        <v>1</v>
      </c>
      <c r="B9" s="187" t="s">
        <v>157</v>
      </c>
      <c r="C9" s="188">
        <f>+SUM(C10:C27)</f>
        <v>315000</v>
      </c>
      <c r="D9" s="189">
        <f>+SUM(D10:D27)</f>
        <v>171</v>
      </c>
      <c r="E9" s="188">
        <f>+SUM(E10:E27)</f>
        <v>316800</v>
      </c>
      <c r="F9" s="189">
        <f>+SUM(F10:F27)</f>
        <v>495</v>
      </c>
      <c r="G9" s="190">
        <f>(E10*G10+E11*G11+E12*G12+E13*G13+E14*G14+E15*G15+E16*G16+E17*G17+E18*G18+E19*G19+E20*G20+E21*G21+E22*G22+E23*G23+E24*G24+E25*G25+E26*G26+E27*G27)/E9</f>
        <v>0.1102935606060606</v>
      </c>
      <c r="H9" s="188">
        <f t="shared" ref="H9:O9" si="0">+SUM(H10:H27)</f>
        <v>318600</v>
      </c>
      <c r="I9" s="189">
        <f t="shared" si="0"/>
        <v>819</v>
      </c>
      <c r="J9" s="188">
        <f t="shared" si="0"/>
        <v>320400</v>
      </c>
      <c r="K9" s="188">
        <f t="shared" si="0"/>
        <v>633600</v>
      </c>
      <c r="L9" s="189">
        <f t="shared" si="0"/>
        <v>1143</v>
      </c>
      <c r="M9" s="188">
        <f t="shared" si="0"/>
        <v>151500</v>
      </c>
      <c r="N9" s="188">
        <f t="shared" si="0"/>
        <v>205700</v>
      </c>
      <c r="O9" s="188">
        <f t="shared" si="0"/>
        <v>276400</v>
      </c>
      <c r="P9" s="191">
        <f>+MAX(P10:P27)</f>
        <v>0.18</v>
      </c>
      <c r="Q9" s="191" cm="1">
        <f t="array" ref="Q9">MIN(IF(Q10:Q27&gt;0,Q10:Q27))</f>
        <v>1E-3</v>
      </c>
      <c r="R9" s="171"/>
      <c r="S9" s="192"/>
    </row>
    <row r="10" spans="1:19" ht="25.5" x14ac:dyDescent="0.2">
      <c r="A10" s="244">
        <v>1.1000000000000001</v>
      </c>
      <c r="B10" s="245" t="s">
        <v>63</v>
      </c>
      <c r="C10" s="193">
        <v>9000</v>
      </c>
      <c r="D10" s="194">
        <v>1</v>
      </c>
      <c r="E10" s="193">
        <f>+C10+100</f>
        <v>9100</v>
      </c>
      <c r="F10" s="195">
        <v>19</v>
      </c>
      <c r="G10" s="196">
        <v>0.01</v>
      </c>
      <c r="H10" s="193">
        <f>+C10+200</f>
        <v>9200</v>
      </c>
      <c r="I10" s="195">
        <v>37</v>
      </c>
      <c r="J10" s="197">
        <f>+C10+300</f>
        <v>9300</v>
      </c>
      <c r="K10" s="198">
        <f t="shared" ref="K10:K27" si="1">C10+E10-H10+J10</f>
        <v>18200</v>
      </c>
      <c r="L10" s="195">
        <v>55</v>
      </c>
      <c r="M10" s="193">
        <v>3000</v>
      </c>
      <c r="N10" s="193">
        <v>5000</v>
      </c>
      <c r="O10" s="193">
        <f>+K10-N10-M10</f>
        <v>10200</v>
      </c>
      <c r="P10" s="199">
        <v>0.01</v>
      </c>
      <c r="Q10" s="199">
        <v>1E-3</v>
      </c>
      <c r="R10" s="171" t="str">
        <f>+IF(E10&gt;0,IF(AND(G10&gt;0,G10&lt;0.15,P10&gt;0,P10&lt;0.15,Q10&gt;0,Q10&lt;0.15),"","ЖДХ болон дээд, доод хүүг сараар шивнэ үү."),"")</f>
        <v/>
      </c>
      <c r="S10" s="192" t="str">
        <f>IF(SUM(M10:O10)=K10,"","Факторингийн эцсийн үлдэгдлийн дүн зөрүүтэй")</f>
        <v/>
      </c>
    </row>
    <row r="11" spans="1:19" x14ac:dyDescent="0.2">
      <c r="A11" s="244">
        <v>1.2</v>
      </c>
      <c r="B11" s="246" t="s">
        <v>64</v>
      </c>
      <c r="C11" s="200">
        <v>10000</v>
      </c>
      <c r="D11" s="201">
        <v>2</v>
      </c>
      <c r="E11" s="200">
        <f t="shared" ref="E11:E27" si="2">+C11+100</f>
        <v>10100</v>
      </c>
      <c r="F11" s="202">
        <v>20</v>
      </c>
      <c r="G11" s="203">
        <v>0.02</v>
      </c>
      <c r="H11" s="200">
        <f t="shared" ref="H11:H27" si="3">+C11+200</f>
        <v>10200</v>
      </c>
      <c r="I11" s="202">
        <v>38</v>
      </c>
      <c r="J11" s="204">
        <f t="shared" ref="J11:J27" si="4">+C11+300</f>
        <v>10300</v>
      </c>
      <c r="K11" s="205">
        <f t="shared" si="1"/>
        <v>20200</v>
      </c>
      <c r="L11" s="202">
        <v>56</v>
      </c>
      <c r="M11" s="200">
        <f>+M10+1500</f>
        <v>4500</v>
      </c>
      <c r="N11" s="200">
        <f>+N10+2000</f>
        <v>7000</v>
      </c>
      <c r="O11" s="200">
        <f t="shared" ref="O11:O27" si="5">+K11-N11-M11</f>
        <v>8700</v>
      </c>
      <c r="P11" s="206">
        <v>0.02</v>
      </c>
      <c r="Q11" s="206">
        <v>2E-3</v>
      </c>
      <c r="R11" s="171" t="str">
        <f t="shared" ref="R11:R27" si="6">+IF(E11&gt;0,IF(AND(G11&gt;0,G11&lt;0.15,P11&gt;0,P11&lt;0.15,Q11&gt;0,Q11&lt;0.15),"","ЖДХ болон дээд, доод хүүг сараар шивнэ үү."),"")</f>
        <v/>
      </c>
      <c r="S11" s="192" t="str">
        <f t="shared" ref="S11:S54" si="7">IF(SUM(M11:O11)=K11,"","Факторингийн эцсийн үлдэгдлийн дүн зөрүүтэй")</f>
        <v/>
      </c>
    </row>
    <row r="12" spans="1:19" x14ac:dyDescent="0.2">
      <c r="A12" s="244">
        <v>1.3</v>
      </c>
      <c r="B12" s="247" t="s">
        <v>65</v>
      </c>
      <c r="C12" s="200">
        <v>11000</v>
      </c>
      <c r="D12" s="207">
        <v>3</v>
      </c>
      <c r="E12" s="208">
        <f t="shared" si="2"/>
        <v>11100</v>
      </c>
      <c r="F12" s="209">
        <v>21</v>
      </c>
      <c r="G12" s="203">
        <v>0.03</v>
      </c>
      <c r="H12" s="208">
        <f t="shared" si="3"/>
        <v>11200</v>
      </c>
      <c r="I12" s="209">
        <v>39</v>
      </c>
      <c r="J12" s="210">
        <f t="shared" si="4"/>
        <v>11300</v>
      </c>
      <c r="K12" s="205">
        <f t="shared" si="1"/>
        <v>22200</v>
      </c>
      <c r="L12" s="202">
        <v>57</v>
      </c>
      <c r="M12" s="208">
        <f t="shared" ref="M12:M27" si="8">+M11+1500</f>
        <v>6000</v>
      </c>
      <c r="N12" s="208">
        <f t="shared" ref="N12:N27" si="9">+N11+2000</f>
        <v>9000</v>
      </c>
      <c r="O12" s="208">
        <f t="shared" si="5"/>
        <v>7200</v>
      </c>
      <c r="P12" s="206">
        <v>0.03</v>
      </c>
      <c r="Q12" s="206">
        <v>3.0000000000000001E-3</v>
      </c>
      <c r="R12" s="171" t="str">
        <f t="shared" si="6"/>
        <v/>
      </c>
      <c r="S12" s="192" t="str">
        <f t="shared" si="7"/>
        <v/>
      </c>
    </row>
    <row r="13" spans="1:19" x14ac:dyDescent="0.2">
      <c r="A13" s="244">
        <v>1.4</v>
      </c>
      <c r="B13" s="247" t="s">
        <v>137</v>
      </c>
      <c r="C13" s="200">
        <v>12000</v>
      </c>
      <c r="D13" s="207">
        <v>4</v>
      </c>
      <c r="E13" s="208">
        <f t="shared" si="2"/>
        <v>12100</v>
      </c>
      <c r="F13" s="209">
        <v>22</v>
      </c>
      <c r="G13" s="203">
        <v>0.04</v>
      </c>
      <c r="H13" s="208">
        <f t="shared" si="3"/>
        <v>12200</v>
      </c>
      <c r="I13" s="209">
        <v>40</v>
      </c>
      <c r="J13" s="210">
        <f t="shared" si="4"/>
        <v>12300</v>
      </c>
      <c r="K13" s="205">
        <f t="shared" si="1"/>
        <v>24200</v>
      </c>
      <c r="L13" s="202">
        <v>58</v>
      </c>
      <c r="M13" s="208">
        <f t="shared" si="8"/>
        <v>7500</v>
      </c>
      <c r="N13" s="208">
        <f t="shared" si="9"/>
        <v>11000</v>
      </c>
      <c r="O13" s="208">
        <f t="shared" si="5"/>
        <v>5700</v>
      </c>
      <c r="P13" s="206">
        <v>0.04</v>
      </c>
      <c r="Q13" s="206">
        <v>4.0000000000000001E-3</v>
      </c>
      <c r="R13" s="171" t="str">
        <f t="shared" si="6"/>
        <v/>
      </c>
      <c r="S13" s="192" t="str">
        <f t="shared" si="7"/>
        <v/>
      </c>
    </row>
    <row r="14" spans="1:19" ht="38.25" x14ac:dyDescent="0.2">
      <c r="A14" s="244">
        <v>1.5</v>
      </c>
      <c r="B14" s="247" t="s">
        <v>138</v>
      </c>
      <c r="C14" s="200">
        <v>13000</v>
      </c>
      <c r="D14" s="207">
        <v>5</v>
      </c>
      <c r="E14" s="208">
        <f t="shared" si="2"/>
        <v>13100</v>
      </c>
      <c r="F14" s="209">
        <v>23</v>
      </c>
      <c r="G14" s="203">
        <v>0.05</v>
      </c>
      <c r="H14" s="208">
        <f t="shared" si="3"/>
        <v>13200</v>
      </c>
      <c r="I14" s="209">
        <v>41</v>
      </c>
      <c r="J14" s="210">
        <f t="shared" si="4"/>
        <v>13300</v>
      </c>
      <c r="K14" s="205">
        <f t="shared" si="1"/>
        <v>26200</v>
      </c>
      <c r="L14" s="202">
        <v>59</v>
      </c>
      <c r="M14" s="208">
        <f t="shared" si="8"/>
        <v>9000</v>
      </c>
      <c r="N14" s="208">
        <f t="shared" si="9"/>
        <v>13000</v>
      </c>
      <c r="O14" s="208">
        <f t="shared" si="5"/>
        <v>4200</v>
      </c>
      <c r="P14" s="206">
        <v>0.05</v>
      </c>
      <c r="Q14" s="206">
        <v>5.0000000000000001E-3</v>
      </c>
      <c r="R14" s="171" t="str">
        <f t="shared" si="6"/>
        <v/>
      </c>
      <c r="S14" s="192" t="str">
        <f t="shared" si="7"/>
        <v/>
      </c>
    </row>
    <row r="15" spans="1:19" x14ac:dyDescent="0.2">
      <c r="A15" s="244">
        <v>1.6</v>
      </c>
      <c r="B15" s="247" t="s">
        <v>37</v>
      </c>
      <c r="C15" s="200">
        <v>14000</v>
      </c>
      <c r="D15" s="207">
        <v>6</v>
      </c>
      <c r="E15" s="208">
        <f t="shared" si="2"/>
        <v>14100</v>
      </c>
      <c r="F15" s="209">
        <v>24</v>
      </c>
      <c r="G15" s="203">
        <v>0.06</v>
      </c>
      <c r="H15" s="208">
        <f t="shared" si="3"/>
        <v>14200</v>
      </c>
      <c r="I15" s="209">
        <v>42</v>
      </c>
      <c r="J15" s="210">
        <f t="shared" si="4"/>
        <v>14300</v>
      </c>
      <c r="K15" s="205">
        <f t="shared" si="1"/>
        <v>28200</v>
      </c>
      <c r="L15" s="202">
        <v>60</v>
      </c>
      <c r="M15" s="208">
        <f t="shared" si="8"/>
        <v>10500</v>
      </c>
      <c r="N15" s="208">
        <f t="shared" si="9"/>
        <v>15000</v>
      </c>
      <c r="O15" s="208">
        <f t="shared" si="5"/>
        <v>2700</v>
      </c>
      <c r="P15" s="206">
        <v>0.06</v>
      </c>
      <c r="Q15" s="206">
        <v>6.0000000000000001E-3</v>
      </c>
      <c r="R15" s="171" t="str">
        <f t="shared" si="6"/>
        <v/>
      </c>
      <c r="S15" s="192" t="str">
        <f t="shared" si="7"/>
        <v/>
      </c>
    </row>
    <row r="16" spans="1:19" ht="25.5" x14ac:dyDescent="0.2">
      <c r="A16" s="244">
        <v>1.7</v>
      </c>
      <c r="B16" s="247" t="s">
        <v>139</v>
      </c>
      <c r="C16" s="200">
        <v>15000</v>
      </c>
      <c r="D16" s="207">
        <v>7</v>
      </c>
      <c r="E16" s="208">
        <f t="shared" si="2"/>
        <v>15100</v>
      </c>
      <c r="F16" s="209">
        <v>25</v>
      </c>
      <c r="G16" s="203">
        <v>7.0000000000000007E-2</v>
      </c>
      <c r="H16" s="208">
        <f t="shared" si="3"/>
        <v>15200</v>
      </c>
      <c r="I16" s="209">
        <v>43</v>
      </c>
      <c r="J16" s="210">
        <f t="shared" si="4"/>
        <v>15300</v>
      </c>
      <c r="K16" s="205">
        <f t="shared" si="1"/>
        <v>30200</v>
      </c>
      <c r="L16" s="202">
        <v>61</v>
      </c>
      <c r="M16" s="208">
        <f t="shared" si="8"/>
        <v>12000</v>
      </c>
      <c r="N16" s="208">
        <f t="shared" si="9"/>
        <v>17000</v>
      </c>
      <c r="O16" s="208">
        <f t="shared" si="5"/>
        <v>1200</v>
      </c>
      <c r="P16" s="206">
        <v>7.0000000000000007E-2</v>
      </c>
      <c r="Q16" s="206">
        <v>7.0000000000000001E-3</v>
      </c>
      <c r="R16" s="171" t="str">
        <f t="shared" si="6"/>
        <v/>
      </c>
      <c r="S16" s="192" t="str">
        <f t="shared" si="7"/>
        <v/>
      </c>
    </row>
    <row r="17" spans="1:19" x14ac:dyDescent="0.2">
      <c r="A17" s="244">
        <v>1.8</v>
      </c>
      <c r="B17" s="247" t="s">
        <v>140</v>
      </c>
      <c r="C17" s="200">
        <v>16000</v>
      </c>
      <c r="D17" s="207">
        <v>8</v>
      </c>
      <c r="E17" s="208">
        <f t="shared" si="2"/>
        <v>16100</v>
      </c>
      <c r="F17" s="209">
        <v>26</v>
      </c>
      <c r="G17" s="203">
        <v>0.08</v>
      </c>
      <c r="H17" s="208">
        <f t="shared" si="3"/>
        <v>16200</v>
      </c>
      <c r="I17" s="209">
        <v>44</v>
      </c>
      <c r="J17" s="210">
        <f t="shared" si="4"/>
        <v>16300</v>
      </c>
      <c r="K17" s="205">
        <f t="shared" si="1"/>
        <v>32200</v>
      </c>
      <c r="L17" s="202">
        <v>62</v>
      </c>
      <c r="M17" s="208">
        <v>1500</v>
      </c>
      <c r="N17" s="208">
        <v>1700</v>
      </c>
      <c r="O17" s="208">
        <f t="shared" si="5"/>
        <v>29000</v>
      </c>
      <c r="P17" s="206">
        <v>0.08</v>
      </c>
      <c r="Q17" s="206">
        <v>8.0000000000000002E-3</v>
      </c>
      <c r="R17" s="171" t="str">
        <f t="shared" si="6"/>
        <v/>
      </c>
      <c r="S17" s="192" t="str">
        <f t="shared" si="7"/>
        <v/>
      </c>
    </row>
    <row r="18" spans="1:19" ht="25.5" x14ac:dyDescent="0.2">
      <c r="A18" s="244">
        <v>1.9</v>
      </c>
      <c r="B18" s="247" t="s">
        <v>141</v>
      </c>
      <c r="C18" s="200">
        <v>17000</v>
      </c>
      <c r="D18" s="207">
        <v>9</v>
      </c>
      <c r="E18" s="208">
        <f t="shared" si="2"/>
        <v>17100</v>
      </c>
      <c r="F18" s="209">
        <v>27</v>
      </c>
      <c r="G18" s="203">
        <v>0.09</v>
      </c>
      <c r="H18" s="208">
        <f t="shared" si="3"/>
        <v>17200</v>
      </c>
      <c r="I18" s="209">
        <v>45</v>
      </c>
      <c r="J18" s="210">
        <f t="shared" si="4"/>
        <v>17300</v>
      </c>
      <c r="K18" s="205">
        <f t="shared" si="1"/>
        <v>34200</v>
      </c>
      <c r="L18" s="202">
        <v>63</v>
      </c>
      <c r="M18" s="208">
        <f t="shared" si="8"/>
        <v>3000</v>
      </c>
      <c r="N18" s="208">
        <f t="shared" si="9"/>
        <v>3700</v>
      </c>
      <c r="O18" s="208">
        <f t="shared" si="5"/>
        <v>27500</v>
      </c>
      <c r="P18" s="206">
        <v>0.09</v>
      </c>
      <c r="Q18" s="206">
        <v>8.9999999999999993E-3</v>
      </c>
      <c r="R18" s="171" t="str">
        <f t="shared" si="6"/>
        <v/>
      </c>
      <c r="S18" s="192" t="str">
        <f t="shared" si="7"/>
        <v/>
      </c>
    </row>
    <row r="19" spans="1:19" x14ac:dyDescent="0.2">
      <c r="A19" s="248">
        <v>1.1000000000000001</v>
      </c>
      <c r="B19" s="247" t="s">
        <v>142</v>
      </c>
      <c r="C19" s="200">
        <v>18000</v>
      </c>
      <c r="D19" s="207">
        <v>10</v>
      </c>
      <c r="E19" s="208">
        <f t="shared" si="2"/>
        <v>18100</v>
      </c>
      <c r="F19" s="209">
        <v>28</v>
      </c>
      <c r="G19" s="203">
        <v>0.1</v>
      </c>
      <c r="H19" s="208">
        <f t="shared" si="3"/>
        <v>18200</v>
      </c>
      <c r="I19" s="209">
        <v>46</v>
      </c>
      <c r="J19" s="210">
        <f t="shared" si="4"/>
        <v>18300</v>
      </c>
      <c r="K19" s="205">
        <f t="shared" si="1"/>
        <v>36200</v>
      </c>
      <c r="L19" s="202">
        <v>64</v>
      </c>
      <c r="M19" s="208">
        <f t="shared" si="8"/>
        <v>4500</v>
      </c>
      <c r="N19" s="208">
        <f t="shared" si="9"/>
        <v>5700</v>
      </c>
      <c r="O19" s="208">
        <f t="shared" si="5"/>
        <v>26000</v>
      </c>
      <c r="P19" s="206">
        <v>0.1</v>
      </c>
      <c r="Q19" s="206">
        <v>0.01</v>
      </c>
      <c r="R19" s="171" t="str">
        <f t="shared" si="6"/>
        <v/>
      </c>
      <c r="S19" s="192" t="str">
        <f t="shared" si="7"/>
        <v/>
      </c>
    </row>
    <row r="20" spans="1:19" x14ac:dyDescent="0.2">
      <c r="A20" s="248">
        <v>1.1100000000000001</v>
      </c>
      <c r="B20" s="247" t="s">
        <v>66</v>
      </c>
      <c r="C20" s="200">
        <v>19000</v>
      </c>
      <c r="D20" s="207">
        <v>11</v>
      </c>
      <c r="E20" s="208">
        <f t="shared" si="2"/>
        <v>19100</v>
      </c>
      <c r="F20" s="209">
        <v>29</v>
      </c>
      <c r="G20" s="203">
        <v>0.11</v>
      </c>
      <c r="H20" s="208">
        <f t="shared" si="3"/>
        <v>19200</v>
      </c>
      <c r="I20" s="209">
        <v>47</v>
      </c>
      <c r="J20" s="210">
        <f t="shared" si="4"/>
        <v>19300</v>
      </c>
      <c r="K20" s="205">
        <f t="shared" si="1"/>
        <v>38200</v>
      </c>
      <c r="L20" s="202">
        <v>65</v>
      </c>
      <c r="M20" s="208">
        <f t="shared" si="8"/>
        <v>6000</v>
      </c>
      <c r="N20" s="208">
        <f t="shared" si="9"/>
        <v>7700</v>
      </c>
      <c r="O20" s="208">
        <f t="shared" si="5"/>
        <v>24500</v>
      </c>
      <c r="P20" s="206">
        <v>0.11</v>
      </c>
      <c r="Q20" s="206">
        <v>1.0999999999999999E-2</v>
      </c>
      <c r="R20" s="171" t="str">
        <f t="shared" si="6"/>
        <v/>
      </c>
      <c r="S20" s="192" t="str">
        <f t="shared" si="7"/>
        <v/>
      </c>
    </row>
    <row r="21" spans="1:19" x14ac:dyDescent="0.2">
      <c r="A21" s="248">
        <v>1.1200000000000001</v>
      </c>
      <c r="B21" s="247" t="s">
        <v>67</v>
      </c>
      <c r="C21" s="200">
        <v>20000</v>
      </c>
      <c r="D21" s="207">
        <v>12</v>
      </c>
      <c r="E21" s="208">
        <f t="shared" si="2"/>
        <v>20100</v>
      </c>
      <c r="F21" s="209">
        <v>30</v>
      </c>
      <c r="G21" s="203">
        <v>0.12</v>
      </c>
      <c r="H21" s="208">
        <f t="shared" si="3"/>
        <v>20200</v>
      </c>
      <c r="I21" s="209">
        <v>48</v>
      </c>
      <c r="J21" s="210">
        <f t="shared" si="4"/>
        <v>20300</v>
      </c>
      <c r="K21" s="205">
        <f t="shared" si="1"/>
        <v>40200</v>
      </c>
      <c r="L21" s="202">
        <v>66</v>
      </c>
      <c r="M21" s="208">
        <f t="shared" si="8"/>
        <v>7500</v>
      </c>
      <c r="N21" s="208">
        <f t="shared" si="9"/>
        <v>9700</v>
      </c>
      <c r="O21" s="208">
        <f t="shared" si="5"/>
        <v>23000</v>
      </c>
      <c r="P21" s="206">
        <v>0.12</v>
      </c>
      <c r="Q21" s="206">
        <v>1.2E-2</v>
      </c>
      <c r="R21" s="171" t="str">
        <f t="shared" si="6"/>
        <v/>
      </c>
      <c r="S21" s="192" t="str">
        <f t="shared" si="7"/>
        <v/>
      </c>
    </row>
    <row r="22" spans="1:19" ht="25.5" x14ac:dyDescent="0.2">
      <c r="A22" s="248">
        <v>1.1299999999999999</v>
      </c>
      <c r="B22" s="247" t="s">
        <v>68</v>
      </c>
      <c r="C22" s="200">
        <v>21000</v>
      </c>
      <c r="D22" s="207">
        <v>13</v>
      </c>
      <c r="E22" s="208">
        <f t="shared" si="2"/>
        <v>21100</v>
      </c>
      <c r="F22" s="209">
        <v>31</v>
      </c>
      <c r="G22" s="203">
        <v>0.13</v>
      </c>
      <c r="H22" s="208">
        <f t="shared" si="3"/>
        <v>21200</v>
      </c>
      <c r="I22" s="209">
        <v>49</v>
      </c>
      <c r="J22" s="210">
        <f t="shared" si="4"/>
        <v>21300</v>
      </c>
      <c r="K22" s="205">
        <f t="shared" si="1"/>
        <v>42200</v>
      </c>
      <c r="L22" s="202">
        <v>67</v>
      </c>
      <c r="M22" s="208">
        <f t="shared" si="8"/>
        <v>9000</v>
      </c>
      <c r="N22" s="208">
        <f t="shared" si="9"/>
        <v>11700</v>
      </c>
      <c r="O22" s="208">
        <f t="shared" si="5"/>
        <v>21500</v>
      </c>
      <c r="P22" s="206">
        <v>0.13</v>
      </c>
      <c r="Q22" s="206">
        <v>1.2999999999999999E-2</v>
      </c>
      <c r="R22" s="171" t="str">
        <f t="shared" si="6"/>
        <v/>
      </c>
      <c r="S22" s="192" t="str">
        <f t="shared" si="7"/>
        <v/>
      </c>
    </row>
    <row r="23" spans="1:19" ht="25.5" x14ac:dyDescent="0.2">
      <c r="A23" s="248">
        <v>1.1399999999999999</v>
      </c>
      <c r="B23" s="247" t="s">
        <v>143</v>
      </c>
      <c r="C23" s="200">
        <v>22000</v>
      </c>
      <c r="D23" s="207">
        <v>14</v>
      </c>
      <c r="E23" s="208">
        <f t="shared" si="2"/>
        <v>22100</v>
      </c>
      <c r="F23" s="209">
        <v>32</v>
      </c>
      <c r="G23" s="203">
        <v>0.14000000000000001</v>
      </c>
      <c r="H23" s="208">
        <f t="shared" si="3"/>
        <v>22200</v>
      </c>
      <c r="I23" s="209">
        <v>50</v>
      </c>
      <c r="J23" s="210">
        <f t="shared" si="4"/>
        <v>22300</v>
      </c>
      <c r="K23" s="205">
        <f t="shared" si="1"/>
        <v>44200</v>
      </c>
      <c r="L23" s="202">
        <v>68</v>
      </c>
      <c r="M23" s="208">
        <f t="shared" si="8"/>
        <v>10500</v>
      </c>
      <c r="N23" s="208">
        <f t="shared" si="9"/>
        <v>13700</v>
      </c>
      <c r="O23" s="208">
        <f t="shared" si="5"/>
        <v>20000</v>
      </c>
      <c r="P23" s="206">
        <v>0.14000000000000001</v>
      </c>
      <c r="Q23" s="206">
        <v>1.4E-2</v>
      </c>
      <c r="R23" s="171" t="str">
        <f t="shared" si="6"/>
        <v/>
      </c>
      <c r="S23" s="192" t="str">
        <f t="shared" si="7"/>
        <v/>
      </c>
    </row>
    <row r="24" spans="1:19" ht="25.5" x14ac:dyDescent="0.2">
      <c r="A24" s="248">
        <v>1.1499999999999999</v>
      </c>
      <c r="B24" s="247" t="s">
        <v>144</v>
      </c>
      <c r="C24" s="200">
        <v>23000</v>
      </c>
      <c r="D24" s="207">
        <v>15</v>
      </c>
      <c r="E24" s="208">
        <f t="shared" si="2"/>
        <v>23100</v>
      </c>
      <c r="F24" s="209">
        <v>33</v>
      </c>
      <c r="G24" s="203">
        <v>0.15</v>
      </c>
      <c r="H24" s="208">
        <f t="shared" si="3"/>
        <v>23200</v>
      </c>
      <c r="I24" s="209">
        <v>51</v>
      </c>
      <c r="J24" s="210">
        <f t="shared" si="4"/>
        <v>23300</v>
      </c>
      <c r="K24" s="205">
        <f t="shared" si="1"/>
        <v>46200</v>
      </c>
      <c r="L24" s="202">
        <v>69</v>
      </c>
      <c r="M24" s="208">
        <f t="shared" si="8"/>
        <v>12000</v>
      </c>
      <c r="N24" s="208">
        <f t="shared" si="9"/>
        <v>15700</v>
      </c>
      <c r="O24" s="208">
        <f t="shared" si="5"/>
        <v>18500</v>
      </c>
      <c r="P24" s="206">
        <v>0.15</v>
      </c>
      <c r="Q24" s="206">
        <v>1.4999999999999999E-2</v>
      </c>
      <c r="R24" s="171" t="str">
        <f t="shared" si="6"/>
        <v>ЖДХ болон дээд, доод хүүг сараар шивнэ үү.</v>
      </c>
      <c r="S24" s="192" t="str">
        <f t="shared" si="7"/>
        <v/>
      </c>
    </row>
    <row r="25" spans="1:19" x14ac:dyDescent="0.2">
      <c r="A25" s="248">
        <v>1.1599999999999999</v>
      </c>
      <c r="B25" s="247" t="s">
        <v>69</v>
      </c>
      <c r="C25" s="200">
        <v>24000</v>
      </c>
      <c r="D25" s="207">
        <v>16</v>
      </c>
      <c r="E25" s="208">
        <f t="shared" si="2"/>
        <v>24100</v>
      </c>
      <c r="F25" s="209">
        <v>34</v>
      </c>
      <c r="G25" s="203">
        <v>0.16</v>
      </c>
      <c r="H25" s="208">
        <f t="shared" si="3"/>
        <v>24200</v>
      </c>
      <c r="I25" s="209">
        <v>52</v>
      </c>
      <c r="J25" s="210">
        <f t="shared" si="4"/>
        <v>24300</v>
      </c>
      <c r="K25" s="205">
        <f t="shared" si="1"/>
        <v>48200</v>
      </c>
      <c r="L25" s="202">
        <v>70</v>
      </c>
      <c r="M25" s="208">
        <f t="shared" si="8"/>
        <v>13500</v>
      </c>
      <c r="N25" s="208">
        <f t="shared" si="9"/>
        <v>17700</v>
      </c>
      <c r="O25" s="208">
        <f t="shared" si="5"/>
        <v>17000</v>
      </c>
      <c r="P25" s="206">
        <v>0.16</v>
      </c>
      <c r="Q25" s="206">
        <v>1.6E-2</v>
      </c>
      <c r="R25" s="171" t="str">
        <f t="shared" si="6"/>
        <v>ЖДХ болон дээд, доод хүүг сараар шивнэ үү.</v>
      </c>
      <c r="S25" s="192" t="str">
        <f t="shared" si="7"/>
        <v/>
      </c>
    </row>
    <row r="26" spans="1:19" ht="25.5" x14ac:dyDescent="0.2">
      <c r="A26" s="248">
        <v>1.17</v>
      </c>
      <c r="B26" s="247" t="s">
        <v>145</v>
      </c>
      <c r="C26" s="200">
        <v>25000</v>
      </c>
      <c r="D26" s="207">
        <v>17</v>
      </c>
      <c r="E26" s="208">
        <f t="shared" si="2"/>
        <v>25100</v>
      </c>
      <c r="F26" s="209">
        <v>35</v>
      </c>
      <c r="G26" s="203">
        <v>0.17</v>
      </c>
      <c r="H26" s="208">
        <f t="shared" si="3"/>
        <v>25200</v>
      </c>
      <c r="I26" s="209">
        <v>53</v>
      </c>
      <c r="J26" s="210">
        <f t="shared" si="4"/>
        <v>25300</v>
      </c>
      <c r="K26" s="205">
        <f t="shared" si="1"/>
        <v>50200</v>
      </c>
      <c r="L26" s="202">
        <v>71</v>
      </c>
      <c r="M26" s="208">
        <f t="shared" si="8"/>
        <v>15000</v>
      </c>
      <c r="N26" s="208">
        <f t="shared" si="9"/>
        <v>19700</v>
      </c>
      <c r="O26" s="208">
        <f t="shared" si="5"/>
        <v>15500</v>
      </c>
      <c r="P26" s="206">
        <v>0.17</v>
      </c>
      <c r="Q26" s="206">
        <v>1.7000000000000001E-2</v>
      </c>
      <c r="R26" s="171" t="str">
        <f t="shared" si="6"/>
        <v>ЖДХ болон дээд, доод хүүг сараар шивнэ үү.</v>
      </c>
      <c r="S26" s="192" t="str">
        <f t="shared" si="7"/>
        <v/>
      </c>
    </row>
    <row r="27" spans="1:19" x14ac:dyDescent="0.2">
      <c r="A27" s="248">
        <v>1.18</v>
      </c>
      <c r="B27" s="247" t="s">
        <v>47</v>
      </c>
      <c r="C27" s="200">
        <v>26000</v>
      </c>
      <c r="D27" s="207">
        <v>18</v>
      </c>
      <c r="E27" s="208">
        <f t="shared" si="2"/>
        <v>26100</v>
      </c>
      <c r="F27" s="209">
        <v>36</v>
      </c>
      <c r="G27" s="203">
        <v>0.18</v>
      </c>
      <c r="H27" s="208">
        <f t="shared" si="3"/>
        <v>26200</v>
      </c>
      <c r="I27" s="209">
        <v>54</v>
      </c>
      <c r="J27" s="210">
        <f t="shared" si="4"/>
        <v>26300</v>
      </c>
      <c r="K27" s="205">
        <f t="shared" si="1"/>
        <v>52200</v>
      </c>
      <c r="L27" s="202">
        <v>72</v>
      </c>
      <c r="M27" s="208">
        <f t="shared" si="8"/>
        <v>16500</v>
      </c>
      <c r="N27" s="208">
        <f t="shared" si="9"/>
        <v>21700</v>
      </c>
      <c r="O27" s="208">
        <f t="shared" si="5"/>
        <v>14000</v>
      </c>
      <c r="P27" s="206">
        <v>0.18</v>
      </c>
      <c r="Q27" s="206">
        <v>1.7999999999999999E-2</v>
      </c>
      <c r="R27" s="171" t="str">
        <f t="shared" si="6"/>
        <v>ЖДХ болон дээд, доод хүүг сараар шивнэ үү.</v>
      </c>
      <c r="S27" s="192" t="str">
        <f t="shared" si="7"/>
        <v/>
      </c>
    </row>
    <row r="28" spans="1:19" s="99" customFormat="1" x14ac:dyDescent="0.2">
      <c r="A28" s="186">
        <v>2</v>
      </c>
      <c r="B28" s="187" t="s">
        <v>86</v>
      </c>
      <c r="C28" s="188">
        <f>+SUM(C29:C46)</f>
        <v>315000</v>
      </c>
      <c r="D28" s="189">
        <f>+SUM(D29:D46)</f>
        <v>171</v>
      </c>
      <c r="E28" s="188">
        <f>+SUM(E29:E46)</f>
        <v>316800</v>
      </c>
      <c r="F28" s="189">
        <f>+SUM(F29:F46)</f>
        <v>495</v>
      </c>
      <c r="G28" s="190">
        <f>(E29*G29+E30*G30+E31*G31+E32*G32+E33*G33+E34*G34+E35*G35+E36*G36+E37*G37+E38*G38+E39*G39+E40*G40+E41*G41+E42*G42+E43*G43+E44*G44+E45*G45+E46*G46)/E28</f>
        <v>0.1102935606060606</v>
      </c>
      <c r="H28" s="188">
        <f t="shared" ref="H28:O28" si="10">+SUM(H29:H46)</f>
        <v>318600</v>
      </c>
      <c r="I28" s="189">
        <f t="shared" si="10"/>
        <v>819</v>
      </c>
      <c r="J28" s="188">
        <f t="shared" si="10"/>
        <v>320400</v>
      </c>
      <c r="K28" s="188">
        <f t="shared" si="10"/>
        <v>633600</v>
      </c>
      <c r="L28" s="189">
        <f t="shared" si="10"/>
        <v>1143</v>
      </c>
      <c r="M28" s="188">
        <f t="shared" si="10"/>
        <v>151500</v>
      </c>
      <c r="N28" s="188">
        <f t="shared" si="10"/>
        <v>205700</v>
      </c>
      <c r="O28" s="188">
        <f t="shared" si="10"/>
        <v>276400</v>
      </c>
      <c r="P28" s="191">
        <f>+MAX(P29:P46)</f>
        <v>0.18</v>
      </c>
      <c r="Q28" s="191" cm="1">
        <f t="array" ref="Q28">MIN(IF(Q29:Q46&gt;0,Q29:Q46))</f>
        <v>1E-3</v>
      </c>
      <c r="R28" s="171"/>
      <c r="S28" s="192"/>
    </row>
    <row r="29" spans="1:19" ht="25.5" x14ac:dyDescent="0.2">
      <c r="A29" s="244">
        <v>2.1</v>
      </c>
      <c r="B29" s="245" t="s">
        <v>63</v>
      </c>
      <c r="C29" s="193">
        <v>9000</v>
      </c>
      <c r="D29" s="194">
        <v>1</v>
      </c>
      <c r="E29" s="193">
        <f>+C29+100</f>
        <v>9100</v>
      </c>
      <c r="F29" s="195">
        <v>19</v>
      </c>
      <c r="G29" s="196">
        <v>0.01</v>
      </c>
      <c r="H29" s="193">
        <f>+C29+200</f>
        <v>9200</v>
      </c>
      <c r="I29" s="195">
        <v>37</v>
      </c>
      <c r="J29" s="197">
        <f>+C29+300</f>
        <v>9300</v>
      </c>
      <c r="K29" s="198">
        <f t="shared" ref="K29:K54" si="11">C29+E29-H29+J29</f>
        <v>18200</v>
      </c>
      <c r="L29" s="195">
        <v>55</v>
      </c>
      <c r="M29" s="193">
        <v>3000</v>
      </c>
      <c r="N29" s="193">
        <v>5000</v>
      </c>
      <c r="O29" s="193">
        <f>+K29-N29-M29</f>
        <v>10200</v>
      </c>
      <c r="P29" s="199">
        <v>0.01</v>
      </c>
      <c r="Q29" s="199">
        <v>1E-3</v>
      </c>
      <c r="R29" s="171" t="str">
        <f>+IF(E29&gt;0,IF(AND(G29&gt;0,G29&lt;0.15,P29&gt;0,P29&lt;0.15,Q29&gt;0,Q29&lt;0.15),"","ЖДХ болон дээд, доод хүүг сараар шивнэ үү."),"")</f>
        <v/>
      </c>
      <c r="S29" s="192" t="str">
        <f t="shared" si="7"/>
        <v/>
      </c>
    </row>
    <row r="30" spans="1:19" x14ac:dyDescent="0.2">
      <c r="A30" s="244">
        <v>2.2000000000000002</v>
      </c>
      <c r="B30" s="246" t="s">
        <v>64</v>
      </c>
      <c r="C30" s="200">
        <v>10000</v>
      </c>
      <c r="D30" s="201">
        <v>2</v>
      </c>
      <c r="E30" s="200">
        <f t="shared" ref="E30:E46" si="12">+C30+100</f>
        <v>10100</v>
      </c>
      <c r="F30" s="202">
        <v>20</v>
      </c>
      <c r="G30" s="203">
        <v>0.02</v>
      </c>
      <c r="H30" s="200">
        <f t="shared" ref="H30:H46" si="13">+C30+200</f>
        <v>10200</v>
      </c>
      <c r="I30" s="202">
        <v>38</v>
      </c>
      <c r="J30" s="204">
        <f t="shared" ref="J30:J46" si="14">+C30+300</f>
        <v>10300</v>
      </c>
      <c r="K30" s="205">
        <f t="shared" si="11"/>
        <v>20200</v>
      </c>
      <c r="L30" s="202">
        <v>56</v>
      </c>
      <c r="M30" s="200">
        <f>+M29+1500</f>
        <v>4500</v>
      </c>
      <c r="N30" s="200">
        <f>+N29+2000</f>
        <v>7000</v>
      </c>
      <c r="O30" s="200">
        <f t="shared" ref="O30:O46" si="15">+K30-N30-M30</f>
        <v>8700</v>
      </c>
      <c r="P30" s="206">
        <v>0.02</v>
      </c>
      <c r="Q30" s="206">
        <v>2E-3</v>
      </c>
      <c r="R30" s="171" t="str">
        <f t="shared" ref="R30:R46" si="16">+IF(E30&gt;0,IF(AND(G30&gt;0,G30&lt;0.15,P30&gt;0,P30&lt;0.15,Q30&gt;0,Q30&lt;0.15),"","ЖДХ болон дээд, доод хүүг сараар шивнэ үү."),"")</f>
        <v/>
      </c>
      <c r="S30" s="192" t="str">
        <f t="shared" si="7"/>
        <v/>
      </c>
    </row>
    <row r="31" spans="1:19" x14ac:dyDescent="0.2">
      <c r="A31" s="244">
        <v>2.2999999999999998</v>
      </c>
      <c r="B31" s="247" t="s">
        <v>65</v>
      </c>
      <c r="C31" s="200">
        <v>11000</v>
      </c>
      <c r="D31" s="207">
        <v>3</v>
      </c>
      <c r="E31" s="208">
        <f t="shared" si="12"/>
        <v>11100</v>
      </c>
      <c r="F31" s="209">
        <v>21</v>
      </c>
      <c r="G31" s="203">
        <v>0.03</v>
      </c>
      <c r="H31" s="208">
        <f t="shared" si="13"/>
        <v>11200</v>
      </c>
      <c r="I31" s="209">
        <v>39</v>
      </c>
      <c r="J31" s="210">
        <f t="shared" si="14"/>
        <v>11300</v>
      </c>
      <c r="K31" s="205">
        <f t="shared" si="11"/>
        <v>22200</v>
      </c>
      <c r="L31" s="202">
        <v>57</v>
      </c>
      <c r="M31" s="208">
        <f t="shared" ref="M31:M46" si="17">+M30+1500</f>
        <v>6000</v>
      </c>
      <c r="N31" s="208">
        <f t="shared" ref="N31:N46" si="18">+N30+2000</f>
        <v>9000</v>
      </c>
      <c r="O31" s="208">
        <f t="shared" si="15"/>
        <v>7200</v>
      </c>
      <c r="P31" s="206">
        <v>0.03</v>
      </c>
      <c r="Q31" s="206">
        <v>3.0000000000000001E-3</v>
      </c>
      <c r="R31" s="171" t="str">
        <f t="shared" si="16"/>
        <v/>
      </c>
      <c r="S31" s="192" t="str">
        <f t="shared" si="7"/>
        <v/>
      </c>
    </row>
    <row r="32" spans="1:19" x14ac:dyDescent="0.2">
      <c r="A32" s="244">
        <v>2.4</v>
      </c>
      <c r="B32" s="247" t="s">
        <v>137</v>
      </c>
      <c r="C32" s="200">
        <v>12000</v>
      </c>
      <c r="D32" s="207">
        <v>4</v>
      </c>
      <c r="E32" s="208">
        <f t="shared" si="12"/>
        <v>12100</v>
      </c>
      <c r="F32" s="209">
        <v>22</v>
      </c>
      <c r="G32" s="203">
        <v>0.04</v>
      </c>
      <c r="H32" s="208">
        <f t="shared" si="13"/>
        <v>12200</v>
      </c>
      <c r="I32" s="209">
        <v>40</v>
      </c>
      <c r="J32" s="210">
        <f t="shared" si="14"/>
        <v>12300</v>
      </c>
      <c r="K32" s="205">
        <f t="shared" si="11"/>
        <v>24200</v>
      </c>
      <c r="L32" s="202">
        <v>58</v>
      </c>
      <c r="M32" s="208">
        <f t="shared" si="17"/>
        <v>7500</v>
      </c>
      <c r="N32" s="208">
        <f t="shared" si="18"/>
        <v>11000</v>
      </c>
      <c r="O32" s="208">
        <f t="shared" si="15"/>
        <v>5700</v>
      </c>
      <c r="P32" s="206">
        <v>0.04</v>
      </c>
      <c r="Q32" s="206">
        <v>4.0000000000000001E-3</v>
      </c>
      <c r="R32" s="171" t="str">
        <f t="shared" si="16"/>
        <v/>
      </c>
      <c r="S32" s="192" t="str">
        <f t="shared" si="7"/>
        <v/>
      </c>
    </row>
    <row r="33" spans="1:19" ht="38.25" x14ac:dyDescent="0.2">
      <c r="A33" s="244">
        <v>2.5</v>
      </c>
      <c r="B33" s="247" t="s">
        <v>138</v>
      </c>
      <c r="C33" s="200">
        <v>13000</v>
      </c>
      <c r="D33" s="207">
        <v>5</v>
      </c>
      <c r="E33" s="208">
        <f t="shared" si="12"/>
        <v>13100</v>
      </c>
      <c r="F33" s="209">
        <v>23</v>
      </c>
      <c r="G33" s="203">
        <v>0.05</v>
      </c>
      <c r="H33" s="208">
        <f t="shared" si="13"/>
        <v>13200</v>
      </c>
      <c r="I33" s="209">
        <v>41</v>
      </c>
      <c r="J33" s="210">
        <f t="shared" si="14"/>
        <v>13300</v>
      </c>
      <c r="K33" s="205">
        <f t="shared" si="11"/>
        <v>26200</v>
      </c>
      <c r="L33" s="202">
        <v>59</v>
      </c>
      <c r="M33" s="208">
        <f t="shared" si="17"/>
        <v>9000</v>
      </c>
      <c r="N33" s="208">
        <f t="shared" si="18"/>
        <v>13000</v>
      </c>
      <c r="O33" s="208">
        <f t="shared" si="15"/>
        <v>4200</v>
      </c>
      <c r="P33" s="206">
        <v>0.05</v>
      </c>
      <c r="Q33" s="206">
        <v>5.0000000000000001E-3</v>
      </c>
      <c r="R33" s="171" t="str">
        <f t="shared" si="16"/>
        <v/>
      </c>
      <c r="S33" s="192" t="str">
        <f t="shared" si="7"/>
        <v/>
      </c>
    </row>
    <row r="34" spans="1:19" x14ac:dyDescent="0.2">
      <c r="A34" s="244">
        <v>2.6</v>
      </c>
      <c r="B34" s="247" t="s">
        <v>37</v>
      </c>
      <c r="C34" s="200">
        <v>14000</v>
      </c>
      <c r="D34" s="207">
        <v>6</v>
      </c>
      <c r="E34" s="208">
        <f t="shared" si="12"/>
        <v>14100</v>
      </c>
      <c r="F34" s="209">
        <v>24</v>
      </c>
      <c r="G34" s="203">
        <v>0.06</v>
      </c>
      <c r="H34" s="208">
        <f t="shared" si="13"/>
        <v>14200</v>
      </c>
      <c r="I34" s="209">
        <v>42</v>
      </c>
      <c r="J34" s="210">
        <f t="shared" si="14"/>
        <v>14300</v>
      </c>
      <c r="K34" s="205">
        <f t="shared" si="11"/>
        <v>28200</v>
      </c>
      <c r="L34" s="202">
        <v>60</v>
      </c>
      <c r="M34" s="208">
        <f t="shared" si="17"/>
        <v>10500</v>
      </c>
      <c r="N34" s="208">
        <f t="shared" si="18"/>
        <v>15000</v>
      </c>
      <c r="O34" s="208">
        <f t="shared" si="15"/>
        <v>2700</v>
      </c>
      <c r="P34" s="206">
        <v>0.06</v>
      </c>
      <c r="Q34" s="206">
        <v>6.0000000000000001E-3</v>
      </c>
      <c r="R34" s="171" t="str">
        <f t="shared" si="16"/>
        <v/>
      </c>
      <c r="S34" s="192" t="str">
        <f t="shared" si="7"/>
        <v/>
      </c>
    </row>
    <row r="35" spans="1:19" ht="25.5" x14ac:dyDescent="0.2">
      <c r="A35" s="244">
        <v>2.7</v>
      </c>
      <c r="B35" s="247" t="s">
        <v>139</v>
      </c>
      <c r="C35" s="200">
        <v>15000</v>
      </c>
      <c r="D35" s="207">
        <v>7</v>
      </c>
      <c r="E35" s="208">
        <f t="shared" si="12"/>
        <v>15100</v>
      </c>
      <c r="F35" s="209">
        <v>25</v>
      </c>
      <c r="G35" s="203">
        <v>7.0000000000000007E-2</v>
      </c>
      <c r="H35" s="208">
        <f t="shared" si="13"/>
        <v>15200</v>
      </c>
      <c r="I35" s="209">
        <v>43</v>
      </c>
      <c r="J35" s="210">
        <f t="shared" si="14"/>
        <v>15300</v>
      </c>
      <c r="K35" s="205">
        <f t="shared" si="11"/>
        <v>30200</v>
      </c>
      <c r="L35" s="202">
        <v>61</v>
      </c>
      <c r="M35" s="208">
        <f t="shared" si="17"/>
        <v>12000</v>
      </c>
      <c r="N35" s="208">
        <f t="shared" si="18"/>
        <v>17000</v>
      </c>
      <c r="O35" s="208">
        <f t="shared" si="15"/>
        <v>1200</v>
      </c>
      <c r="P35" s="206">
        <v>7.0000000000000007E-2</v>
      </c>
      <c r="Q35" s="206">
        <v>7.0000000000000001E-3</v>
      </c>
      <c r="R35" s="171" t="str">
        <f t="shared" si="16"/>
        <v/>
      </c>
      <c r="S35" s="192" t="str">
        <f t="shared" si="7"/>
        <v/>
      </c>
    </row>
    <row r="36" spans="1:19" x14ac:dyDescent="0.2">
      <c r="A36" s="244">
        <v>2.8</v>
      </c>
      <c r="B36" s="247" t="s">
        <v>140</v>
      </c>
      <c r="C36" s="200">
        <v>16000</v>
      </c>
      <c r="D36" s="207">
        <v>8</v>
      </c>
      <c r="E36" s="208">
        <f t="shared" si="12"/>
        <v>16100</v>
      </c>
      <c r="F36" s="209">
        <v>26</v>
      </c>
      <c r="G36" s="203">
        <v>0.08</v>
      </c>
      <c r="H36" s="208">
        <f t="shared" si="13"/>
        <v>16200</v>
      </c>
      <c r="I36" s="209">
        <v>44</v>
      </c>
      <c r="J36" s="210">
        <f t="shared" si="14"/>
        <v>16300</v>
      </c>
      <c r="K36" s="205">
        <f t="shared" si="11"/>
        <v>32200</v>
      </c>
      <c r="L36" s="202">
        <v>62</v>
      </c>
      <c r="M36" s="208">
        <v>1500</v>
      </c>
      <c r="N36" s="208">
        <v>1700</v>
      </c>
      <c r="O36" s="208">
        <f t="shared" si="15"/>
        <v>29000</v>
      </c>
      <c r="P36" s="206">
        <v>0.08</v>
      </c>
      <c r="Q36" s="206">
        <v>8.0000000000000002E-3</v>
      </c>
      <c r="R36" s="171" t="str">
        <f t="shared" si="16"/>
        <v/>
      </c>
      <c r="S36" s="192" t="str">
        <f t="shared" si="7"/>
        <v/>
      </c>
    </row>
    <row r="37" spans="1:19" ht="25.5" x14ac:dyDescent="0.2">
      <c r="A37" s="244">
        <v>2.9</v>
      </c>
      <c r="B37" s="247" t="s">
        <v>141</v>
      </c>
      <c r="C37" s="200">
        <v>17000</v>
      </c>
      <c r="D37" s="207">
        <v>9</v>
      </c>
      <c r="E37" s="208">
        <f t="shared" si="12"/>
        <v>17100</v>
      </c>
      <c r="F37" s="209">
        <v>27</v>
      </c>
      <c r="G37" s="203">
        <v>0.09</v>
      </c>
      <c r="H37" s="208">
        <f t="shared" si="13"/>
        <v>17200</v>
      </c>
      <c r="I37" s="209">
        <v>45</v>
      </c>
      <c r="J37" s="210">
        <f t="shared" si="14"/>
        <v>17300</v>
      </c>
      <c r="K37" s="205">
        <f t="shared" si="11"/>
        <v>34200</v>
      </c>
      <c r="L37" s="202">
        <v>63</v>
      </c>
      <c r="M37" s="208">
        <f t="shared" ref="M37:M46" si="19">+M36+1500</f>
        <v>3000</v>
      </c>
      <c r="N37" s="208">
        <f t="shared" ref="N37:N46" si="20">+N36+2000</f>
        <v>3700</v>
      </c>
      <c r="O37" s="208">
        <f t="shared" si="15"/>
        <v>27500</v>
      </c>
      <c r="P37" s="206">
        <v>0.09</v>
      </c>
      <c r="Q37" s="206">
        <v>8.9999999999999993E-3</v>
      </c>
      <c r="R37" s="171" t="str">
        <f t="shared" si="16"/>
        <v/>
      </c>
      <c r="S37" s="192" t="str">
        <f t="shared" si="7"/>
        <v/>
      </c>
    </row>
    <row r="38" spans="1:19" x14ac:dyDescent="0.2">
      <c r="A38" s="248">
        <v>2.1</v>
      </c>
      <c r="B38" s="247" t="s">
        <v>142</v>
      </c>
      <c r="C38" s="200">
        <v>18000</v>
      </c>
      <c r="D38" s="207">
        <v>10</v>
      </c>
      <c r="E38" s="208">
        <f t="shared" si="12"/>
        <v>18100</v>
      </c>
      <c r="F38" s="209">
        <v>28</v>
      </c>
      <c r="G38" s="203">
        <v>0.1</v>
      </c>
      <c r="H38" s="208">
        <f t="shared" si="13"/>
        <v>18200</v>
      </c>
      <c r="I38" s="209">
        <v>46</v>
      </c>
      <c r="J38" s="210">
        <f t="shared" si="14"/>
        <v>18300</v>
      </c>
      <c r="K38" s="205">
        <f t="shared" si="11"/>
        <v>36200</v>
      </c>
      <c r="L38" s="202">
        <v>64</v>
      </c>
      <c r="M38" s="208">
        <f t="shared" si="19"/>
        <v>4500</v>
      </c>
      <c r="N38" s="208">
        <f t="shared" si="20"/>
        <v>5700</v>
      </c>
      <c r="O38" s="208">
        <f t="shared" si="15"/>
        <v>26000</v>
      </c>
      <c r="P38" s="206">
        <v>0.1</v>
      </c>
      <c r="Q38" s="206">
        <v>0.01</v>
      </c>
      <c r="R38" s="171" t="str">
        <f t="shared" si="16"/>
        <v/>
      </c>
      <c r="S38" s="192" t="str">
        <f t="shared" si="7"/>
        <v/>
      </c>
    </row>
    <row r="39" spans="1:19" x14ac:dyDescent="0.2">
      <c r="A39" s="248">
        <v>2.11</v>
      </c>
      <c r="B39" s="247" t="s">
        <v>66</v>
      </c>
      <c r="C39" s="200">
        <v>19000</v>
      </c>
      <c r="D39" s="207">
        <v>11</v>
      </c>
      <c r="E39" s="208">
        <f t="shared" si="12"/>
        <v>19100</v>
      </c>
      <c r="F39" s="209">
        <v>29</v>
      </c>
      <c r="G39" s="203">
        <v>0.11</v>
      </c>
      <c r="H39" s="208">
        <f t="shared" si="13"/>
        <v>19200</v>
      </c>
      <c r="I39" s="209">
        <v>47</v>
      </c>
      <c r="J39" s="210">
        <f t="shared" si="14"/>
        <v>19300</v>
      </c>
      <c r="K39" s="205">
        <f t="shared" si="11"/>
        <v>38200</v>
      </c>
      <c r="L39" s="202">
        <v>65</v>
      </c>
      <c r="M39" s="208">
        <f t="shared" si="19"/>
        <v>6000</v>
      </c>
      <c r="N39" s="208">
        <f t="shared" si="20"/>
        <v>7700</v>
      </c>
      <c r="O39" s="208">
        <f t="shared" si="15"/>
        <v>24500</v>
      </c>
      <c r="P39" s="206">
        <v>0.11</v>
      </c>
      <c r="Q39" s="206">
        <v>1.0999999999999999E-2</v>
      </c>
      <c r="R39" s="171" t="str">
        <f t="shared" si="16"/>
        <v/>
      </c>
      <c r="S39" s="192" t="str">
        <f t="shared" si="7"/>
        <v/>
      </c>
    </row>
    <row r="40" spans="1:19" x14ac:dyDescent="0.2">
      <c r="A40" s="248">
        <v>2.12</v>
      </c>
      <c r="B40" s="247" t="s">
        <v>67</v>
      </c>
      <c r="C40" s="200">
        <v>20000</v>
      </c>
      <c r="D40" s="207">
        <v>12</v>
      </c>
      <c r="E40" s="208">
        <f t="shared" si="12"/>
        <v>20100</v>
      </c>
      <c r="F40" s="209">
        <v>30</v>
      </c>
      <c r="G40" s="203">
        <v>0.12</v>
      </c>
      <c r="H40" s="208">
        <f t="shared" si="13"/>
        <v>20200</v>
      </c>
      <c r="I40" s="209">
        <v>48</v>
      </c>
      <c r="J40" s="210">
        <f t="shared" si="14"/>
        <v>20300</v>
      </c>
      <c r="K40" s="205">
        <f t="shared" si="11"/>
        <v>40200</v>
      </c>
      <c r="L40" s="202">
        <v>66</v>
      </c>
      <c r="M40" s="208">
        <f t="shared" si="19"/>
        <v>7500</v>
      </c>
      <c r="N40" s="208">
        <f t="shared" si="20"/>
        <v>9700</v>
      </c>
      <c r="O40" s="208">
        <f t="shared" si="15"/>
        <v>23000</v>
      </c>
      <c r="P40" s="206">
        <v>0.12</v>
      </c>
      <c r="Q40" s="206">
        <v>1.2E-2</v>
      </c>
      <c r="R40" s="171" t="str">
        <f t="shared" si="16"/>
        <v/>
      </c>
      <c r="S40" s="192" t="str">
        <f t="shared" si="7"/>
        <v/>
      </c>
    </row>
    <row r="41" spans="1:19" ht="25.5" x14ac:dyDescent="0.2">
      <c r="A41" s="248">
        <v>2.13</v>
      </c>
      <c r="B41" s="247" t="s">
        <v>68</v>
      </c>
      <c r="C41" s="200">
        <v>21000</v>
      </c>
      <c r="D41" s="207">
        <v>13</v>
      </c>
      <c r="E41" s="208">
        <f t="shared" si="12"/>
        <v>21100</v>
      </c>
      <c r="F41" s="209">
        <v>31</v>
      </c>
      <c r="G41" s="203">
        <v>0.13</v>
      </c>
      <c r="H41" s="208">
        <f t="shared" si="13"/>
        <v>21200</v>
      </c>
      <c r="I41" s="209">
        <v>49</v>
      </c>
      <c r="J41" s="210">
        <f t="shared" si="14"/>
        <v>21300</v>
      </c>
      <c r="K41" s="205">
        <f t="shared" si="11"/>
        <v>42200</v>
      </c>
      <c r="L41" s="202">
        <v>67</v>
      </c>
      <c r="M41" s="208">
        <f t="shared" si="19"/>
        <v>9000</v>
      </c>
      <c r="N41" s="208">
        <f t="shared" si="20"/>
        <v>11700</v>
      </c>
      <c r="O41" s="208">
        <f t="shared" si="15"/>
        <v>21500</v>
      </c>
      <c r="P41" s="206">
        <v>0.13</v>
      </c>
      <c r="Q41" s="206">
        <v>1.2999999999999999E-2</v>
      </c>
      <c r="R41" s="171" t="str">
        <f t="shared" si="16"/>
        <v/>
      </c>
      <c r="S41" s="192" t="str">
        <f t="shared" si="7"/>
        <v/>
      </c>
    </row>
    <row r="42" spans="1:19" ht="25.5" x14ac:dyDescent="0.2">
      <c r="A42" s="248">
        <v>2.14</v>
      </c>
      <c r="B42" s="247" t="s">
        <v>143</v>
      </c>
      <c r="C42" s="200">
        <v>22000</v>
      </c>
      <c r="D42" s="207">
        <v>14</v>
      </c>
      <c r="E42" s="208">
        <f t="shared" si="12"/>
        <v>22100</v>
      </c>
      <c r="F42" s="209">
        <v>32</v>
      </c>
      <c r="G42" s="203">
        <v>0.14000000000000001</v>
      </c>
      <c r="H42" s="208">
        <f t="shared" si="13"/>
        <v>22200</v>
      </c>
      <c r="I42" s="209">
        <v>50</v>
      </c>
      <c r="J42" s="210">
        <f t="shared" si="14"/>
        <v>22300</v>
      </c>
      <c r="K42" s="205">
        <f t="shared" si="11"/>
        <v>44200</v>
      </c>
      <c r="L42" s="202">
        <v>68</v>
      </c>
      <c r="M42" s="208">
        <f t="shared" si="19"/>
        <v>10500</v>
      </c>
      <c r="N42" s="208">
        <f t="shared" si="20"/>
        <v>13700</v>
      </c>
      <c r="O42" s="208">
        <f t="shared" si="15"/>
        <v>20000</v>
      </c>
      <c r="P42" s="206">
        <v>0.14000000000000001</v>
      </c>
      <c r="Q42" s="206">
        <v>1.4E-2</v>
      </c>
      <c r="R42" s="171" t="str">
        <f>+IF(E42&gt;0,IF(AND(G42&gt;0,G42&lt;0.15,P42&gt;0,P42&lt;0.15,Q42&gt;0,Q42&lt;0.15),"","ЖДХ болон дээд, доод хүүг сараар шивнэ үү."),"")</f>
        <v/>
      </c>
      <c r="S42" s="192" t="str">
        <f t="shared" si="7"/>
        <v/>
      </c>
    </row>
    <row r="43" spans="1:19" ht="25.5" x14ac:dyDescent="0.2">
      <c r="A43" s="248">
        <v>2.15</v>
      </c>
      <c r="B43" s="247" t="s">
        <v>144</v>
      </c>
      <c r="C43" s="200">
        <v>23000</v>
      </c>
      <c r="D43" s="207">
        <v>15</v>
      </c>
      <c r="E43" s="208">
        <f t="shared" si="12"/>
        <v>23100</v>
      </c>
      <c r="F43" s="209">
        <v>33</v>
      </c>
      <c r="G43" s="203">
        <v>0.15</v>
      </c>
      <c r="H43" s="208">
        <f t="shared" si="13"/>
        <v>23200</v>
      </c>
      <c r="I43" s="209">
        <v>51</v>
      </c>
      <c r="J43" s="210">
        <f t="shared" si="14"/>
        <v>23300</v>
      </c>
      <c r="K43" s="205">
        <f t="shared" si="11"/>
        <v>46200</v>
      </c>
      <c r="L43" s="202">
        <v>69</v>
      </c>
      <c r="M43" s="208">
        <f t="shared" si="19"/>
        <v>12000</v>
      </c>
      <c r="N43" s="208">
        <f t="shared" si="20"/>
        <v>15700</v>
      </c>
      <c r="O43" s="208">
        <f t="shared" si="15"/>
        <v>18500</v>
      </c>
      <c r="P43" s="206">
        <v>0.15</v>
      </c>
      <c r="Q43" s="206">
        <v>1.4999999999999999E-2</v>
      </c>
      <c r="R43" s="171" t="str">
        <f t="shared" si="16"/>
        <v>ЖДХ болон дээд, доод хүүг сараар шивнэ үү.</v>
      </c>
      <c r="S43" s="192" t="str">
        <f t="shared" si="7"/>
        <v/>
      </c>
    </row>
    <row r="44" spans="1:19" x14ac:dyDescent="0.2">
      <c r="A44" s="248">
        <v>2.16</v>
      </c>
      <c r="B44" s="247" t="s">
        <v>69</v>
      </c>
      <c r="C44" s="200">
        <v>24000</v>
      </c>
      <c r="D44" s="207">
        <v>16</v>
      </c>
      <c r="E44" s="208">
        <f t="shared" si="12"/>
        <v>24100</v>
      </c>
      <c r="F44" s="209">
        <v>34</v>
      </c>
      <c r="G44" s="203">
        <v>0.16</v>
      </c>
      <c r="H44" s="208">
        <f t="shared" si="13"/>
        <v>24200</v>
      </c>
      <c r="I44" s="209">
        <v>52</v>
      </c>
      <c r="J44" s="210">
        <f t="shared" si="14"/>
        <v>24300</v>
      </c>
      <c r="K44" s="205">
        <f t="shared" si="11"/>
        <v>48200</v>
      </c>
      <c r="L44" s="202">
        <v>70</v>
      </c>
      <c r="M44" s="208">
        <f t="shared" si="19"/>
        <v>13500</v>
      </c>
      <c r="N44" s="208">
        <f t="shared" si="20"/>
        <v>17700</v>
      </c>
      <c r="O44" s="208">
        <f t="shared" si="15"/>
        <v>17000</v>
      </c>
      <c r="P44" s="206">
        <v>0.16</v>
      </c>
      <c r="Q44" s="206">
        <v>1.6E-2</v>
      </c>
      <c r="R44" s="171" t="str">
        <f t="shared" si="16"/>
        <v>ЖДХ болон дээд, доод хүүг сараар шивнэ үү.</v>
      </c>
      <c r="S44" s="192" t="str">
        <f t="shared" si="7"/>
        <v/>
      </c>
    </row>
    <row r="45" spans="1:19" ht="25.5" x14ac:dyDescent="0.2">
      <c r="A45" s="248">
        <v>2.17</v>
      </c>
      <c r="B45" s="247" t="s">
        <v>145</v>
      </c>
      <c r="C45" s="200">
        <v>25000</v>
      </c>
      <c r="D45" s="207">
        <v>17</v>
      </c>
      <c r="E45" s="208">
        <f t="shared" si="12"/>
        <v>25100</v>
      </c>
      <c r="F45" s="209">
        <v>35</v>
      </c>
      <c r="G45" s="203">
        <v>0.17</v>
      </c>
      <c r="H45" s="208">
        <f t="shared" si="13"/>
        <v>25200</v>
      </c>
      <c r="I45" s="209">
        <v>53</v>
      </c>
      <c r="J45" s="210">
        <f t="shared" si="14"/>
        <v>25300</v>
      </c>
      <c r="K45" s="205">
        <f t="shared" si="11"/>
        <v>50200</v>
      </c>
      <c r="L45" s="202">
        <v>71</v>
      </c>
      <c r="M45" s="208">
        <f t="shared" si="19"/>
        <v>15000</v>
      </c>
      <c r="N45" s="208">
        <f t="shared" si="20"/>
        <v>19700</v>
      </c>
      <c r="O45" s="208">
        <f t="shared" si="15"/>
        <v>15500</v>
      </c>
      <c r="P45" s="206">
        <v>0.17</v>
      </c>
      <c r="Q45" s="206">
        <v>1.7000000000000001E-2</v>
      </c>
      <c r="R45" s="171" t="str">
        <f t="shared" si="16"/>
        <v>ЖДХ болон дээд, доод хүүг сараар шивнэ үү.</v>
      </c>
      <c r="S45" s="192" t="str">
        <f t="shared" si="7"/>
        <v/>
      </c>
    </row>
    <row r="46" spans="1:19" x14ac:dyDescent="0.2">
      <c r="A46" s="248">
        <v>2.1800000000000002</v>
      </c>
      <c r="B46" s="247" t="s">
        <v>47</v>
      </c>
      <c r="C46" s="200">
        <v>26000</v>
      </c>
      <c r="D46" s="207">
        <v>18</v>
      </c>
      <c r="E46" s="208">
        <f t="shared" si="12"/>
        <v>26100</v>
      </c>
      <c r="F46" s="209">
        <v>36</v>
      </c>
      <c r="G46" s="203">
        <v>0.18</v>
      </c>
      <c r="H46" s="208">
        <f t="shared" si="13"/>
        <v>26200</v>
      </c>
      <c r="I46" s="209">
        <v>54</v>
      </c>
      <c r="J46" s="210">
        <f t="shared" si="14"/>
        <v>26300</v>
      </c>
      <c r="K46" s="205">
        <f t="shared" si="11"/>
        <v>52200</v>
      </c>
      <c r="L46" s="202">
        <v>72</v>
      </c>
      <c r="M46" s="208">
        <f t="shared" si="19"/>
        <v>16500</v>
      </c>
      <c r="N46" s="208">
        <f t="shared" si="20"/>
        <v>21700</v>
      </c>
      <c r="O46" s="208">
        <f t="shared" si="15"/>
        <v>14000</v>
      </c>
      <c r="P46" s="206">
        <v>0.18</v>
      </c>
      <c r="Q46" s="206">
        <v>1.7999999999999999E-2</v>
      </c>
      <c r="R46" s="171" t="str">
        <f t="shared" si="16"/>
        <v>ЖДХ болон дээд, доод хүүг сараар шивнэ үү.</v>
      </c>
      <c r="S46" s="192" t="str">
        <f t="shared" si="7"/>
        <v/>
      </c>
    </row>
    <row r="47" spans="1:19" s="99" customFormat="1" ht="15" customHeight="1" x14ac:dyDescent="0.2">
      <c r="A47" s="182">
        <v>3</v>
      </c>
      <c r="B47" s="249" t="s">
        <v>158</v>
      </c>
      <c r="C47" s="211">
        <f>SUM(C48:C54)</f>
        <v>147000</v>
      </c>
      <c r="D47" s="211">
        <f t="shared" ref="D47:F47" si="21">SUM(D48:D54)</f>
        <v>91</v>
      </c>
      <c r="E47" s="211">
        <f t="shared" si="21"/>
        <v>147700</v>
      </c>
      <c r="F47" s="211">
        <f t="shared" si="21"/>
        <v>217</v>
      </c>
      <c r="G47" s="190">
        <f>(E48*G48+E49*G49+E50*G50+E51*G51+E52*G52+E53*G53+E54*G54)/E47</f>
        <v>0.13189573459715639</v>
      </c>
      <c r="H47" s="188">
        <f>SUM(H48:H54)</f>
        <v>148400</v>
      </c>
      <c r="I47" s="212">
        <f>SUM(I48:I54)</f>
        <v>343</v>
      </c>
      <c r="J47" s="212">
        <f t="shared" ref="J47:O47" si="22">SUM(J48:J54)</f>
        <v>149100</v>
      </c>
      <c r="K47" s="212">
        <f>SUM(K48:K54)</f>
        <v>295400</v>
      </c>
      <c r="L47" s="212">
        <f t="shared" si="22"/>
        <v>469</v>
      </c>
      <c r="M47" s="212">
        <f t="shared" si="22"/>
        <v>63000</v>
      </c>
      <c r="N47" s="212">
        <f t="shared" si="22"/>
        <v>81900</v>
      </c>
      <c r="O47" s="212">
        <f t="shared" si="22"/>
        <v>150500</v>
      </c>
      <c r="P47" s="213">
        <f>MAX(P48:P54)</f>
        <v>0.16</v>
      </c>
      <c r="Q47" s="213">
        <f>MIN(Q48:Q54)</f>
        <v>0.01</v>
      </c>
      <c r="R47" s="171"/>
      <c r="S47" s="192"/>
    </row>
    <row r="48" spans="1:19" x14ac:dyDescent="0.2">
      <c r="A48" s="250">
        <v>3.1</v>
      </c>
      <c r="B48" s="251" t="s">
        <v>91</v>
      </c>
      <c r="C48" s="214">
        <v>18000</v>
      </c>
      <c r="D48" s="214">
        <v>10</v>
      </c>
      <c r="E48" s="215">
        <f t="shared" ref="E48:E54" si="23">+C48+100</f>
        <v>18100</v>
      </c>
      <c r="F48" s="216">
        <v>28</v>
      </c>
      <c r="G48" s="217">
        <v>0.1</v>
      </c>
      <c r="H48" s="215">
        <f t="shared" ref="H48:H54" si="24">+C48+200</f>
        <v>18200</v>
      </c>
      <c r="I48" s="216">
        <v>46</v>
      </c>
      <c r="J48" s="214">
        <f t="shared" ref="J48:J54" si="25">+C48+300</f>
        <v>18300</v>
      </c>
      <c r="K48" s="218">
        <f t="shared" si="11"/>
        <v>36200</v>
      </c>
      <c r="L48" s="214">
        <v>64</v>
      </c>
      <c r="M48" s="214">
        <v>4500</v>
      </c>
      <c r="N48" s="214">
        <v>5700</v>
      </c>
      <c r="O48" s="214">
        <v>26000</v>
      </c>
      <c r="P48" s="219">
        <v>0.1</v>
      </c>
      <c r="Q48" s="219">
        <v>0.01</v>
      </c>
      <c r="R48" s="171" t="str">
        <f>+IF(E48&gt;0,IF(AND(G48&gt;0,G48&lt;0.15),"","ЖДХ-г сараар шивнэ үү."),"")</f>
        <v/>
      </c>
      <c r="S48" s="192" t="str">
        <f t="shared" si="7"/>
        <v/>
      </c>
    </row>
    <row r="49" spans="1:19" x14ac:dyDescent="0.2">
      <c r="A49" s="252">
        <v>3.2</v>
      </c>
      <c r="B49" s="247" t="s">
        <v>92</v>
      </c>
      <c r="C49" s="220">
        <v>19000</v>
      </c>
      <c r="D49" s="220">
        <v>11</v>
      </c>
      <c r="E49" s="210">
        <f t="shared" si="23"/>
        <v>19100</v>
      </c>
      <c r="F49" s="221">
        <v>29</v>
      </c>
      <c r="G49" s="222">
        <v>0.11</v>
      </c>
      <c r="H49" s="210">
        <f t="shared" si="24"/>
        <v>19200</v>
      </c>
      <c r="I49" s="221">
        <v>47</v>
      </c>
      <c r="J49" s="220">
        <f t="shared" si="25"/>
        <v>19300</v>
      </c>
      <c r="K49" s="218">
        <f t="shared" si="11"/>
        <v>38200</v>
      </c>
      <c r="L49" s="220">
        <v>65</v>
      </c>
      <c r="M49" s="220">
        <v>6000</v>
      </c>
      <c r="N49" s="220">
        <v>7700</v>
      </c>
      <c r="O49" s="220">
        <v>24500</v>
      </c>
      <c r="P49" s="223">
        <v>0.11</v>
      </c>
      <c r="Q49" s="223">
        <v>1.0999999999999999E-2</v>
      </c>
      <c r="R49" s="171" t="str">
        <f t="shared" ref="R49:R54" si="26">+IF(E49&gt;0,IF(AND(G49&gt;0,G49&lt;0.15),"","ЖДХ-г сараар шивнэ үү."),"")</f>
        <v/>
      </c>
      <c r="S49" s="192" t="str">
        <f t="shared" si="7"/>
        <v/>
      </c>
    </row>
    <row r="50" spans="1:19" x14ac:dyDescent="0.2">
      <c r="A50" s="250">
        <v>3.3</v>
      </c>
      <c r="B50" s="247" t="s">
        <v>93</v>
      </c>
      <c r="C50" s="220">
        <v>20000</v>
      </c>
      <c r="D50" s="220">
        <v>12</v>
      </c>
      <c r="E50" s="210">
        <f t="shared" si="23"/>
        <v>20100</v>
      </c>
      <c r="F50" s="221">
        <v>30</v>
      </c>
      <c r="G50" s="222">
        <v>0.12</v>
      </c>
      <c r="H50" s="210">
        <f t="shared" si="24"/>
        <v>20200</v>
      </c>
      <c r="I50" s="221">
        <v>48</v>
      </c>
      <c r="J50" s="220">
        <f t="shared" si="25"/>
        <v>20300</v>
      </c>
      <c r="K50" s="218">
        <f t="shared" si="11"/>
        <v>40200</v>
      </c>
      <c r="L50" s="220">
        <v>66</v>
      </c>
      <c r="M50" s="220">
        <v>7500</v>
      </c>
      <c r="N50" s="220">
        <v>9700</v>
      </c>
      <c r="O50" s="220">
        <v>23000</v>
      </c>
      <c r="P50" s="223">
        <v>0.12</v>
      </c>
      <c r="Q50" s="223">
        <v>1.2E-2</v>
      </c>
      <c r="R50" s="171" t="str">
        <f t="shared" si="26"/>
        <v/>
      </c>
      <c r="S50" s="192" t="str">
        <f t="shared" si="7"/>
        <v/>
      </c>
    </row>
    <row r="51" spans="1:19" x14ac:dyDescent="0.2">
      <c r="A51" s="252">
        <v>3.4</v>
      </c>
      <c r="B51" s="247" t="s">
        <v>94</v>
      </c>
      <c r="C51" s="220">
        <v>21000</v>
      </c>
      <c r="D51" s="220">
        <v>13</v>
      </c>
      <c r="E51" s="210">
        <f t="shared" si="23"/>
        <v>21100</v>
      </c>
      <c r="F51" s="221">
        <v>31</v>
      </c>
      <c r="G51" s="222">
        <v>0.13</v>
      </c>
      <c r="H51" s="210">
        <f t="shared" si="24"/>
        <v>21200</v>
      </c>
      <c r="I51" s="221">
        <v>49</v>
      </c>
      <c r="J51" s="220">
        <f t="shared" si="25"/>
        <v>21300</v>
      </c>
      <c r="K51" s="218">
        <f t="shared" si="11"/>
        <v>42200</v>
      </c>
      <c r="L51" s="220">
        <v>67</v>
      </c>
      <c r="M51" s="220">
        <v>9000</v>
      </c>
      <c r="N51" s="220">
        <v>11700</v>
      </c>
      <c r="O51" s="220">
        <v>21500</v>
      </c>
      <c r="P51" s="223">
        <v>0.13</v>
      </c>
      <c r="Q51" s="223">
        <v>1.2999999999999999E-2</v>
      </c>
      <c r="R51" s="171" t="str">
        <f t="shared" si="26"/>
        <v/>
      </c>
      <c r="S51" s="192" t="str">
        <f t="shared" si="7"/>
        <v/>
      </c>
    </row>
    <row r="52" spans="1:19" x14ac:dyDescent="0.2">
      <c r="A52" s="250">
        <v>3.5</v>
      </c>
      <c r="B52" s="247" t="s">
        <v>95</v>
      </c>
      <c r="C52" s="220">
        <v>22000</v>
      </c>
      <c r="D52" s="220">
        <v>14</v>
      </c>
      <c r="E52" s="210">
        <f t="shared" si="23"/>
        <v>22100</v>
      </c>
      <c r="F52" s="221">
        <v>32</v>
      </c>
      <c r="G52" s="222">
        <v>0.14000000000000001</v>
      </c>
      <c r="H52" s="210">
        <f t="shared" si="24"/>
        <v>22200</v>
      </c>
      <c r="I52" s="221">
        <v>50</v>
      </c>
      <c r="J52" s="220">
        <f t="shared" si="25"/>
        <v>22300</v>
      </c>
      <c r="K52" s="218">
        <f t="shared" si="11"/>
        <v>44200</v>
      </c>
      <c r="L52" s="220">
        <v>68</v>
      </c>
      <c r="M52" s="220">
        <v>10500</v>
      </c>
      <c r="N52" s="220">
        <v>13700</v>
      </c>
      <c r="O52" s="220">
        <v>20000</v>
      </c>
      <c r="P52" s="223">
        <v>0.14000000000000001</v>
      </c>
      <c r="Q52" s="223">
        <v>1.4E-2</v>
      </c>
      <c r="R52" s="171" t="str">
        <f t="shared" si="26"/>
        <v/>
      </c>
      <c r="S52" s="192" t="str">
        <f t="shared" si="7"/>
        <v/>
      </c>
    </row>
    <row r="53" spans="1:19" x14ac:dyDescent="0.2">
      <c r="A53" s="252">
        <v>3.6</v>
      </c>
      <c r="B53" s="247" t="s">
        <v>96</v>
      </c>
      <c r="C53" s="220">
        <v>23000</v>
      </c>
      <c r="D53" s="220">
        <v>15</v>
      </c>
      <c r="E53" s="210">
        <f t="shared" si="23"/>
        <v>23100</v>
      </c>
      <c r="F53" s="221">
        <v>33</v>
      </c>
      <c r="G53" s="222">
        <v>0.15</v>
      </c>
      <c r="H53" s="210">
        <f t="shared" si="24"/>
        <v>23200</v>
      </c>
      <c r="I53" s="221">
        <v>51</v>
      </c>
      <c r="J53" s="220">
        <f t="shared" si="25"/>
        <v>23300</v>
      </c>
      <c r="K53" s="218">
        <f t="shared" si="11"/>
        <v>46200</v>
      </c>
      <c r="L53" s="220">
        <v>69</v>
      </c>
      <c r="M53" s="220">
        <v>12000</v>
      </c>
      <c r="N53" s="220">
        <v>15700</v>
      </c>
      <c r="O53" s="220">
        <v>18500</v>
      </c>
      <c r="P53" s="223">
        <v>0.15</v>
      </c>
      <c r="Q53" s="223">
        <v>1.4999999999999999E-2</v>
      </c>
      <c r="R53" s="171" t="str">
        <f t="shared" si="26"/>
        <v>ЖДХ-г сараар шивнэ үү.</v>
      </c>
      <c r="S53" s="192" t="str">
        <f t="shared" si="7"/>
        <v/>
      </c>
    </row>
    <row r="54" spans="1:19" x14ac:dyDescent="0.2">
      <c r="A54" s="250">
        <v>3.7</v>
      </c>
      <c r="B54" s="247" t="s">
        <v>97</v>
      </c>
      <c r="C54" s="220">
        <v>24000</v>
      </c>
      <c r="D54" s="220">
        <v>16</v>
      </c>
      <c r="E54" s="210">
        <f t="shared" si="23"/>
        <v>24100</v>
      </c>
      <c r="F54" s="221">
        <v>34</v>
      </c>
      <c r="G54" s="222">
        <v>0.16</v>
      </c>
      <c r="H54" s="210">
        <f t="shared" si="24"/>
        <v>24200</v>
      </c>
      <c r="I54" s="221">
        <v>52</v>
      </c>
      <c r="J54" s="220">
        <f t="shared" si="25"/>
        <v>24300</v>
      </c>
      <c r="K54" s="218">
        <f t="shared" si="11"/>
        <v>48200</v>
      </c>
      <c r="L54" s="220">
        <v>70</v>
      </c>
      <c r="M54" s="220">
        <v>13500</v>
      </c>
      <c r="N54" s="220">
        <v>17700</v>
      </c>
      <c r="O54" s="220">
        <v>17000</v>
      </c>
      <c r="P54" s="223">
        <v>0.16</v>
      </c>
      <c r="Q54" s="223">
        <v>1.6E-2</v>
      </c>
      <c r="R54" s="171" t="str">
        <f t="shared" si="26"/>
        <v>ЖДХ-г сараар шивнэ үү.</v>
      </c>
      <c r="S54" s="192" t="str">
        <f t="shared" si="7"/>
        <v/>
      </c>
    </row>
    <row r="55" spans="1:19" x14ac:dyDescent="0.2">
      <c r="A55" s="224"/>
      <c r="B55" s="224" t="s">
        <v>84</v>
      </c>
      <c r="C55" s="225">
        <f>+SUM(C28,C9)</f>
        <v>630000</v>
      </c>
      <c r="D55" s="226">
        <f>+SUM(D28,D9)</f>
        <v>342</v>
      </c>
      <c r="E55" s="225">
        <f>+SUM(E28,E9)</f>
        <v>633600</v>
      </c>
      <c r="F55" s="226">
        <f>+SUM(F28,F9)</f>
        <v>990</v>
      </c>
      <c r="G55" s="227">
        <f>(E9*G9+E28*G28)/E55</f>
        <v>0.1102935606060606</v>
      </c>
      <c r="H55" s="228">
        <f t="shared" ref="H55:O55" si="27">+SUM(H9,H28)</f>
        <v>637200</v>
      </c>
      <c r="I55" s="229">
        <f t="shared" si="27"/>
        <v>1638</v>
      </c>
      <c r="J55" s="228">
        <f t="shared" si="27"/>
        <v>640800</v>
      </c>
      <c r="K55" s="228">
        <f t="shared" si="27"/>
        <v>1267200</v>
      </c>
      <c r="L55" s="228">
        <f t="shared" si="27"/>
        <v>2286</v>
      </c>
      <c r="M55" s="228">
        <f t="shared" si="27"/>
        <v>303000</v>
      </c>
      <c r="N55" s="228">
        <f t="shared" si="27"/>
        <v>411400</v>
      </c>
      <c r="O55" s="228">
        <f t="shared" si="27"/>
        <v>552800</v>
      </c>
      <c r="P55" s="230">
        <f>+MAX(P28,P9)</f>
        <v>0.18</v>
      </c>
      <c r="Q55" s="230">
        <f>+MIN(Q28,Q9)</f>
        <v>1E-3</v>
      </c>
      <c r="R55" s="231"/>
      <c r="S55" s="192"/>
    </row>
    <row r="56" spans="1:19" s="232" customFormat="1" ht="34.5" customHeight="1" x14ac:dyDescent="0.2">
      <c r="B56" s="233"/>
      <c r="C56" s="234" t="str">
        <f>IF(C55=C47,"","Нийт дүн зөрүүтэй")</f>
        <v>Нийт дүн зөрүүтэй</v>
      </c>
      <c r="D56" s="234" t="str">
        <f t="shared" ref="D56:Q56" si="28">IF(D55=D47,"","Нийт дүн зөрүүтэй")</f>
        <v>Нийт дүн зөрүүтэй</v>
      </c>
      <c r="E56" s="234" t="str">
        <f t="shared" si="28"/>
        <v>Нийт дүн зөрүүтэй</v>
      </c>
      <c r="F56" s="234" t="str">
        <f t="shared" si="28"/>
        <v>Нийт дүн зөрүүтэй</v>
      </c>
      <c r="G56" s="234"/>
      <c r="H56" s="234" t="str">
        <f t="shared" si="28"/>
        <v>Нийт дүн зөрүүтэй</v>
      </c>
      <c r="I56" s="234" t="str">
        <f t="shared" si="28"/>
        <v>Нийт дүн зөрүүтэй</v>
      </c>
      <c r="J56" s="234" t="str">
        <f t="shared" si="28"/>
        <v>Нийт дүн зөрүүтэй</v>
      </c>
      <c r="K56" s="234" t="str">
        <f t="shared" si="28"/>
        <v>Нийт дүн зөрүүтэй</v>
      </c>
      <c r="L56" s="234" t="str">
        <f t="shared" si="28"/>
        <v>Нийт дүн зөрүүтэй</v>
      </c>
      <c r="M56" s="234" t="str">
        <f>IF(M55=M47,"","Нийт дүн зөрүүтэй")</f>
        <v>Нийт дүн зөрүүтэй</v>
      </c>
      <c r="N56" s="234" t="str">
        <f t="shared" si="28"/>
        <v>Нийт дүн зөрүүтэй</v>
      </c>
      <c r="O56" s="234" t="str">
        <f t="shared" si="28"/>
        <v>Нийт дүн зөрүүтэй</v>
      </c>
      <c r="P56" s="234" t="str">
        <f t="shared" si="28"/>
        <v>Нийт дүн зөрүүтэй</v>
      </c>
      <c r="Q56" s="234" t="str">
        <f t="shared" si="28"/>
        <v>Нийт дүн зөрүүтэй</v>
      </c>
      <c r="R56" s="235"/>
      <c r="S56" s="235"/>
    </row>
    <row r="57" spans="1:19" s="232" customFormat="1" ht="34.5" customHeight="1" x14ac:dyDescent="0.2">
      <c r="B57" s="233"/>
      <c r="C57" s="234"/>
      <c r="D57" s="234"/>
      <c r="E57" s="234"/>
      <c r="F57" s="234"/>
      <c r="G57" s="234"/>
      <c r="H57" s="234"/>
      <c r="I57" s="234"/>
      <c r="J57" s="234"/>
      <c r="K57" s="234" t="e">
        <f>IF(K55=BC!D8+BC!D11+'TOP100'!D14,"","BC дүнгээс зөрүүтэй")</f>
        <v>#VALUE!</v>
      </c>
      <c r="L57" s="234"/>
      <c r="M57" s="234" t="str">
        <f>IF(M55=BC!D8,"","BC дүнгээс зөрүүтэй")</f>
        <v>BC дүнгээс зөрүүтэй</v>
      </c>
      <c r="N57" s="234" t="str">
        <f>IF(N55=BC!D11,"","BC дүнгээс зөрүүтэй")</f>
        <v>BC дүнгээс зөрүүтэй</v>
      </c>
      <c r="O57" s="234" t="str">
        <f>IF(O55=BC!D14,"","BC дүнгээс зөрүүтэй")</f>
        <v>BC дүнгээс зөрүүтэй</v>
      </c>
      <c r="P57" s="234"/>
      <c r="Q57" s="234"/>
      <c r="R57" s="235"/>
      <c r="S57" s="235"/>
    </row>
    <row r="58" spans="1:19" ht="39" customHeight="1" x14ac:dyDescent="0.2">
      <c r="B58" s="304" t="s">
        <v>85</v>
      </c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</row>
    <row r="59" spans="1:19" x14ac:dyDescent="0.2">
      <c r="B59" s="304" t="s">
        <v>159</v>
      </c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</row>
    <row r="60" spans="1:19" x14ac:dyDescent="0.2">
      <c r="B60" s="305"/>
      <c r="C60" s="305"/>
      <c r="D60" s="305"/>
      <c r="E60" s="103"/>
      <c r="F60" s="103"/>
      <c r="G60" s="236"/>
      <c r="H60" s="103"/>
      <c r="I60" s="103"/>
      <c r="J60" s="103"/>
      <c r="K60" s="103"/>
      <c r="L60" s="103"/>
      <c r="M60" s="103"/>
      <c r="N60" s="103"/>
      <c r="O60" s="103"/>
      <c r="P60" s="103"/>
      <c r="Q60" s="103"/>
    </row>
    <row r="62" spans="1:19" x14ac:dyDescent="0.2">
      <c r="C62" s="256"/>
      <c r="D62" s="256"/>
      <c r="E62" s="239"/>
      <c r="F62" s="240"/>
      <c r="G62" s="241"/>
      <c r="I62" s="242"/>
      <c r="J62" s="242"/>
    </row>
    <row r="63" spans="1:19" x14ac:dyDescent="0.2">
      <c r="C63" s="110"/>
      <c r="D63" s="110"/>
      <c r="E63" s="258" t="str">
        <f>+STAT!C33</f>
        <v>ТАМГА</v>
      </c>
      <c r="F63" s="240"/>
      <c r="G63" s="241"/>
    </row>
    <row r="64" spans="1:19" x14ac:dyDescent="0.2">
      <c r="C64" s="12"/>
      <c r="D64" s="12"/>
      <c r="E64" s="12"/>
      <c r="F64" s="240"/>
      <c r="G64" s="241"/>
    </row>
    <row r="65" spans="3:14" x14ac:dyDescent="0.2">
      <c r="C65" s="110"/>
      <c r="D65" s="110"/>
      <c r="E65" s="239"/>
      <c r="F65" s="259" t="str">
        <f>+STAT!C35</f>
        <v xml:space="preserve">             ТАЙЛАНГ ҮНЭН ЗӨВ ГАРГАСАН:</v>
      </c>
      <c r="G65" s="241"/>
    </row>
    <row r="66" spans="3:14" x14ac:dyDescent="0.2">
      <c r="C66" s="110"/>
      <c r="D66" s="110"/>
      <c r="E66" s="239"/>
      <c r="F66" s="239"/>
      <c r="G66" s="239"/>
      <c r="H66" s="239"/>
      <c r="I66" s="239"/>
      <c r="J66" s="239"/>
      <c r="K66" s="239"/>
      <c r="L66" s="243"/>
      <c r="M66" s="243"/>
      <c r="N66" s="243"/>
    </row>
    <row r="67" spans="3:14" x14ac:dyDescent="0.2">
      <c r="C67" s="110"/>
      <c r="D67" s="110"/>
      <c r="E67" s="239"/>
      <c r="F67" s="240" t="str">
        <f>+STAT!D37</f>
        <v>ГҮЙЦЭТГЭХ ЗАХИРАЛ...........BOLD..........//</v>
      </c>
      <c r="G67" s="241"/>
    </row>
    <row r="68" spans="3:14" x14ac:dyDescent="0.2">
      <c r="C68" s="110"/>
      <c r="D68" s="110"/>
      <c r="E68" s="239"/>
      <c r="F68" s="239"/>
      <c r="G68" s="239"/>
      <c r="H68" s="239"/>
      <c r="I68" s="239"/>
      <c r="J68" s="239"/>
      <c r="K68" s="239"/>
      <c r="L68" s="243"/>
      <c r="M68" s="243"/>
      <c r="N68" s="243"/>
    </row>
    <row r="69" spans="3:14" x14ac:dyDescent="0.2">
      <c r="C69" s="110"/>
      <c r="D69" s="110"/>
      <c r="E69" s="239"/>
      <c r="F69" s="240" t="str">
        <f>+STAT!D39</f>
        <v>ЕРӨНХИЙ НЯГТЛАН БОДОГЧ..............BAT............//</v>
      </c>
      <c r="G69" s="241"/>
    </row>
    <row r="70" spans="3:14" x14ac:dyDescent="0.2">
      <c r="C70" s="110"/>
      <c r="D70" s="110"/>
      <c r="E70" s="239"/>
      <c r="F70" s="239"/>
      <c r="G70" s="239"/>
      <c r="H70" s="239"/>
      <c r="I70" s="239"/>
      <c r="J70" s="239"/>
      <c r="K70" s="239"/>
      <c r="L70" s="243"/>
      <c r="M70" s="243"/>
      <c r="N70" s="243"/>
    </row>
  </sheetData>
  <sheetProtection algorithmName="SHA-512" hashValue="TDVbo8kuK8/s2BDNOsEp4TmjjfNW/+EtVealS+s/oaj7uei9J8rSOzSAvmdo1HaRjE+deeDGwbYBAioll3DB9g==" saltValue="BykaFAMHEir4KKg02GzsNg==" spinCount="100000" sheet="1" objects="1" scenarios="1"/>
  <mergeCells count="17">
    <mergeCell ref="B2:Q2"/>
    <mergeCell ref="B3:Q3"/>
    <mergeCell ref="B4:Q4"/>
    <mergeCell ref="I6:K6"/>
    <mergeCell ref="P6:Q6"/>
    <mergeCell ref="P7:Q7"/>
    <mergeCell ref="B59:Q59"/>
    <mergeCell ref="B60:D60"/>
    <mergeCell ref="A7:A8"/>
    <mergeCell ref="B58:Q58"/>
    <mergeCell ref="B7:B8"/>
    <mergeCell ref="C7:D7"/>
    <mergeCell ref="E7:F7"/>
    <mergeCell ref="G7:G8"/>
    <mergeCell ref="H7:I7"/>
    <mergeCell ref="J7:J8"/>
    <mergeCell ref="K7:O7"/>
  </mergeCells>
  <dataValidations count="1">
    <dataValidation allowBlank="1" sqref="C10:Q27 E48:I54 K48:K54 C29:Q47" xr:uid="{5091A208-26B2-4033-832B-47453BB1A77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</vt:lpstr>
      <vt:lpstr>BC</vt:lpstr>
      <vt:lpstr>GEN</vt:lpstr>
      <vt:lpstr>TOP100</vt:lpstr>
      <vt:lpstr>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</dc:creator>
  <cp:lastModifiedBy>Tungalag Battsengel</cp:lastModifiedBy>
  <dcterms:created xsi:type="dcterms:W3CDTF">2023-03-30T08:03:00Z</dcterms:created>
  <dcterms:modified xsi:type="dcterms:W3CDTF">2025-06-09T02:38:56Z</dcterms:modified>
</cp:coreProperties>
</file>