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C:\Users\Tungalag\OneDrive - Financial Regulatory Commission of Mongolia\Desktop\"/>
    </mc:Choice>
  </mc:AlternateContent>
  <xr:revisionPtr revIDLastSave="28" documentId="13_ncr:1_{F576139B-69E4-4477-9CAA-FFDDFBC71ACC}" xr6:coauthVersionLast="36" xr6:coauthVersionMax="47" xr10:uidLastSave="{36F37AAA-0326-4561-8E1D-05314615EBAB}"/>
  <workbookProtection workbookAlgorithmName="SHA-512" workbookHashValue="fvS/qJRAXHkt1E8lMVvB+0Hz1ER+IU/ArLEiY1kshDcTDzS6fW20YJs24oFe5KDzw7AylI+zjGMQTuczCgi9MQ==" workbookSaltValue="NM4ITFpRNY7EIDB98JDlxw==" workbookSpinCount="100000" lockStructure="1"/>
  <bookViews>
    <workbookView xWindow="0" yWindow="0" windowWidth="28800" windowHeight="12225"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I95" i="32" l="1"/>
  <c r="I96" i="32"/>
  <c r="E37" i="8" l="1"/>
  <c r="E29" i="8"/>
  <c r="E22" i="8"/>
  <c r="E8" i="8"/>
  <c r="I15" i="34"/>
  <c r="C15" i="34"/>
  <c r="D43" i="5" l="1"/>
  <c r="I9" i="2"/>
  <c r="K35" i="23"/>
  <c r="J35" i="23"/>
  <c r="I16" i="34"/>
  <c r="H16" i="34"/>
  <c r="G16" i="34"/>
  <c r="F16" i="34"/>
  <c r="E16" i="34"/>
  <c r="D16" i="34"/>
  <c r="C16" i="34"/>
  <c r="D15" i="34"/>
  <c r="H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D28" i="20"/>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D81" i="2"/>
  <c r="C9" i="8"/>
  <c r="L71" i="13"/>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G22" i="8" s="1"/>
  <c r="L23" i="22"/>
  <c r="L9" i="22"/>
  <c r="G37" i="8"/>
  <c r="C22" i="8"/>
  <c r="G36" i="8"/>
  <c r="E37" i="5"/>
  <c r="E33" i="8"/>
  <c r="E32" i="8" s="1"/>
  <c r="G29" i="8" s="1"/>
  <c r="C15" i="8"/>
  <c r="E19" i="8"/>
  <c r="E18" i="8" s="1"/>
  <c r="E15" i="8" s="1"/>
  <c r="E31" i="5"/>
  <c r="K8" i="23"/>
  <c r="K16" i="23" s="1"/>
  <c r="K36" i="23" s="1"/>
  <c r="K37" i="23" s="1"/>
  <c r="K38" i="23" s="1"/>
  <c r="C36" i="23"/>
  <c r="E9" i="8"/>
  <c r="E42" i="5"/>
  <c r="M28" i="22" l="1"/>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<sst xmlns="http://schemas.openxmlformats.org/spreadsheetml/2006/main" count="3929" uniqueCount="1498">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</sst>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1492</v>
      </c>
    </row>
    <row r="16" spans="1:1" ht="27">
      <c r="A16" s="963" t="s">
        <v>1493</v>
      </c>
    </row>
    <row r="17" spans="1:1" ht="25.5">
      <c r="A17" s="671" t="s">
        <v>1491</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94" t="s">
        <v>136</v>
      </c>
      <c r="B2" s="994"/>
      <c r="C2" s="994"/>
      <c r="D2" s="994"/>
      <c r="E2" s="994"/>
      <c r="F2" s="994"/>
    </row>
    <row r="3" spans="1:6">
      <c r="A3" s="1002" t="str">
        <f>+GB!A3</f>
        <v xml:space="preserve">БАНК БУС САНХҮҮГИЙН БАЙГУУЛЛАГЫН НЭР </v>
      </c>
      <c r="B3" s="1002"/>
      <c r="C3" s="1002"/>
      <c r="D3" s="1002"/>
      <c r="E3" s="1002"/>
      <c r="F3" s="1002"/>
    </row>
    <row r="4" spans="1:6">
      <c r="A4" s="994" t="str">
        <f>+GB!A4</f>
        <v>БАНК БУС САНХҮҮГИЙН БАЙГУУЛЛАГА</v>
      </c>
      <c r="B4" s="994"/>
      <c r="C4" s="994"/>
      <c r="D4" s="994"/>
      <c r="E4" s="994"/>
      <c r="F4" s="994"/>
    </row>
    <row r="5" spans="1:6">
      <c r="A5" s="495"/>
      <c r="B5" s="495"/>
      <c r="C5" s="495"/>
      <c r="D5" s="2"/>
      <c r="E5" s="2"/>
      <c r="F5" s="2"/>
    </row>
    <row r="6" spans="1:6">
      <c r="B6" s="586">
        <f>+GB!A6</f>
        <v>45473</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1496</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94" t="s">
        <v>1427</v>
      </c>
      <c r="B2" s="994"/>
      <c r="C2" s="994"/>
      <c r="D2" s="994"/>
      <c r="E2" s="994"/>
      <c r="F2" s="994"/>
      <c r="G2" s="994"/>
      <c r="H2" s="994"/>
      <c r="I2" s="994"/>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45473</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94" t="s">
        <v>1412</v>
      </c>
      <c r="B2" s="994"/>
      <c r="C2" s="994"/>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45473</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47" t="s">
        <v>151</v>
      </c>
      <c r="B2" s="1047"/>
      <c r="C2" s="1047"/>
      <c r="D2" s="1047"/>
      <c r="E2" s="1047"/>
    </row>
    <row r="3" spans="1:5">
      <c r="A3" s="1048" t="str">
        <f>+GB!A3</f>
        <v xml:space="preserve">БАНК БУС САНХҮҮГИЙН БАЙГУУЛЛАГЫН НЭР </v>
      </c>
      <c r="B3" s="1048"/>
      <c r="C3" s="1048"/>
      <c r="D3" s="1048"/>
      <c r="E3" s="1048"/>
    </row>
    <row r="4" spans="1:5" ht="15" customHeight="1">
      <c r="A4" s="1049" t="str">
        <f>+GB!A4</f>
        <v>БАНК БУС САНХҮҮГИЙН БАЙГУУЛЛАГА</v>
      </c>
      <c r="B4" s="1049"/>
      <c r="C4" s="1049"/>
      <c r="D4" s="1049"/>
      <c r="E4" s="1049"/>
    </row>
    <row r="5" spans="1:5" ht="15" customHeight="1">
      <c r="A5" s="37"/>
      <c r="B5" s="37"/>
      <c r="C5" s="37"/>
      <c r="D5" s="37"/>
      <c r="E5" s="37"/>
    </row>
    <row r="6" spans="1:5" ht="13.5" thickBot="1">
      <c r="A6" s="1050">
        <f>+GB!A6</f>
        <v>45473</v>
      </c>
      <c r="B6" s="1051"/>
      <c r="C6" s="38"/>
      <c r="D6" s="97"/>
      <c r="E6" s="98" t="s">
        <v>41</v>
      </c>
    </row>
    <row r="7" spans="1:5" ht="13.5" thickTop="1">
      <c r="A7" s="39"/>
      <c r="B7" s="1052" t="s">
        <v>137</v>
      </c>
      <c r="C7" s="1053"/>
      <c r="D7" s="1054" t="s">
        <v>152</v>
      </c>
      <c r="E7" s="1055"/>
    </row>
    <row r="8" spans="1:5">
      <c r="A8" s="40" t="s">
        <v>153</v>
      </c>
      <c r="B8" s="1056" t="s">
        <v>154</v>
      </c>
      <c r="C8" s="1057"/>
      <c r="D8" s="1058">
        <f>+SUM(D9,D19)-D17</f>
        <v>0</v>
      </c>
      <c r="E8" s="1059"/>
    </row>
    <row r="9" spans="1:5">
      <c r="A9" s="1060" t="s">
        <v>155</v>
      </c>
      <c r="B9" s="1061"/>
      <c r="C9" s="1061"/>
      <c r="D9" s="1062">
        <f>+SUM(D10,-D11,D12:E16)</f>
        <v>0</v>
      </c>
      <c r="E9" s="1063"/>
    </row>
    <row r="10" spans="1:5">
      <c r="A10" s="41">
        <v>1</v>
      </c>
      <c r="B10" s="1064" t="s">
        <v>156</v>
      </c>
      <c r="C10" s="1065"/>
      <c r="D10" s="1066">
        <f>+GB!H419+GB!H420</f>
        <v>0</v>
      </c>
      <c r="E10" s="1067"/>
    </row>
    <row r="11" spans="1:5">
      <c r="A11" s="42">
        <v>2</v>
      </c>
      <c r="B11" s="1068" t="s">
        <v>60</v>
      </c>
      <c r="C11" s="1069"/>
      <c r="D11" s="1070">
        <f>+GB!H428</f>
        <v>0</v>
      </c>
      <c r="E11" s="1071"/>
    </row>
    <row r="12" spans="1:5">
      <c r="A12" s="43">
        <v>3</v>
      </c>
      <c r="B12" s="1072" t="s">
        <v>157</v>
      </c>
      <c r="C12" s="1073"/>
      <c r="D12" s="1070">
        <f>+GB!H425</f>
        <v>0</v>
      </c>
      <c r="E12" s="1074"/>
    </row>
    <row r="13" spans="1:5" hidden="1">
      <c r="A13" s="43">
        <v>4</v>
      </c>
      <c r="B13" s="1075" t="s">
        <v>63</v>
      </c>
      <c r="C13" s="1076"/>
      <c r="D13" s="1077"/>
      <c r="E13" s="1078"/>
    </row>
    <row r="14" spans="1:5">
      <c r="A14" s="43">
        <v>5</v>
      </c>
      <c r="B14" s="1072" t="s">
        <v>158</v>
      </c>
      <c r="C14" s="1079"/>
      <c r="D14" s="1070">
        <f>+GB!H434</f>
        <v>0</v>
      </c>
      <c r="E14" s="1074"/>
    </row>
    <row r="15" spans="1:5">
      <c r="A15" s="43">
        <v>6</v>
      </c>
      <c r="B15" s="1080" t="s">
        <v>133</v>
      </c>
      <c r="C15" s="1081"/>
      <c r="D15" s="1070">
        <f>+IS!D208</f>
        <v>0</v>
      </c>
      <c r="E15" s="1074"/>
    </row>
    <row r="16" spans="1:5">
      <c r="A16" s="44">
        <v>7</v>
      </c>
      <c r="B16" s="1082" t="s">
        <v>134</v>
      </c>
      <c r="C16" s="1083"/>
      <c r="D16" s="1084">
        <f>+GB!H432</f>
        <v>0</v>
      </c>
      <c r="E16" s="1085"/>
    </row>
    <row r="17" spans="1:6">
      <c r="A17" s="43">
        <v>8</v>
      </c>
      <c r="B17" s="1086" t="s">
        <v>159</v>
      </c>
      <c r="C17" s="1087"/>
      <c r="D17" s="1088"/>
      <c r="E17" s="1089"/>
    </row>
    <row r="18" spans="1:6" ht="15" customHeight="1">
      <c r="A18" s="1090" t="s">
        <v>160</v>
      </c>
      <c r="B18" s="1091"/>
      <c r="C18" s="1092"/>
      <c r="D18" s="1093">
        <f>+SUM(D9+D17)</f>
        <v>0</v>
      </c>
      <c r="E18" s="1094"/>
    </row>
    <row r="19" spans="1:6">
      <c r="A19" s="1095" t="s">
        <v>161</v>
      </c>
      <c r="B19" s="1096"/>
      <c r="C19" s="1097"/>
      <c r="D19" s="1098">
        <f>+SUM(D20:E23)</f>
        <v>0</v>
      </c>
      <c r="E19" s="1099"/>
    </row>
    <row r="20" spans="1:6">
      <c r="A20" s="42">
        <v>9</v>
      </c>
      <c r="B20" s="1064" t="s">
        <v>59</v>
      </c>
      <c r="C20" s="1100"/>
      <c r="D20" s="1101">
        <f>+GB!H418+GB!H424-GB!H427</f>
        <v>0</v>
      </c>
      <c r="E20" s="1102"/>
    </row>
    <row r="21" spans="1:6">
      <c r="A21" s="42">
        <v>10</v>
      </c>
      <c r="B21" s="1068" t="s">
        <v>62</v>
      </c>
      <c r="C21" s="1103"/>
      <c r="D21" s="1101">
        <f>+GB!H429</f>
        <v>0</v>
      </c>
      <c r="E21" s="1102"/>
    </row>
    <row r="22" spans="1:6">
      <c r="A22" s="42">
        <v>11</v>
      </c>
      <c r="B22" s="1072" t="s">
        <v>65</v>
      </c>
      <c r="C22" s="1069"/>
      <c r="D22" s="1101">
        <f>GB!H422+GB!H433-GB!H434</f>
        <v>0</v>
      </c>
      <c r="E22" s="1102"/>
    </row>
    <row r="23" spans="1:6">
      <c r="A23" s="46">
        <v>12</v>
      </c>
      <c r="B23" s="1107" t="s">
        <v>162</v>
      </c>
      <c r="C23" s="1108"/>
      <c r="D23" s="1101">
        <f>+GB!H421</f>
        <v>0</v>
      </c>
      <c r="E23" s="1102"/>
    </row>
    <row r="24" spans="1:6" ht="15" customHeight="1">
      <c r="A24" s="1109" t="s">
        <v>163</v>
      </c>
      <c r="B24" s="1111" t="s">
        <v>164</v>
      </c>
      <c r="C24" s="1113" t="s">
        <v>165</v>
      </c>
      <c r="D24" s="1115" t="s">
        <v>166</v>
      </c>
      <c r="E24" s="99">
        <f>+SUM(E26,E44,D17,E46,E47)</f>
        <v>0</v>
      </c>
    </row>
    <row r="25" spans="1:6" ht="25.5">
      <c r="A25" s="1110"/>
      <c r="B25" s="1112"/>
      <c r="C25" s="1114"/>
      <c r="D25" s="1116"/>
      <c r="E25" s="100" t="s">
        <v>167</v>
      </c>
    </row>
    <row r="26" spans="1:6" ht="13.5" customHeight="1">
      <c r="A26" s="1117" t="s">
        <v>168</v>
      </c>
      <c r="B26" s="1118"/>
      <c r="C26" s="1119"/>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20" t="s">
        <v>183</v>
      </c>
      <c r="B44" s="1121"/>
      <c r="C44" s="1121"/>
      <c r="D44" s="1122"/>
      <c r="E44" s="112">
        <f>+E45</f>
        <v>0</v>
      </c>
    </row>
    <row r="45" spans="1:6">
      <c r="A45" s="51">
        <v>18</v>
      </c>
      <c r="B45" s="52" t="s">
        <v>184</v>
      </c>
      <c r="C45" s="53">
        <v>1</v>
      </c>
      <c r="D45" s="113">
        <f>+GB!D1674</f>
        <v>0</v>
      </c>
      <c r="E45" s="114">
        <f>+C45*D45</f>
        <v>0</v>
      </c>
    </row>
    <row r="46" spans="1:6">
      <c r="A46" s="54" t="s">
        <v>149</v>
      </c>
      <c r="B46" s="1123" t="s">
        <v>185</v>
      </c>
      <c r="C46" s="1124"/>
      <c r="D46" s="1125"/>
      <c r="E46" s="115">
        <f>ABS(Forex!M26)</f>
        <v>0</v>
      </c>
    </row>
    <row r="47" spans="1:6">
      <c r="A47" s="55" t="s">
        <v>150</v>
      </c>
      <c r="B47" s="1126" t="s">
        <v>186</v>
      </c>
      <c r="C47" s="1127"/>
      <c r="D47" s="1128"/>
      <c r="E47" s="116">
        <f>Statistic!C52*0.15/0.2</f>
        <v>0</v>
      </c>
      <c r="F47" s="9"/>
    </row>
    <row r="48" spans="1:6">
      <c r="A48" s="56" t="s">
        <v>187</v>
      </c>
      <c r="B48" s="1129" t="s">
        <v>188</v>
      </c>
      <c r="C48" s="1130"/>
      <c r="D48" s="1131"/>
      <c r="E48" s="117" t="s">
        <v>189</v>
      </c>
    </row>
    <row r="49" spans="1:5">
      <c r="A49" s="57">
        <v>1</v>
      </c>
      <c r="B49" s="1104" t="s">
        <v>190</v>
      </c>
      <c r="C49" s="1105"/>
      <c r="D49" s="1106"/>
      <c r="E49" s="118" t="e">
        <f>+D9/E24*100%</f>
        <v>#DIV/0!</v>
      </c>
    </row>
    <row r="50" spans="1:5">
      <c r="A50" s="58">
        <v>2</v>
      </c>
      <c r="B50" s="1133" t="s">
        <v>191</v>
      </c>
      <c r="C50" s="1134"/>
      <c r="D50" s="1135"/>
      <c r="E50" s="119" t="e">
        <f>IF(E49&lt;0.1,"Хангаагүй","Хангасан")</f>
        <v>#DIV/0!</v>
      </c>
    </row>
    <row r="51" spans="1:5" ht="12.75" customHeight="1">
      <c r="A51" s="56" t="s">
        <v>192</v>
      </c>
      <c r="B51" s="1129" t="s">
        <v>193</v>
      </c>
      <c r="C51" s="1130"/>
      <c r="D51" s="1131"/>
      <c r="E51" s="120" t="s">
        <v>194</v>
      </c>
    </row>
    <row r="52" spans="1:5">
      <c r="A52" s="51">
        <v>1</v>
      </c>
      <c r="B52" s="1133" t="s">
        <v>190</v>
      </c>
      <c r="C52" s="1134"/>
      <c r="D52" s="1135"/>
      <c r="E52" s="915" t="e">
        <f>BS!I96/E24</f>
        <v>#DIV/0!</v>
      </c>
    </row>
    <row r="53" spans="1:5">
      <c r="A53" s="51">
        <v>2</v>
      </c>
      <c r="B53" s="1133" t="s">
        <v>191</v>
      </c>
      <c r="C53" s="1134"/>
      <c r="D53" s="1135"/>
      <c r="E53" s="119" t="e">
        <f>+IF(E52&lt;0.2,"Хангаагүй","Хангасан")</f>
        <v>#DIV/0!</v>
      </c>
    </row>
    <row r="54" spans="1:5" ht="12.75" customHeight="1">
      <c r="A54" s="59" t="s">
        <v>195</v>
      </c>
      <c r="B54" s="1129" t="s">
        <v>196</v>
      </c>
      <c r="C54" s="1130"/>
      <c r="D54" s="1131"/>
      <c r="E54" s="120" t="s">
        <v>189</v>
      </c>
    </row>
    <row r="55" spans="1:5">
      <c r="A55" s="58">
        <v>1</v>
      </c>
      <c r="B55" s="1133" t="s">
        <v>190</v>
      </c>
      <c r="C55" s="1134"/>
      <c r="D55" s="1135"/>
      <c r="E55" s="916" t="e">
        <f>+D9/BS!D102</f>
        <v>#DIV/0!</v>
      </c>
    </row>
    <row r="56" spans="1:5" ht="13.5" thickBot="1">
      <c r="A56" s="60">
        <v>2</v>
      </c>
      <c r="B56" s="1136" t="s">
        <v>191</v>
      </c>
      <c r="C56" s="1137"/>
      <c r="D56" s="1138"/>
      <c r="E56" s="121" t="e">
        <f>+IF(E55&lt;0.1,"Хангаагүй","Хангасан")</f>
        <v>#DIV/0!</v>
      </c>
    </row>
    <row r="57" spans="1:5" ht="13.5" thickTop="1"/>
    <row r="59" spans="1:5">
      <c r="A59" s="988" t="s">
        <v>33</v>
      </c>
      <c r="B59" s="98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132" t="str">
        <f>+Statistic!B60</f>
        <v>ГҮЙЦЭТГЭХ ЗАХИРАЛ.......................//</v>
      </c>
      <c r="B63" s="1132"/>
      <c r="C63" s="1132"/>
      <c r="D63" s="1132"/>
      <c r="E63" s="1132"/>
    </row>
    <row r="64" spans="1:5">
      <c r="A64" s="95"/>
      <c r="B64" s="95"/>
      <c r="C64" s="95"/>
      <c r="D64" s="95"/>
      <c r="E64" s="95"/>
    </row>
    <row r="65" spans="1:5">
      <c r="A65" s="1132" t="str">
        <f>+Statistic!B62</f>
        <v>ЕРӨНХИЙ НЯГТЛАН БОДОГЧ...................................................//</v>
      </c>
      <c r="B65" s="1132"/>
      <c r="C65" s="1132"/>
      <c r="D65" s="1132"/>
      <c r="E65" s="1132"/>
    </row>
    <row r="66" spans="1:5">
      <c r="A66" s="95"/>
      <c r="B66" s="95"/>
      <c r="C66" s="95"/>
      <c r="D66" s="95"/>
      <c r="E66" s="95"/>
    </row>
    <row r="67" spans="1:5">
      <c r="A67" s="1132"/>
      <c r="B67" s="1132"/>
      <c r="C67" s="1132"/>
      <c r="D67" s="1132"/>
      <c r="E67" s="1132"/>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94" t="s">
        <v>197</v>
      </c>
      <c r="B2" s="994"/>
      <c r="C2" s="994"/>
      <c r="D2" s="994"/>
      <c r="E2" s="994"/>
    </row>
    <row r="3" spans="1:6">
      <c r="A3" s="1002" t="str">
        <f>GB!A3</f>
        <v xml:space="preserve">БАНК БУС САНХҮҮГИЙН БАЙГУУЛЛАГЫН НЭР </v>
      </c>
      <c r="B3" s="1002"/>
      <c r="C3" s="1002"/>
      <c r="D3" s="1002"/>
      <c r="E3" s="1002"/>
    </row>
    <row r="4" spans="1:6">
      <c r="A4" s="994" t="str">
        <f>GB!A4</f>
        <v>БАНК БУС САНХҮҮГИЙН БАЙГУУЛЛАГА</v>
      </c>
      <c r="B4" s="994"/>
      <c r="C4" s="994"/>
      <c r="D4" s="994"/>
      <c r="E4" s="994"/>
    </row>
    <row r="5" spans="1:6">
      <c r="A5" s="1"/>
      <c r="B5" s="1"/>
      <c r="C5" s="1"/>
      <c r="D5" s="1"/>
      <c r="E5" s="1"/>
    </row>
    <row r="6" spans="1:6">
      <c r="A6" s="1140">
        <f>GB!A6</f>
        <v>45473</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88" t="s">
        <v>33</v>
      </c>
      <c r="B30" s="98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94" t="s">
        <v>205</v>
      </c>
      <c r="B2" s="994"/>
      <c r="C2" s="994"/>
      <c r="D2" s="994"/>
      <c r="E2" s="994"/>
      <c r="F2" s="994"/>
      <c r="G2" s="994"/>
      <c r="H2" s="994"/>
      <c r="I2" s="994"/>
      <c r="J2" s="994"/>
      <c r="K2" s="994"/>
      <c r="L2" s="994"/>
      <c r="M2" s="994"/>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94" t="str">
        <f>GB!A4</f>
        <v>БАНК БУС САНХҮҮГИЙН БАЙГУУЛЛАГА</v>
      </c>
      <c r="B4" s="994"/>
      <c r="C4" s="994"/>
      <c r="D4" s="994"/>
      <c r="E4" s="994"/>
      <c r="F4" s="994"/>
      <c r="G4" s="994"/>
      <c r="H4" s="994"/>
      <c r="I4" s="994"/>
      <c r="J4" s="994"/>
      <c r="K4" s="994"/>
      <c r="L4" s="994"/>
      <c r="M4" s="994"/>
    </row>
    <row r="5" spans="1:13" ht="13.5" customHeight="1">
      <c r="A5" s="1"/>
      <c r="B5" s="1"/>
      <c r="C5" s="1"/>
      <c r="D5" s="1"/>
      <c r="E5" s="1"/>
      <c r="F5" s="1"/>
      <c r="G5" s="1"/>
      <c r="H5" s="1"/>
      <c r="I5" s="1"/>
      <c r="J5" s="1"/>
      <c r="K5" s="1"/>
      <c r="L5" s="1"/>
      <c r="M5" s="1"/>
    </row>
    <row r="6" spans="1:13">
      <c r="A6" s="1046">
        <f>GB!A6</f>
        <v>45473</v>
      </c>
      <c r="B6" s="1046"/>
      <c r="L6" s="1144" t="s">
        <v>1453</v>
      </c>
      <c r="M6" s="1144"/>
    </row>
    <row r="7" spans="1:13">
      <c r="A7" s="1145" t="s">
        <v>137</v>
      </c>
      <c r="B7" s="1145"/>
      <c r="C7" s="1146" t="s">
        <v>206</v>
      </c>
      <c r="D7" s="1146"/>
      <c r="E7" s="1146"/>
      <c r="F7" s="1146"/>
      <c r="G7" s="1146"/>
      <c r="H7" s="1146"/>
      <c r="I7" s="1146"/>
      <c r="J7" s="1146"/>
      <c r="K7" s="1146"/>
      <c r="L7" s="1146" t="s">
        <v>152</v>
      </c>
      <c r="M7" s="1146"/>
    </row>
    <row r="8" spans="1:13">
      <c r="A8" s="1145"/>
      <c r="B8" s="1145"/>
      <c r="C8" s="270" t="s">
        <v>111</v>
      </c>
      <c r="D8" s="270" t="s">
        <v>113</v>
      </c>
      <c r="E8" s="270" t="s">
        <v>115</v>
      </c>
      <c r="F8" s="270" t="s">
        <v>116</v>
      </c>
      <c r="G8" s="270" t="s">
        <v>117</v>
      </c>
      <c r="H8" s="270" t="s">
        <v>119</v>
      </c>
      <c r="I8" s="270" t="s">
        <v>120</v>
      </c>
      <c r="J8" s="270" t="s">
        <v>121</v>
      </c>
      <c r="K8" s="270" t="s">
        <v>55</v>
      </c>
      <c r="L8" s="270" t="s">
        <v>207</v>
      </c>
      <c r="M8" s="270" t="s">
        <v>208</v>
      </c>
    </row>
    <row r="9" spans="1:13">
      <c r="A9" s="1153" t="s">
        <v>209</v>
      </c>
      <c r="B9" s="115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53" t="s">
        <v>216</v>
      </c>
      <c r="B16" s="115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53" t="s">
        <v>222</v>
      </c>
      <c r="B23" s="115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1" t="s">
        <v>225</v>
      </c>
      <c r="B26" s="1151"/>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50" t="s">
        <v>226</v>
      </c>
      <c r="B27" s="1150"/>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50" t="s">
        <v>227</v>
      </c>
      <c r="B28" s="1150"/>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55" t="s">
        <v>228</v>
      </c>
      <c r="B29" s="1155"/>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9" t="s">
        <v>229</v>
      </c>
      <c r="B30" s="1149"/>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50" t="s">
        <v>230</v>
      </c>
      <c r="B31" s="1150"/>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47" t="s">
        <v>232</v>
      </c>
      <c r="B32" s="1147"/>
      <c r="C32" s="165">
        <f>+GB!H1679</f>
        <v>3381.05</v>
      </c>
      <c r="D32" s="165">
        <f>+GB!H1680</f>
        <v>3614.34</v>
      </c>
      <c r="E32" s="165">
        <f>+GB!H1681</f>
        <v>21.06</v>
      </c>
      <c r="F32" s="165">
        <f>+GB!H1682</f>
        <v>3767.4</v>
      </c>
      <c r="G32" s="165">
        <f>+GB!H1683</f>
        <v>4271.1099999999997</v>
      </c>
      <c r="H32" s="165">
        <f>+GB!H1684</f>
        <v>465.14</v>
      </c>
      <c r="I32" s="165">
        <f>+GB!H1685</f>
        <v>39.909999999999997</v>
      </c>
      <c r="J32" s="165">
        <f>+GB!H1686</f>
        <v>2.44</v>
      </c>
      <c r="K32" s="165">
        <f>+GB!H1687</f>
        <v>0</v>
      </c>
      <c r="L32" s="165">
        <v>1</v>
      </c>
      <c r="M32" s="165">
        <f>+C32</f>
        <v>3381.05</v>
      </c>
    </row>
    <row r="33" spans="1:13">
      <c r="A33" s="399"/>
      <c r="B33" s="399"/>
      <c r="C33" s="400"/>
      <c r="D33" s="400"/>
      <c r="E33" s="400"/>
      <c r="F33" s="400"/>
      <c r="G33" s="400"/>
      <c r="H33" s="400"/>
      <c r="I33" s="400"/>
      <c r="J33" s="400"/>
      <c r="K33" s="400"/>
      <c r="L33" s="400"/>
      <c r="M33" s="400"/>
    </row>
    <row r="34" spans="1:13" s="90" customFormat="1">
      <c r="A34" s="1154" t="s">
        <v>588</v>
      </c>
      <c r="B34" s="1154"/>
      <c r="C34" s="1154"/>
      <c r="D34" s="1154"/>
      <c r="E34" s="1154"/>
      <c r="F34" s="1154"/>
      <c r="G34" s="1154"/>
      <c r="H34" s="1154"/>
      <c r="I34" s="1154"/>
      <c r="J34" s="1154"/>
      <c r="K34" s="1154"/>
      <c r="L34" s="1154"/>
      <c r="M34" s="1154"/>
    </row>
    <row r="35" spans="1:13">
      <c r="A35" s="1154" t="s">
        <v>587</v>
      </c>
      <c r="B35" s="1154"/>
      <c r="C35" s="1154"/>
      <c r="D35" s="1154"/>
      <c r="E35" s="1154"/>
      <c r="F35" s="1154"/>
      <c r="G35" s="1154"/>
      <c r="H35" s="1154"/>
      <c r="I35" s="1154"/>
      <c r="J35" s="1154"/>
      <c r="K35" s="1154"/>
      <c r="L35" s="1154"/>
      <c r="M35" s="1154"/>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8" t="s">
        <v>122</v>
      </c>
      <c r="E39" s="1148"/>
      <c r="F39" s="1148"/>
      <c r="G39" s="13"/>
      <c r="H39" s="14"/>
    </row>
    <row r="40" spans="1:13" s="90" customFormat="1">
      <c r="A40" s="16"/>
      <c r="B40" s="3"/>
      <c r="C40" s="15"/>
      <c r="D40" s="16"/>
      <c r="E40" s="93"/>
      <c r="F40" s="93"/>
      <c r="G40" s="13"/>
      <c r="H40" s="14"/>
    </row>
    <row r="41" spans="1:13" s="90" customFormat="1" ht="15" customHeight="1">
      <c r="A41" s="16"/>
      <c r="B41" s="3"/>
      <c r="C41" s="15"/>
      <c r="D41" s="1152" t="str">
        <f>+Statistic!B60</f>
        <v>ГҮЙЦЭТГЭХ ЗАХИРАЛ.......................//</v>
      </c>
      <c r="E41" s="1152" t="e">
        <f>+Statistic!#REF!</f>
        <v>#REF!</v>
      </c>
      <c r="F41" s="1152" t="e">
        <f>+Statistic!#REF!</f>
        <v>#REF!</v>
      </c>
      <c r="G41" s="1152" t="e">
        <f>+Statistic!#REF!</f>
        <v>#REF!</v>
      </c>
      <c r="H41" s="1152" t="e">
        <f>+Statistic!#REF!</f>
        <v>#REF!</v>
      </c>
      <c r="I41" s="1152" t="e">
        <f>+Statistic!#REF!</f>
        <v>#REF!</v>
      </c>
      <c r="J41" s="1152" t="e">
        <f>+Statistic!#REF!</f>
        <v>#REF!</v>
      </c>
      <c r="K41" s="115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52" t="str">
        <f>+Statistic!B62</f>
        <v>ЕРӨНХИЙ НЯГТЛАН БОДОГЧ...................................................//</v>
      </c>
      <c r="E43" s="1152" t="e">
        <f>+Statistic!#REF!</f>
        <v>#REF!</v>
      </c>
      <c r="F43" s="1152" t="e">
        <f>+Statistic!#REF!</f>
        <v>#REF!</v>
      </c>
      <c r="G43" s="1152" t="e">
        <f>+Statistic!#REF!</f>
        <v>#REF!</v>
      </c>
      <c r="H43" s="1152" t="e">
        <f>+Statistic!#REF!</f>
        <v>#REF!</v>
      </c>
      <c r="I43" s="1152" t="e">
        <f>+Statistic!#REF!</f>
        <v>#REF!</v>
      </c>
      <c r="J43" s="1152" t="e">
        <f>+Statistic!#REF!</f>
        <v>#REF!</v>
      </c>
      <c r="K43" s="115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94" t="s">
        <v>233</v>
      </c>
      <c r="B2" s="994"/>
      <c r="C2" s="994"/>
      <c r="D2" s="994"/>
      <c r="E2" s="994"/>
      <c r="F2" s="994"/>
      <c r="G2" s="994"/>
    </row>
    <row r="3" spans="1:9">
      <c r="A3" s="1002" t="str">
        <f>+GB!A3</f>
        <v xml:space="preserve">БАНК БУС САНХҮҮГИЙН БАЙГУУЛЛАГЫН НЭР </v>
      </c>
      <c r="B3" s="1002"/>
      <c r="C3" s="1002"/>
      <c r="D3" s="1002"/>
      <c r="E3" s="1002"/>
      <c r="F3" s="1002"/>
      <c r="G3" s="1002"/>
      <c r="H3" s="9"/>
      <c r="I3" s="9"/>
    </row>
    <row r="4" spans="1:9">
      <c r="A4" s="994" t="str">
        <f>+GB!A4</f>
        <v>БАНК БУС САНХҮҮГИЙН БАЙГУУЛЛАГА</v>
      </c>
      <c r="B4" s="994"/>
      <c r="C4" s="994"/>
      <c r="D4" s="994"/>
      <c r="E4" s="994"/>
      <c r="F4" s="994"/>
      <c r="G4" s="994"/>
      <c r="H4" s="2"/>
      <c r="I4" s="2"/>
    </row>
    <row r="5" spans="1:9">
      <c r="A5" s="1046">
        <f>+GB!A6</f>
        <v>45473</v>
      </c>
      <c r="B5" s="1046"/>
      <c r="G5" s="123" t="s">
        <v>41</v>
      </c>
    </row>
    <row r="6" spans="1:9" ht="16.5" customHeight="1">
      <c r="A6" s="1141" t="s">
        <v>137</v>
      </c>
      <c r="B6" s="1141"/>
      <c r="C6" s="1141"/>
      <c r="D6" s="1141"/>
      <c r="E6" s="1141"/>
      <c r="F6" s="1166" t="s">
        <v>152</v>
      </c>
      <c r="G6" s="116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57">
        <f>+BS!D32</f>
        <v>0</v>
      </c>
      <c r="G8" s="1164">
        <f>+F8-E8</f>
        <v>0</v>
      </c>
    </row>
    <row r="9" spans="1:9" ht="15" customHeight="1">
      <c r="A9" s="166">
        <v>1</v>
      </c>
      <c r="B9" s="62" t="s">
        <v>241</v>
      </c>
      <c r="C9" s="124">
        <f>+BS!D26</f>
        <v>0</v>
      </c>
      <c r="D9" s="171">
        <v>0</v>
      </c>
      <c r="E9" s="172">
        <f>C9*D9</f>
        <v>0</v>
      </c>
      <c r="F9" s="1157"/>
      <c r="G9" s="1164"/>
    </row>
    <row r="10" spans="1:9" ht="15" customHeight="1">
      <c r="A10" s="166">
        <v>2</v>
      </c>
      <c r="B10" s="62" t="s">
        <v>611</v>
      </c>
      <c r="C10" s="124">
        <f>+BS!D27</f>
        <v>0</v>
      </c>
      <c r="D10" s="63">
        <v>0.05</v>
      </c>
      <c r="E10" s="172">
        <f>C10*D10</f>
        <v>0</v>
      </c>
      <c r="F10" s="1157"/>
      <c r="G10" s="1164"/>
    </row>
    <row r="11" spans="1:9" ht="15" customHeight="1">
      <c r="A11" s="173">
        <v>3</v>
      </c>
      <c r="B11" s="174" t="s">
        <v>242</v>
      </c>
      <c r="C11" s="124">
        <f>+BS!D28</f>
        <v>0</v>
      </c>
      <c r="D11" s="176"/>
      <c r="E11" s="177">
        <f>SUM(E12:E14)</f>
        <v>0</v>
      </c>
      <c r="F11" s="1157"/>
      <c r="G11" s="1164"/>
    </row>
    <row r="12" spans="1:9">
      <c r="A12" s="178"/>
      <c r="B12" s="64" t="s">
        <v>243</v>
      </c>
      <c r="C12" s="124">
        <f>+BS!D29</f>
        <v>0</v>
      </c>
      <c r="D12" s="63">
        <v>0.25</v>
      </c>
      <c r="E12" s="124">
        <f>C12*D12</f>
        <v>0</v>
      </c>
      <c r="F12" s="1157"/>
      <c r="G12" s="1164"/>
    </row>
    <row r="13" spans="1:9">
      <c r="A13" s="178"/>
      <c r="B13" s="64" t="s">
        <v>244</v>
      </c>
      <c r="C13" s="124">
        <f>+BS!D30</f>
        <v>0</v>
      </c>
      <c r="D13" s="63">
        <v>0.5</v>
      </c>
      <c r="E13" s="124">
        <f>C13*D13</f>
        <v>0</v>
      </c>
      <c r="F13" s="1157"/>
      <c r="G13" s="1164"/>
    </row>
    <row r="14" spans="1:9">
      <c r="A14" s="178"/>
      <c r="B14" s="64" t="s">
        <v>245</v>
      </c>
      <c r="C14" s="124">
        <f>+BS!D31</f>
        <v>0</v>
      </c>
      <c r="D14" s="63">
        <v>1</v>
      </c>
      <c r="E14" s="124">
        <f>C14*D14</f>
        <v>0</v>
      </c>
      <c r="F14" s="1157"/>
      <c r="G14" s="1164"/>
    </row>
    <row r="15" spans="1:9">
      <c r="A15" s="179" t="s">
        <v>246</v>
      </c>
      <c r="B15" s="179" t="s">
        <v>247</v>
      </c>
      <c r="C15" s="180">
        <f>+SUM(C16:C18)</f>
        <v>0</v>
      </c>
      <c r="D15" s="181">
        <v>1</v>
      </c>
      <c r="E15" s="180">
        <f>+SUM(E16:E18)</f>
        <v>0</v>
      </c>
      <c r="F15" s="1160">
        <f>+BS!D63</f>
        <v>0</v>
      </c>
      <c r="G15" s="1161">
        <f>+F15-E15</f>
        <v>0</v>
      </c>
    </row>
    <row r="16" spans="1:9" ht="15" customHeight="1">
      <c r="A16" s="166">
        <v>4</v>
      </c>
      <c r="B16" s="64" t="s">
        <v>248</v>
      </c>
      <c r="C16" s="182">
        <f>+BS!D57</f>
        <v>0</v>
      </c>
      <c r="D16" s="183">
        <v>0</v>
      </c>
      <c r="E16" s="125">
        <f>+C16*D16</f>
        <v>0</v>
      </c>
      <c r="F16" s="1160"/>
      <c r="G16" s="1161"/>
    </row>
    <row r="17" spans="1:7" ht="14.25" customHeight="1">
      <c r="A17" s="166">
        <v>5</v>
      </c>
      <c r="B17" s="64" t="s">
        <v>612</v>
      </c>
      <c r="C17" s="182">
        <f>+BS!D58</f>
        <v>0</v>
      </c>
      <c r="D17" s="65">
        <v>0.05</v>
      </c>
      <c r="E17" s="125">
        <f>+C17*D17</f>
        <v>0</v>
      </c>
      <c r="F17" s="1160"/>
      <c r="G17" s="1161"/>
    </row>
    <row r="18" spans="1:7">
      <c r="A18" s="184">
        <v>6</v>
      </c>
      <c r="B18" s="174" t="s">
        <v>249</v>
      </c>
      <c r="C18" s="182">
        <f>+BS!D59</f>
        <v>0</v>
      </c>
      <c r="D18" s="186"/>
      <c r="E18" s="185">
        <f>+SUM(E19:E21)</f>
        <v>0</v>
      </c>
      <c r="F18" s="1160"/>
      <c r="G18" s="1161"/>
    </row>
    <row r="19" spans="1:7">
      <c r="A19" s="166"/>
      <c r="B19" s="64" t="s">
        <v>243</v>
      </c>
      <c r="C19" s="182">
        <f>+BS!D60</f>
        <v>0</v>
      </c>
      <c r="D19" s="65">
        <v>0.25</v>
      </c>
      <c r="E19" s="125">
        <f>+C19*D19</f>
        <v>0</v>
      </c>
      <c r="F19" s="1160"/>
      <c r="G19" s="1161"/>
    </row>
    <row r="20" spans="1:7">
      <c r="A20" s="166"/>
      <c r="B20" s="64" t="s">
        <v>244</v>
      </c>
      <c r="C20" s="182">
        <f>+BS!D61</f>
        <v>0</v>
      </c>
      <c r="D20" s="65">
        <v>0.5</v>
      </c>
      <c r="E20" s="125">
        <f>+C20*D20</f>
        <v>0</v>
      </c>
      <c r="F20" s="1160"/>
      <c r="G20" s="1161"/>
    </row>
    <row r="21" spans="1:7">
      <c r="A21" s="166"/>
      <c r="B21" s="64" t="s">
        <v>245</v>
      </c>
      <c r="C21" s="182">
        <f>+BS!D62</f>
        <v>0</v>
      </c>
      <c r="D21" s="65">
        <v>1</v>
      </c>
      <c r="E21" s="125">
        <f>+C21*D21</f>
        <v>0</v>
      </c>
      <c r="F21" s="1160"/>
      <c r="G21" s="1161"/>
    </row>
    <row r="22" spans="1:7">
      <c r="A22" s="168" t="s">
        <v>250</v>
      </c>
      <c r="B22" s="187" t="s">
        <v>251</v>
      </c>
      <c r="C22" s="188">
        <f>+SUM(C23:C25)</f>
        <v>0</v>
      </c>
      <c r="D22" s="189">
        <v>1</v>
      </c>
      <c r="E22" s="188">
        <f>ROUND(SUM(E23:E25),2)</f>
        <v>0</v>
      </c>
      <c r="F22" s="1165">
        <f>+BS!D44</f>
        <v>0</v>
      </c>
      <c r="G22" s="1156">
        <f>+F22-E22</f>
        <v>0</v>
      </c>
    </row>
    <row r="23" spans="1:7">
      <c r="A23" s="166">
        <v>7</v>
      </c>
      <c r="B23" s="64" t="s">
        <v>252</v>
      </c>
      <c r="C23" s="190">
        <f>+BS!D38</f>
        <v>0</v>
      </c>
      <c r="D23" s="183">
        <v>0</v>
      </c>
      <c r="E23" s="124">
        <f>+C23*D23</f>
        <v>0</v>
      </c>
      <c r="F23" s="1165"/>
      <c r="G23" s="1156"/>
    </row>
    <row r="24" spans="1:7">
      <c r="A24" s="166">
        <v>8</v>
      </c>
      <c r="B24" s="62" t="s">
        <v>613</v>
      </c>
      <c r="C24" s="190">
        <f>+BS!D39</f>
        <v>0</v>
      </c>
      <c r="D24" s="65">
        <v>0.05</v>
      </c>
      <c r="E24" s="124">
        <f>+C24*D24</f>
        <v>0</v>
      </c>
      <c r="F24" s="1165"/>
      <c r="G24" s="1156"/>
    </row>
    <row r="25" spans="1:7">
      <c r="A25" s="184">
        <v>9</v>
      </c>
      <c r="B25" s="191" t="s">
        <v>253</v>
      </c>
      <c r="C25" s="190">
        <f>+BS!D40</f>
        <v>0</v>
      </c>
      <c r="D25" s="186"/>
      <c r="E25" s="175">
        <f>+SUM(E26:E28)</f>
        <v>0</v>
      </c>
      <c r="F25" s="1165"/>
      <c r="G25" s="1156"/>
    </row>
    <row r="26" spans="1:7">
      <c r="A26" s="166"/>
      <c r="B26" s="62" t="s">
        <v>243</v>
      </c>
      <c r="C26" s="190">
        <f>+BS!D41</f>
        <v>0</v>
      </c>
      <c r="D26" s="65">
        <v>0.25</v>
      </c>
      <c r="E26" s="124">
        <f>+C26*D26</f>
        <v>0</v>
      </c>
      <c r="F26" s="1165"/>
      <c r="G26" s="1156"/>
    </row>
    <row r="27" spans="1:7">
      <c r="A27" s="166"/>
      <c r="B27" s="62" t="s">
        <v>244</v>
      </c>
      <c r="C27" s="190">
        <f>+BS!D42</f>
        <v>0</v>
      </c>
      <c r="D27" s="65">
        <v>0.5</v>
      </c>
      <c r="E27" s="124">
        <f>+C27*D27</f>
        <v>0</v>
      </c>
      <c r="F27" s="1165"/>
      <c r="G27" s="1156"/>
    </row>
    <row r="28" spans="1:7">
      <c r="A28" s="166"/>
      <c r="B28" s="62" t="s">
        <v>245</v>
      </c>
      <c r="C28" s="190">
        <f>+BS!D43</f>
        <v>0</v>
      </c>
      <c r="D28" s="65">
        <v>1</v>
      </c>
      <c r="E28" s="124">
        <f>+C28*D28</f>
        <v>0</v>
      </c>
      <c r="F28" s="1165"/>
      <c r="G28" s="1156"/>
    </row>
    <row r="29" spans="1:7">
      <c r="A29" s="168" t="s">
        <v>254</v>
      </c>
      <c r="B29" s="187" t="s">
        <v>132</v>
      </c>
      <c r="C29" s="188">
        <f>+SUM(C30:C32)</f>
        <v>0</v>
      </c>
      <c r="D29" s="189">
        <v>1</v>
      </c>
      <c r="E29" s="188">
        <f>ROUND(SUM(E30:E32),2)</f>
        <v>0</v>
      </c>
      <c r="F29" s="1160">
        <f>+GB!D1453</f>
        <v>0</v>
      </c>
      <c r="G29" s="1161">
        <f>+F29-E29</f>
        <v>0</v>
      </c>
    </row>
    <row r="30" spans="1:7">
      <c r="A30" s="166">
        <v>10</v>
      </c>
      <c r="B30" s="62" t="s">
        <v>78</v>
      </c>
      <c r="C30" s="967"/>
      <c r="D30" s="171">
        <v>0</v>
      </c>
      <c r="E30" s="124">
        <f>+C30*D30</f>
        <v>0</v>
      </c>
      <c r="F30" s="1160"/>
      <c r="G30" s="1161"/>
    </row>
    <row r="31" spans="1:7">
      <c r="A31" s="166">
        <v>11</v>
      </c>
      <c r="B31" s="62" t="s">
        <v>610</v>
      </c>
      <c r="C31" s="967"/>
      <c r="D31" s="65">
        <v>0.05</v>
      </c>
      <c r="E31" s="124">
        <f>+C31*D31</f>
        <v>0</v>
      </c>
      <c r="F31" s="1160"/>
      <c r="G31" s="1161"/>
    </row>
    <row r="32" spans="1:7">
      <c r="A32" s="184">
        <v>12</v>
      </c>
      <c r="B32" s="191" t="s">
        <v>255</v>
      </c>
      <c r="C32" s="175">
        <v>0</v>
      </c>
      <c r="D32" s="186"/>
      <c r="E32" s="175">
        <f>+SUM(E33:E35)</f>
        <v>0</v>
      </c>
      <c r="F32" s="1160"/>
      <c r="G32" s="1161"/>
    </row>
    <row r="33" spans="1:7">
      <c r="A33" s="192"/>
      <c r="B33" s="62" t="s">
        <v>243</v>
      </c>
      <c r="C33" s="967"/>
      <c r="D33" s="65">
        <v>0.25</v>
      </c>
      <c r="E33" s="124">
        <f>+C33*D33</f>
        <v>0</v>
      </c>
      <c r="F33" s="1160"/>
      <c r="G33" s="1161"/>
    </row>
    <row r="34" spans="1:7">
      <c r="A34" s="192"/>
      <c r="B34" s="62" t="s">
        <v>244</v>
      </c>
      <c r="C34" s="967"/>
      <c r="D34" s="65">
        <v>0.5</v>
      </c>
      <c r="E34" s="124">
        <f>+C34*D34</f>
        <v>0</v>
      </c>
      <c r="F34" s="1160"/>
      <c r="G34" s="1161"/>
    </row>
    <row r="35" spans="1:7">
      <c r="A35" s="192"/>
      <c r="B35" s="62" t="s">
        <v>245</v>
      </c>
      <c r="C35" s="967"/>
      <c r="D35" s="65">
        <v>1</v>
      </c>
      <c r="E35" s="124">
        <f>+C35*D35</f>
        <v>0</v>
      </c>
      <c r="F35" s="1160"/>
      <c r="G35" s="1161"/>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62">
        <f>+GB!D1457+GB!D1470</f>
        <v>0</v>
      </c>
      <c r="G37" s="1163">
        <f>+F37-E37</f>
        <v>0</v>
      </c>
    </row>
    <row r="38" spans="1:7">
      <c r="A38" s="152">
        <v>13</v>
      </c>
      <c r="B38" s="64" t="s">
        <v>260</v>
      </c>
      <c r="C38" s="968"/>
      <c r="D38" s="198">
        <v>0</v>
      </c>
      <c r="E38" s="124">
        <f>+C38*D38</f>
        <v>0</v>
      </c>
      <c r="F38" s="1162"/>
      <c r="G38" s="1163"/>
    </row>
    <row r="39" spans="1:7">
      <c r="A39" s="166">
        <v>14</v>
      </c>
      <c r="B39" s="62" t="s">
        <v>614</v>
      </c>
      <c r="C39" s="967"/>
      <c r="D39" s="65">
        <v>0.05</v>
      </c>
      <c r="E39" s="124">
        <f>+C39*D39</f>
        <v>0</v>
      </c>
      <c r="F39" s="1162"/>
      <c r="G39" s="1163"/>
    </row>
    <row r="40" spans="1:7">
      <c r="A40" s="184">
        <v>15</v>
      </c>
      <c r="B40" s="191" t="s">
        <v>261</v>
      </c>
      <c r="C40" s="175">
        <v>0</v>
      </c>
      <c r="D40" s="186"/>
      <c r="E40" s="175">
        <f>+SUM(E41:E43)</f>
        <v>0</v>
      </c>
      <c r="F40" s="1162"/>
      <c r="G40" s="1163"/>
    </row>
    <row r="41" spans="1:7">
      <c r="A41" s="166"/>
      <c r="B41" s="62" t="s">
        <v>243</v>
      </c>
      <c r="C41" s="967"/>
      <c r="D41" s="65">
        <v>0.25</v>
      </c>
      <c r="E41" s="124">
        <f>+C41*D41</f>
        <v>0</v>
      </c>
      <c r="F41" s="1162"/>
      <c r="G41" s="1163"/>
    </row>
    <row r="42" spans="1:7">
      <c r="A42" s="166"/>
      <c r="B42" s="62" t="s">
        <v>244</v>
      </c>
      <c r="C42" s="967"/>
      <c r="D42" s="65">
        <v>0.5</v>
      </c>
      <c r="E42" s="124">
        <f>+C42*D42</f>
        <v>0</v>
      </c>
      <c r="F42" s="1162"/>
      <c r="G42" s="1163"/>
    </row>
    <row r="43" spans="1:7">
      <c r="A43" s="166"/>
      <c r="B43" s="62" t="s">
        <v>245</v>
      </c>
      <c r="C43" s="967"/>
      <c r="D43" s="65">
        <v>1</v>
      </c>
      <c r="E43" s="124">
        <f>+C43*D43</f>
        <v>0</v>
      </c>
      <c r="F43" s="1162"/>
      <c r="G43" s="1163"/>
    </row>
    <row r="44" spans="1:7" ht="25.5">
      <c r="A44" s="168" t="s">
        <v>262</v>
      </c>
      <c r="B44" s="187" t="s">
        <v>263</v>
      </c>
      <c r="C44" s="199">
        <f>GB!D1674</f>
        <v>0</v>
      </c>
      <c r="D44" s="200">
        <v>0</v>
      </c>
      <c r="E44" s="199">
        <f>+C44*D44</f>
        <v>0</v>
      </c>
      <c r="F44" s="201"/>
      <c r="G44" s="196"/>
    </row>
    <row r="45" spans="1:7" ht="15.75" customHeight="1">
      <c r="A45" s="1158" t="s">
        <v>264</v>
      </c>
      <c r="B45" s="1158"/>
      <c r="C45" s="202">
        <f>+C44+C37+C36+C29+C22+C15+C8</f>
        <v>0</v>
      </c>
      <c r="D45" s="203"/>
      <c r="E45" s="202">
        <f>+E8+E15+E22+E29+E36+E37+E44</f>
        <v>0</v>
      </c>
      <c r="F45" s="204">
        <f>+F8+F15+F22+F29+F36+F37+F44</f>
        <v>0</v>
      </c>
      <c r="G45" s="205">
        <f>+G8+G15+G22+G29+G36+G37+G44</f>
        <v>0</v>
      </c>
    </row>
    <row r="47" spans="1:7">
      <c r="A47" s="1159" t="s">
        <v>33</v>
      </c>
      <c r="B47" s="1159"/>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96" t="s">
        <v>286</v>
      </c>
      <c r="B2" s="996"/>
      <c r="C2" s="996"/>
      <c r="D2" s="996"/>
      <c r="E2" s="996"/>
      <c r="F2" s="996"/>
      <c r="G2" s="996"/>
      <c r="H2" s="996"/>
      <c r="I2" s="996"/>
      <c r="J2" s="996"/>
      <c r="K2" s="996"/>
      <c r="L2" s="996"/>
      <c r="M2" s="996"/>
      <c r="N2" s="996"/>
      <c r="O2" s="996"/>
      <c r="P2" s="996"/>
      <c r="Q2" s="996"/>
      <c r="R2" s="996"/>
      <c r="S2" s="996"/>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94" t="str">
        <f>GB!A4</f>
        <v>БАНК БУС САНХҮҮГИЙН БАЙГУУЛЛАГА</v>
      </c>
      <c r="B4" s="994"/>
      <c r="C4" s="994"/>
      <c r="D4" s="994"/>
      <c r="E4" s="994"/>
      <c r="F4" s="994"/>
      <c r="G4" s="994"/>
      <c r="H4" s="994"/>
      <c r="I4" s="994"/>
      <c r="J4" s="994"/>
      <c r="K4" s="994"/>
      <c r="L4" s="994"/>
      <c r="M4" s="994"/>
      <c r="N4" s="994"/>
      <c r="O4" s="994"/>
      <c r="P4" s="994"/>
      <c r="Q4" s="994"/>
      <c r="R4" s="994"/>
      <c r="S4" s="994"/>
    </row>
    <row r="5" spans="1:21">
      <c r="A5" s="1140">
        <f>GB!A6</f>
        <v>45473</v>
      </c>
      <c r="B5" s="1140"/>
      <c r="C5" s="244"/>
      <c r="D5" s="244"/>
      <c r="E5" s="128"/>
      <c r="F5" s="306"/>
      <c r="G5" s="1"/>
      <c r="H5" s="1"/>
      <c r="I5" s="1"/>
      <c r="J5" s="1"/>
      <c r="K5" s="1"/>
      <c r="L5" s="128"/>
      <c r="M5" s="128"/>
      <c r="N5" s="307"/>
      <c r="O5" s="307"/>
      <c r="P5" s="128"/>
      <c r="Q5" s="128"/>
      <c r="R5" s="1184" t="s">
        <v>41</v>
      </c>
      <c r="S5" s="1184"/>
    </row>
    <row r="6" spans="1:21" ht="51" customHeight="1">
      <c r="A6" s="1167" t="s">
        <v>287</v>
      </c>
      <c r="B6" s="1189" t="s">
        <v>529</v>
      </c>
      <c r="C6" s="1190"/>
      <c r="D6" s="1175" t="s">
        <v>532</v>
      </c>
      <c r="E6" s="1169" t="s">
        <v>706</v>
      </c>
      <c r="F6" s="1180" t="s">
        <v>533</v>
      </c>
      <c r="G6" s="1169" t="s">
        <v>288</v>
      </c>
      <c r="H6" s="1175" t="s">
        <v>289</v>
      </c>
      <c r="I6" s="1175" t="s">
        <v>290</v>
      </c>
      <c r="J6" s="1175" t="s">
        <v>291</v>
      </c>
      <c r="K6" s="1175" t="s">
        <v>292</v>
      </c>
      <c r="L6" s="1191" t="s">
        <v>293</v>
      </c>
      <c r="M6" s="1185" t="s">
        <v>534</v>
      </c>
      <c r="N6" s="1186" t="s">
        <v>571</v>
      </c>
      <c r="O6" s="1186" t="s">
        <v>535</v>
      </c>
      <c r="P6" s="1177" t="s">
        <v>294</v>
      </c>
      <c r="Q6" s="1169" t="s">
        <v>295</v>
      </c>
      <c r="R6" s="1169" t="s">
        <v>296</v>
      </c>
      <c r="S6" s="1187" t="s">
        <v>297</v>
      </c>
    </row>
    <row r="7" spans="1:21">
      <c r="A7" s="1168"/>
      <c r="B7" s="297" t="s">
        <v>607</v>
      </c>
      <c r="C7" s="82" t="s">
        <v>531</v>
      </c>
      <c r="D7" s="1176"/>
      <c r="E7" s="1179"/>
      <c r="F7" s="1181"/>
      <c r="G7" s="1170"/>
      <c r="H7" s="1176"/>
      <c r="I7" s="1176"/>
      <c r="J7" s="1176"/>
      <c r="K7" s="1176"/>
      <c r="L7" s="1192"/>
      <c r="M7" s="1185"/>
      <c r="N7" s="1186"/>
      <c r="O7" s="1186"/>
      <c r="P7" s="1178"/>
      <c r="Q7" s="1170"/>
      <c r="R7" s="1170"/>
      <c r="S7" s="1188"/>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71" t="s">
        <v>298</v>
      </c>
      <c r="B48" s="1172"/>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83" t="s">
        <v>299</v>
      </c>
      <c r="R49" s="1183"/>
      <c r="S49" s="376" t="e">
        <f>MAX(S8:S47)</f>
        <v>#DIV/0!</v>
      </c>
    </row>
    <row r="50" spans="1:20" ht="12.75" customHeight="1">
      <c r="A50" s="1182" t="s">
        <v>552</v>
      </c>
      <c r="B50" s="1182"/>
      <c r="C50" s="1182"/>
      <c r="D50" s="1182"/>
      <c r="E50" s="1182"/>
      <c r="F50" s="1182"/>
      <c r="G50" s="1182"/>
      <c r="H50" s="1182"/>
      <c r="I50" s="1182"/>
      <c r="J50" s="1182"/>
      <c r="K50" s="1182"/>
      <c r="L50" s="1182"/>
      <c r="M50" s="1182"/>
      <c r="N50" s="1182"/>
      <c r="O50" s="1182"/>
      <c r="P50" s="1182"/>
      <c r="Q50" s="1182"/>
      <c r="R50" s="1182"/>
      <c r="S50" s="1182"/>
      <c r="T50" s="330"/>
    </row>
    <row r="51" spans="1:20" ht="12.75" customHeight="1">
      <c r="A51" s="1182" t="s">
        <v>401</v>
      </c>
      <c r="B51" s="1182"/>
      <c r="C51" s="1182"/>
      <c r="D51" s="1182"/>
      <c r="E51" s="1182"/>
      <c r="F51" s="1182"/>
      <c r="G51" s="1182"/>
      <c r="H51" s="1182"/>
      <c r="I51" s="1182"/>
      <c r="J51" s="1182"/>
      <c r="K51" s="1182"/>
      <c r="L51" s="1182"/>
      <c r="M51" s="1182"/>
      <c r="N51" s="1182"/>
      <c r="O51" s="1182"/>
      <c r="P51" s="1182"/>
      <c r="Q51" s="1182"/>
      <c r="R51" s="1182"/>
      <c r="S51" s="1182"/>
      <c r="T51" s="330"/>
    </row>
    <row r="52" spans="1:20">
      <c r="A52" s="1182"/>
      <c r="B52" s="1182"/>
      <c r="C52" s="1182"/>
      <c r="D52" s="1182"/>
      <c r="E52" s="1182"/>
      <c r="F52" s="1182"/>
      <c r="G52" s="1182"/>
      <c r="H52" s="1182"/>
      <c r="I52" s="1182"/>
      <c r="J52" s="1182"/>
      <c r="K52" s="1182"/>
      <c r="L52" s="1182"/>
      <c r="M52" s="1182"/>
      <c r="N52" s="1182"/>
      <c r="O52" s="1182"/>
      <c r="P52" s="1182"/>
      <c r="Q52" s="1182"/>
      <c r="R52" s="1182"/>
      <c r="S52" s="1182"/>
      <c r="T52" s="329"/>
    </row>
    <row r="53" spans="1:20">
      <c r="E53" s="129"/>
      <c r="F53" s="311"/>
      <c r="G53" s="129"/>
      <c r="L53" s="129"/>
      <c r="M53" s="129"/>
      <c r="N53" s="312"/>
      <c r="O53" s="312"/>
      <c r="P53" s="131"/>
      <c r="Q53" s="261"/>
      <c r="R53" s="131"/>
      <c r="S53" s="132"/>
    </row>
    <row r="54" spans="1:20">
      <c r="E54" s="1173" t="s">
        <v>33</v>
      </c>
      <c r="F54" s="1173"/>
      <c r="G54" s="1174"/>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96" t="s">
        <v>332</v>
      </c>
      <c r="B2" s="996"/>
      <c r="C2" s="996"/>
      <c r="D2" s="996"/>
      <c r="E2" s="996"/>
      <c r="F2" s="996"/>
      <c r="G2" s="996"/>
      <c r="H2" s="996"/>
      <c r="I2" s="996"/>
      <c r="J2" s="996"/>
      <c r="K2" s="996"/>
      <c r="L2" s="996"/>
      <c r="M2" s="996"/>
      <c r="N2" s="996"/>
      <c r="O2" s="996"/>
      <c r="P2" s="996"/>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94" t="str">
        <f>GB!A4</f>
        <v>БАНК БУС САНХҮҮГИЙН БАЙГУУЛЛАГА</v>
      </c>
      <c r="B4" s="994"/>
      <c r="C4" s="994"/>
      <c r="D4" s="994"/>
      <c r="E4" s="994"/>
      <c r="F4" s="994"/>
      <c r="G4" s="994"/>
      <c r="H4" s="994"/>
      <c r="I4" s="994"/>
      <c r="J4" s="994"/>
      <c r="K4" s="994"/>
      <c r="L4" s="994"/>
      <c r="M4" s="994"/>
      <c r="N4" s="994"/>
      <c r="O4" s="994"/>
      <c r="P4" s="994"/>
    </row>
    <row r="5" spans="1:16">
      <c r="A5" s="1140">
        <f>GB!A6</f>
        <v>45473</v>
      </c>
      <c r="B5" s="1140"/>
      <c r="C5" s="244"/>
      <c r="D5" s="69"/>
      <c r="E5" s="128"/>
      <c r="F5" s="128"/>
      <c r="G5" s="1"/>
      <c r="H5" s="1"/>
      <c r="I5" s="1"/>
      <c r="J5" s="1"/>
      <c r="K5" s="1"/>
      <c r="L5" s="128"/>
      <c r="M5" s="128"/>
      <c r="N5" s="128"/>
      <c r="O5" s="1184" t="s">
        <v>41</v>
      </c>
      <c r="P5" s="1184"/>
    </row>
    <row r="6" spans="1:16" ht="70.5" customHeight="1">
      <c r="A6" s="1167" t="s">
        <v>287</v>
      </c>
      <c r="B6" s="1189" t="s">
        <v>529</v>
      </c>
      <c r="C6" s="1190"/>
      <c r="D6" s="1175" t="s">
        <v>333</v>
      </c>
      <c r="E6" s="1169" t="s">
        <v>706</v>
      </c>
      <c r="F6" s="1169" t="s">
        <v>533</v>
      </c>
      <c r="G6" s="1169" t="s">
        <v>288</v>
      </c>
      <c r="H6" s="1167" t="s">
        <v>289</v>
      </c>
      <c r="I6" s="1167" t="s">
        <v>290</v>
      </c>
      <c r="J6" s="1175" t="s">
        <v>291</v>
      </c>
      <c r="K6" s="1175" t="s">
        <v>292</v>
      </c>
      <c r="L6" s="1169" t="s">
        <v>293</v>
      </c>
      <c r="M6" s="1169" t="s">
        <v>294</v>
      </c>
      <c r="N6" s="1169" t="s">
        <v>295</v>
      </c>
      <c r="O6" s="1169" t="s">
        <v>296</v>
      </c>
      <c r="P6" s="1187" t="s">
        <v>297</v>
      </c>
    </row>
    <row r="7" spans="1:16">
      <c r="A7" s="1168"/>
      <c r="B7" s="297" t="s">
        <v>607</v>
      </c>
      <c r="C7" s="82" t="s">
        <v>531</v>
      </c>
      <c r="D7" s="1176"/>
      <c r="E7" s="1179"/>
      <c r="F7" s="1170"/>
      <c r="G7" s="1170"/>
      <c r="H7" s="1168"/>
      <c r="I7" s="1168"/>
      <c r="J7" s="1176"/>
      <c r="K7" s="1176"/>
      <c r="L7" s="1170"/>
      <c r="M7" s="1170"/>
      <c r="N7" s="1170"/>
      <c r="O7" s="1170"/>
      <c r="P7" s="1188"/>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71" t="s">
        <v>298</v>
      </c>
      <c r="B28" s="1172"/>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73" t="s">
        <v>33</v>
      </c>
      <c r="F31" s="1173"/>
      <c r="G31" s="1174"/>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96" t="s">
        <v>403</v>
      </c>
      <c r="B2" s="996"/>
      <c r="C2" s="996"/>
      <c r="D2" s="996"/>
      <c r="E2" s="996"/>
      <c r="F2" s="996"/>
      <c r="G2" s="996"/>
      <c r="H2" s="996"/>
      <c r="I2" s="996"/>
      <c r="J2" s="996"/>
      <c r="K2" s="996"/>
      <c r="L2" s="996"/>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94" t="str">
        <f>+GB!A4</f>
        <v>БАНК БУС САНХҮҮГИЙН БАЙГУУЛЛАГА</v>
      </c>
      <c r="B4" s="994"/>
      <c r="C4" s="994"/>
      <c r="D4" s="994"/>
      <c r="E4" s="994"/>
      <c r="F4" s="994"/>
      <c r="G4" s="994"/>
      <c r="H4" s="994"/>
      <c r="I4" s="994"/>
      <c r="J4" s="994"/>
      <c r="K4" s="994"/>
      <c r="L4" s="994"/>
    </row>
    <row r="5" spans="1:12">
      <c r="A5" s="1140">
        <f>+GB!A6</f>
        <v>45473</v>
      </c>
      <c r="B5" s="1140"/>
      <c r="K5" s="1194" t="s">
        <v>41</v>
      </c>
      <c r="L5" s="1194"/>
    </row>
    <row r="6" spans="1:12" ht="15" customHeight="1">
      <c r="A6" s="1158" t="s">
        <v>404</v>
      </c>
      <c r="B6" s="1158"/>
      <c r="C6" s="1158"/>
      <c r="D6" s="1158" t="s">
        <v>405</v>
      </c>
      <c r="E6" s="1195" t="s">
        <v>406</v>
      </c>
      <c r="F6" s="1195"/>
      <c r="G6" s="1195"/>
      <c r="H6" s="1195"/>
      <c r="I6" s="1195"/>
      <c r="J6" s="1195" t="s">
        <v>407</v>
      </c>
      <c r="K6" s="1195"/>
      <c r="L6" s="1158" t="s">
        <v>275</v>
      </c>
    </row>
    <row r="7" spans="1:12" ht="38.25">
      <c r="A7" s="1158"/>
      <c r="B7" s="1158"/>
      <c r="C7" s="1158"/>
      <c r="D7" s="1158"/>
      <c r="E7" s="324" t="s">
        <v>408</v>
      </c>
      <c r="F7" s="324" t="s">
        <v>409</v>
      </c>
      <c r="G7" s="324" t="s">
        <v>410</v>
      </c>
      <c r="H7" s="324" t="s">
        <v>411</v>
      </c>
      <c r="I7" s="324" t="s">
        <v>412</v>
      </c>
      <c r="J7" s="324" t="s">
        <v>408</v>
      </c>
      <c r="K7" s="324" t="s">
        <v>413</v>
      </c>
      <c r="L7" s="1158"/>
    </row>
    <row r="8" spans="1:12">
      <c r="A8" s="1197" t="s">
        <v>414</v>
      </c>
      <c r="B8" s="1197"/>
      <c r="C8" s="1197"/>
      <c r="D8" s="293" t="s">
        <v>415</v>
      </c>
      <c r="E8" s="325"/>
      <c r="F8" s="78"/>
      <c r="G8" s="78"/>
      <c r="H8" s="78"/>
      <c r="I8" s="78"/>
      <c r="J8" s="78"/>
      <c r="K8" s="78"/>
      <c r="L8" s="78" t="s">
        <v>416</v>
      </c>
    </row>
    <row r="9" spans="1:12" ht="15" customHeight="1">
      <c r="A9" s="1196" t="s">
        <v>417</v>
      </c>
      <c r="B9" s="1196"/>
      <c r="C9" s="292" t="s">
        <v>418</v>
      </c>
      <c r="D9" s="293">
        <v>1</v>
      </c>
      <c r="E9" s="78">
        <v>0</v>
      </c>
      <c r="F9" s="78">
        <v>0</v>
      </c>
      <c r="G9" s="78">
        <v>0</v>
      </c>
      <c r="H9" s="78">
        <v>0</v>
      </c>
      <c r="I9" s="78">
        <v>0</v>
      </c>
      <c r="J9" s="78">
        <v>0</v>
      </c>
      <c r="K9" s="78">
        <v>0</v>
      </c>
      <c r="L9" s="79">
        <f>SUM(E9:K9)</f>
        <v>0</v>
      </c>
    </row>
    <row r="10" spans="1:12">
      <c r="A10" s="1196"/>
      <c r="B10" s="1196"/>
      <c r="C10" s="292" t="s">
        <v>419</v>
      </c>
      <c r="D10" s="293">
        <v>2</v>
      </c>
      <c r="E10" s="78">
        <v>0</v>
      </c>
      <c r="F10" s="78">
        <v>0</v>
      </c>
      <c r="G10" s="78">
        <v>0</v>
      </c>
      <c r="H10" s="78">
        <v>0</v>
      </c>
      <c r="I10" s="78">
        <v>0</v>
      </c>
      <c r="J10" s="78">
        <v>0</v>
      </c>
      <c r="K10" s="78">
        <v>0</v>
      </c>
      <c r="L10" s="79">
        <f>SUM(E10:K10)</f>
        <v>0</v>
      </c>
    </row>
    <row r="11" spans="1:12" ht="15" customHeight="1">
      <c r="A11" s="1196" t="s">
        <v>420</v>
      </c>
      <c r="B11" s="1198" t="s">
        <v>421</v>
      </c>
      <c r="C11" s="1198"/>
      <c r="D11" s="293">
        <v>3</v>
      </c>
      <c r="E11" s="78">
        <v>0</v>
      </c>
      <c r="F11" s="78">
        <v>0</v>
      </c>
      <c r="G11" s="78">
        <v>0</v>
      </c>
      <c r="H11" s="78">
        <v>0</v>
      </c>
      <c r="I11" s="78">
        <v>0</v>
      </c>
      <c r="J11" s="78">
        <v>0</v>
      </c>
      <c r="K11" s="78">
        <v>0</v>
      </c>
      <c r="L11" s="79">
        <f t="shared" ref="L11:L35" si="0">SUM(E11:K11)</f>
        <v>0</v>
      </c>
    </row>
    <row r="12" spans="1:12" ht="15" customHeight="1">
      <c r="A12" s="1196"/>
      <c r="B12" s="1196" t="s">
        <v>422</v>
      </c>
      <c r="C12" s="292" t="s">
        <v>423</v>
      </c>
      <c r="D12" s="293">
        <v>4</v>
      </c>
      <c r="E12" s="78">
        <v>0</v>
      </c>
      <c r="F12" s="78">
        <v>0</v>
      </c>
      <c r="G12" s="78">
        <v>0</v>
      </c>
      <c r="H12" s="78">
        <v>0</v>
      </c>
      <c r="I12" s="78">
        <v>0</v>
      </c>
      <c r="J12" s="78">
        <v>0</v>
      </c>
      <c r="K12" s="78">
        <v>0</v>
      </c>
      <c r="L12" s="79">
        <f t="shared" si="0"/>
        <v>0</v>
      </c>
    </row>
    <row r="13" spans="1:12">
      <c r="A13" s="1196"/>
      <c r="B13" s="1196"/>
      <c r="C13" s="292" t="s">
        <v>352</v>
      </c>
      <c r="D13" s="293">
        <v>5</v>
      </c>
      <c r="E13" s="78">
        <v>0</v>
      </c>
      <c r="F13" s="78">
        <v>0</v>
      </c>
      <c r="G13" s="78">
        <v>0</v>
      </c>
      <c r="H13" s="78">
        <v>0</v>
      </c>
      <c r="I13" s="78">
        <v>0</v>
      </c>
      <c r="J13" s="78">
        <v>0</v>
      </c>
      <c r="K13" s="78">
        <v>0</v>
      </c>
      <c r="L13" s="79">
        <f t="shared" si="0"/>
        <v>0</v>
      </c>
    </row>
    <row r="14" spans="1:12">
      <c r="A14" s="1196"/>
      <c r="B14" s="1196"/>
      <c r="C14" s="292" t="s">
        <v>424</v>
      </c>
      <c r="D14" s="293">
        <v>6</v>
      </c>
      <c r="E14" s="78">
        <v>0</v>
      </c>
      <c r="F14" s="78">
        <v>0</v>
      </c>
      <c r="G14" s="78">
        <v>0</v>
      </c>
      <c r="H14" s="78">
        <v>0</v>
      </c>
      <c r="I14" s="78">
        <v>0</v>
      </c>
      <c r="J14" s="78">
        <v>0</v>
      </c>
      <c r="K14" s="78">
        <v>0</v>
      </c>
      <c r="L14" s="79">
        <f t="shared" si="0"/>
        <v>0</v>
      </c>
    </row>
    <row r="15" spans="1:12" ht="15" customHeight="1">
      <c r="A15" s="1196"/>
      <c r="B15" s="1196" t="s">
        <v>425</v>
      </c>
      <c r="C15" s="292" t="s">
        <v>426</v>
      </c>
      <c r="D15" s="293">
        <v>7</v>
      </c>
      <c r="E15" s="78">
        <v>0</v>
      </c>
      <c r="F15" s="78">
        <v>0</v>
      </c>
      <c r="G15" s="78">
        <v>0</v>
      </c>
      <c r="H15" s="78">
        <v>0</v>
      </c>
      <c r="I15" s="78">
        <v>0</v>
      </c>
      <c r="J15" s="78">
        <v>0</v>
      </c>
      <c r="K15" s="78">
        <v>0</v>
      </c>
      <c r="L15" s="79">
        <f t="shared" si="0"/>
        <v>0</v>
      </c>
    </row>
    <row r="16" spans="1:12">
      <c r="A16" s="1196"/>
      <c r="B16" s="1196"/>
      <c r="C16" s="292" t="s">
        <v>427</v>
      </c>
      <c r="D16" s="293">
        <v>8</v>
      </c>
      <c r="E16" s="78">
        <v>0</v>
      </c>
      <c r="F16" s="78">
        <v>0</v>
      </c>
      <c r="G16" s="78">
        <v>0</v>
      </c>
      <c r="H16" s="78">
        <v>0</v>
      </c>
      <c r="I16" s="78">
        <v>0</v>
      </c>
      <c r="J16" s="78">
        <v>0</v>
      </c>
      <c r="K16" s="78">
        <v>0</v>
      </c>
      <c r="L16" s="79">
        <f t="shared" si="0"/>
        <v>0</v>
      </c>
    </row>
    <row r="17" spans="1:12">
      <c r="A17" s="1196"/>
      <c r="B17" s="1198" t="s">
        <v>428</v>
      </c>
      <c r="C17" s="1198"/>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7" t="s">
        <v>429</v>
      </c>
      <c r="B18" s="1197"/>
      <c r="C18" s="292" t="s">
        <v>430</v>
      </c>
      <c r="D18" s="293">
        <v>10</v>
      </c>
      <c r="E18" s="78">
        <v>0</v>
      </c>
      <c r="F18" s="78">
        <v>0</v>
      </c>
      <c r="G18" s="78">
        <v>0</v>
      </c>
      <c r="H18" s="78">
        <v>0</v>
      </c>
      <c r="I18" s="78">
        <v>0</v>
      </c>
      <c r="J18" s="78">
        <v>0</v>
      </c>
      <c r="K18" s="78">
        <v>0</v>
      </c>
      <c r="L18" s="79">
        <f t="shared" si="0"/>
        <v>0</v>
      </c>
    </row>
    <row r="19" spans="1:12">
      <c r="A19" s="1197"/>
      <c r="B19" s="1197"/>
      <c r="C19" s="292" t="s">
        <v>431</v>
      </c>
      <c r="D19" s="293">
        <v>11</v>
      </c>
      <c r="E19" s="78">
        <v>0</v>
      </c>
      <c r="F19" s="78">
        <v>0</v>
      </c>
      <c r="G19" s="78">
        <v>0</v>
      </c>
      <c r="H19" s="78">
        <v>0</v>
      </c>
      <c r="I19" s="78">
        <v>0</v>
      </c>
      <c r="J19" s="78">
        <v>0</v>
      </c>
      <c r="K19" s="78">
        <v>0</v>
      </c>
      <c r="L19" s="79">
        <f t="shared" si="0"/>
        <v>0</v>
      </c>
    </row>
    <row r="20" spans="1:12" ht="15" customHeight="1">
      <c r="A20" s="1196" t="s">
        <v>432</v>
      </c>
      <c r="B20" s="1197" t="s">
        <v>433</v>
      </c>
      <c r="C20" s="1197"/>
      <c r="D20" s="293">
        <v>12</v>
      </c>
      <c r="E20" s="78">
        <v>0</v>
      </c>
      <c r="F20" s="78">
        <v>0</v>
      </c>
      <c r="G20" s="78">
        <v>0</v>
      </c>
      <c r="H20" s="78">
        <v>0</v>
      </c>
      <c r="I20" s="78">
        <v>0</v>
      </c>
      <c r="J20" s="78">
        <v>0</v>
      </c>
      <c r="K20" s="78">
        <v>0</v>
      </c>
      <c r="L20" s="79">
        <f t="shared" si="0"/>
        <v>0</v>
      </c>
    </row>
    <row r="21" spans="1:12">
      <c r="A21" s="1196"/>
      <c r="B21" s="1197" t="s">
        <v>434</v>
      </c>
      <c r="C21" s="1197"/>
      <c r="D21" s="293">
        <v>13</v>
      </c>
      <c r="E21" s="78">
        <v>0</v>
      </c>
      <c r="F21" s="78">
        <v>0</v>
      </c>
      <c r="G21" s="78">
        <v>0</v>
      </c>
      <c r="H21" s="78">
        <v>0</v>
      </c>
      <c r="I21" s="78">
        <v>0</v>
      </c>
      <c r="J21" s="78">
        <v>0</v>
      </c>
      <c r="K21" s="78">
        <v>0</v>
      </c>
      <c r="L21" s="79">
        <f t="shared" si="0"/>
        <v>0</v>
      </c>
    </row>
    <row r="22" spans="1:12" ht="15" customHeight="1">
      <c r="A22" s="1196"/>
      <c r="B22" s="1196" t="s">
        <v>435</v>
      </c>
      <c r="C22" s="292" t="s">
        <v>436</v>
      </c>
      <c r="D22" s="293">
        <v>14</v>
      </c>
      <c r="E22" s="78">
        <v>0</v>
      </c>
      <c r="F22" s="78">
        <v>0</v>
      </c>
      <c r="G22" s="78">
        <v>0</v>
      </c>
      <c r="H22" s="78">
        <v>0</v>
      </c>
      <c r="I22" s="78">
        <v>0</v>
      </c>
      <c r="J22" s="78">
        <v>0</v>
      </c>
      <c r="K22" s="78">
        <v>0</v>
      </c>
      <c r="L22" s="79">
        <f t="shared" si="0"/>
        <v>0</v>
      </c>
    </row>
    <row r="23" spans="1:12">
      <c r="A23" s="1196"/>
      <c r="B23" s="1196"/>
      <c r="C23" s="292" t="s">
        <v>437</v>
      </c>
      <c r="D23" s="293">
        <v>15</v>
      </c>
      <c r="E23" s="78">
        <v>0</v>
      </c>
      <c r="F23" s="78">
        <v>0</v>
      </c>
      <c r="G23" s="78">
        <v>0</v>
      </c>
      <c r="H23" s="78">
        <v>0</v>
      </c>
      <c r="I23" s="78">
        <v>0</v>
      </c>
      <c r="J23" s="78">
        <v>0</v>
      </c>
      <c r="K23" s="78">
        <v>0</v>
      </c>
      <c r="L23" s="79">
        <f t="shared" si="0"/>
        <v>0</v>
      </c>
    </row>
    <row r="24" spans="1:12" ht="15" customHeight="1">
      <c r="A24" s="1196" t="s">
        <v>438</v>
      </c>
      <c r="B24" s="1196"/>
      <c r="C24" s="293" t="s">
        <v>433</v>
      </c>
      <c r="D24" s="293">
        <v>16</v>
      </c>
      <c r="E24" s="80">
        <v>0</v>
      </c>
      <c r="F24" s="80">
        <v>0</v>
      </c>
      <c r="G24" s="80">
        <v>0</v>
      </c>
      <c r="H24" s="80">
        <v>0</v>
      </c>
      <c r="I24" s="80">
        <v>0</v>
      </c>
      <c r="J24" s="80">
        <v>0</v>
      </c>
      <c r="K24" s="80">
        <v>0</v>
      </c>
      <c r="L24" s="326">
        <f t="shared" si="0"/>
        <v>0</v>
      </c>
    </row>
    <row r="25" spans="1:12">
      <c r="A25" s="1196"/>
      <c r="B25" s="1196"/>
      <c r="C25" s="293" t="s">
        <v>434</v>
      </c>
      <c r="D25" s="293">
        <v>17</v>
      </c>
      <c r="E25" s="80">
        <v>0</v>
      </c>
      <c r="F25" s="80">
        <v>0</v>
      </c>
      <c r="G25" s="80">
        <v>0</v>
      </c>
      <c r="H25" s="80">
        <v>0</v>
      </c>
      <c r="I25" s="80">
        <v>0</v>
      </c>
      <c r="J25" s="80">
        <v>0</v>
      </c>
      <c r="K25" s="80">
        <v>0</v>
      </c>
      <c r="L25" s="326">
        <f t="shared" si="0"/>
        <v>0</v>
      </c>
    </row>
    <row r="26" spans="1:12">
      <c r="A26" s="1196"/>
      <c r="B26" s="1196"/>
      <c r="C26" s="293" t="s">
        <v>435</v>
      </c>
      <c r="D26" s="293">
        <v>18</v>
      </c>
      <c r="E26" s="80">
        <v>0</v>
      </c>
      <c r="F26" s="80">
        <v>0</v>
      </c>
      <c r="G26" s="80">
        <v>0</v>
      </c>
      <c r="H26" s="80">
        <v>0</v>
      </c>
      <c r="I26" s="80">
        <v>0</v>
      </c>
      <c r="J26" s="80">
        <v>0</v>
      </c>
      <c r="K26" s="80">
        <v>0</v>
      </c>
      <c r="L26" s="326">
        <f t="shared" si="0"/>
        <v>0</v>
      </c>
    </row>
    <row r="27" spans="1:12" ht="15" customHeight="1">
      <c r="A27" s="1196" t="s">
        <v>439</v>
      </c>
      <c r="B27" s="1196"/>
      <c r="C27" s="292" t="s">
        <v>440</v>
      </c>
      <c r="D27" s="293">
        <v>19</v>
      </c>
      <c r="E27" s="78">
        <v>0</v>
      </c>
      <c r="F27" s="78">
        <v>0</v>
      </c>
      <c r="G27" s="78">
        <v>0</v>
      </c>
      <c r="H27" s="78">
        <v>0</v>
      </c>
      <c r="I27" s="78">
        <v>0</v>
      </c>
      <c r="J27" s="78">
        <v>0</v>
      </c>
      <c r="K27" s="78">
        <v>0</v>
      </c>
      <c r="L27" s="79">
        <f t="shared" si="0"/>
        <v>0</v>
      </c>
    </row>
    <row r="28" spans="1:12">
      <c r="A28" s="1196"/>
      <c r="B28" s="1196"/>
      <c r="C28" s="292" t="s">
        <v>441</v>
      </c>
      <c r="D28" s="293">
        <v>20</v>
      </c>
      <c r="E28" s="78">
        <v>0</v>
      </c>
      <c r="F28" s="78">
        <v>0</v>
      </c>
      <c r="G28" s="78">
        <v>0</v>
      </c>
      <c r="H28" s="78">
        <v>0</v>
      </c>
      <c r="I28" s="78">
        <v>0</v>
      </c>
      <c r="J28" s="78">
        <v>0</v>
      </c>
      <c r="K28" s="78">
        <v>0</v>
      </c>
      <c r="L28" s="79">
        <f t="shared" si="0"/>
        <v>0</v>
      </c>
    </row>
    <row r="29" spans="1:12" ht="15" customHeight="1">
      <c r="A29" s="1196" t="s">
        <v>615</v>
      </c>
      <c r="B29" s="1197" t="s">
        <v>442</v>
      </c>
      <c r="C29" s="1197"/>
      <c r="D29" s="293">
        <v>21</v>
      </c>
      <c r="E29" s="78">
        <v>0</v>
      </c>
      <c r="F29" s="78">
        <v>0</v>
      </c>
      <c r="G29" s="78">
        <v>0</v>
      </c>
      <c r="H29" s="78">
        <v>0</v>
      </c>
      <c r="I29" s="78">
        <v>0</v>
      </c>
      <c r="J29" s="78">
        <v>0</v>
      </c>
      <c r="K29" s="78">
        <v>0</v>
      </c>
      <c r="L29" s="79">
        <f t="shared" si="0"/>
        <v>0</v>
      </c>
    </row>
    <row r="30" spans="1:12">
      <c r="A30" s="1196"/>
      <c r="B30" s="1197" t="s">
        <v>443</v>
      </c>
      <c r="C30" s="1197"/>
      <c r="D30" s="293">
        <v>22</v>
      </c>
      <c r="E30" s="78">
        <v>0</v>
      </c>
      <c r="F30" s="78">
        <v>0</v>
      </c>
      <c r="G30" s="78">
        <v>0</v>
      </c>
      <c r="H30" s="78">
        <v>0</v>
      </c>
      <c r="I30" s="78">
        <v>0</v>
      </c>
      <c r="J30" s="78">
        <v>0</v>
      </c>
      <c r="K30" s="78">
        <v>0</v>
      </c>
      <c r="L30" s="79">
        <f t="shared" si="0"/>
        <v>0</v>
      </c>
    </row>
    <row r="31" spans="1:12">
      <c r="A31" s="1196"/>
      <c r="B31" s="1197" t="s">
        <v>444</v>
      </c>
      <c r="C31" s="292" t="s">
        <v>608</v>
      </c>
      <c r="D31" s="293">
        <v>23</v>
      </c>
      <c r="E31" s="78">
        <v>0</v>
      </c>
      <c r="F31" s="78">
        <v>0</v>
      </c>
      <c r="G31" s="78">
        <v>0</v>
      </c>
      <c r="H31" s="78">
        <v>0</v>
      </c>
      <c r="I31" s="78">
        <v>0</v>
      </c>
      <c r="J31" s="78">
        <v>0</v>
      </c>
      <c r="K31" s="78">
        <v>0</v>
      </c>
      <c r="L31" s="79">
        <f t="shared" si="0"/>
        <v>0</v>
      </c>
    </row>
    <row r="32" spans="1:12">
      <c r="A32" s="1196"/>
      <c r="B32" s="1197"/>
      <c r="C32" s="292" t="s">
        <v>130</v>
      </c>
      <c r="D32" s="293">
        <v>24</v>
      </c>
      <c r="E32" s="78">
        <v>0</v>
      </c>
      <c r="F32" s="78">
        <v>0</v>
      </c>
      <c r="G32" s="78">
        <v>0</v>
      </c>
      <c r="H32" s="78">
        <v>0</v>
      </c>
      <c r="I32" s="78">
        <v>0</v>
      </c>
      <c r="J32" s="78">
        <v>0</v>
      </c>
      <c r="K32" s="78">
        <v>0</v>
      </c>
      <c r="L32" s="79">
        <f t="shared" si="0"/>
        <v>0</v>
      </c>
    </row>
    <row r="33" spans="1:12">
      <c r="A33" s="1196"/>
      <c r="B33" s="1197"/>
      <c r="C33" s="292" t="s">
        <v>128</v>
      </c>
      <c r="D33" s="293">
        <v>25</v>
      </c>
      <c r="E33" s="78">
        <v>0</v>
      </c>
      <c r="F33" s="78">
        <v>0</v>
      </c>
      <c r="G33" s="78">
        <v>0</v>
      </c>
      <c r="H33" s="78">
        <v>0</v>
      </c>
      <c r="I33" s="78">
        <v>0</v>
      </c>
      <c r="J33" s="78">
        <v>0</v>
      </c>
      <c r="K33" s="78">
        <v>0</v>
      </c>
      <c r="L33" s="79">
        <f t="shared" si="0"/>
        <v>0</v>
      </c>
    </row>
    <row r="34" spans="1:12">
      <c r="A34" s="1196"/>
      <c r="B34" s="1197"/>
      <c r="C34" s="292" t="s">
        <v>445</v>
      </c>
      <c r="D34" s="293">
        <v>26</v>
      </c>
      <c r="E34" s="78">
        <v>0</v>
      </c>
      <c r="F34" s="78">
        <v>0</v>
      </c>
      <c r="G34" s="78">
        <v>0</v>
      </c>
      <c r="H34" s="78">
        <v>0</v>
      </c>
      <c r="I34" s="78">
        <v>0</v>
      </c>
      <c r="J34" s="78">
        <v>0</v>
      </c>
      <c r="K34" s="78">
        <v>0</v>
      </c>
      <c r="L34" s="79">
        <f t="shared" si="0"/>
        <v>0</v>
      </c>
    </row>
    <row r="35" spans="1:12" ht="15" customHeight="1">
      <c r="A35" s="1196" t="s">
        <v>446</v>
      </c>
      <c r="B35" s="1196"/>
      <c r="C35" s="292" t="s">
        <v>447</v>
      </c>
      <c r="D35" s="293">
        <v>27</v>
      </c>
      <c r="E35" s="78">
        <v>0</v>
      </c>
      <c r="F35" s="78">
        <v>0</v>
      </c>
      <c r="G35" s="78">
        <v>0</v>
      </c>
      <c r="H35" s="78">
        <v>0</v>
      </c>
      <c r="I35" s="78">
        <v>0</v>
      </c>
      <c r="J35" s="78">
        <v>0</v>
      </c>
      <c r="K35" s="78">
        <v>0</v>
      </c>
      <c r="L35" s="79">
        <f t="shared" si="0"/>
        <v>0</v>
      </c>
    </row>
    <row r="36" spans="1:12">
      <c r="A36" s="1196"/>
      <c r="B36" s="1196"/>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94" t="s">
        <v>0</v>
      </c>
      <c r="B2" s="994"/>
      <c r="C2" s="994"/>
      <c r="F2" s="2"/>
      <c r="G2" s="2"/>
      <c r="H2" s="2"/>
      <c r="I2" s="2"/>
      <c r="J2" s="2"/>
    </row>
    <row r="3" spans="1:14">
      <c r="A3" s="995" t="s">
        <v>1486</v>
      </c>
      <c r="B3" s="995"/>
      <c r="C3" s="995"/>
      <c r="D3" s="8"/>
      <c r="E3" s="8"/>
      <c r="F3" s="4"/>
      <c r="G3" s="4"/>
      <c r="H3" s="4"/>
      <c r="I3" s="4"/>
      <c r="J3" s="4"/>
    </row>
    <row r="4" spans="1:14">
      <c r="A4" s="996" t="str">
        <f>+GB!A4</f>
        <v>БАНК БУС САНХҮҮГИЙН БАЙГУУЛЛАГА</v>
      </c>
      <c r="B4" s="996"/>
      <c r="C4" s="996"/>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97">
        <v>45473</v>
      </c>
      <c r="B7" s="997"/>
      <c r="C7" s="7"/>
      <c r="D7" s="8"/>
      <c r="E7" s="8"/>
      <c r="F7" s="8"/>
      <c r="G7" s="8"/>
      <c r="H7" s="38"/>
      <c r="I7" s="8"/>
      <c r="J7" s="8"/>
    </row>
    <row r="8" spans="1:14">
      <c r="A8" s="661" t="s">
        <v>2</v>
      </c>
      <c r="B8" s="661" t="s">
        <v>0</v>
      </c>
      <c r="C8" s="662" t="s">
        <v>3</v>
      </c>
      <c r="H8" s="394" t="s">
        <v>4</v>
      </c>
    </row>
    <row r="9" spans="1:14">
      <c r="A9" s="661" t="s">
        <v>5</v>
      </c>
      <c r="B9" s="998" t="s">
        <v>6</v>
      </c>
      <c r="C9" s="998"/>
      <c r="H9" s="394" t="s">
        <v>7</v>
      </c>
    </row>
    <row r="10" spans="1:14">
      <c r="A10" s="993">
        <v>1</v>
      </c>
      <c r="B10" s="654" t="s">
        <v>708</v>
      </c>
      <c r="C10" s="655">
        <f>SUM(C11:C13)</f>
        <v>0</v>
      </c>
      <c r="D10" s="10" t="str">
        <f>+IF(C10&gt;0,"","Утга нөхөх")</f>
        <v>Утга нөхөх</v>
      </c>
      <c r="E10" s="10"/>
      <c r="F10" s="10"/>
      <c r="H10" s="394"/>
    </row>
    <row r="11" spans="1:14">
      <c r="A11" s="993"/>
      <c r="B11" s="637" t="s">
        <v>8</v>
      </c>
      <c r="C11" s="638"/>
      <c r="D11" s="10" t="str">
        <f>+IF(C11&gt;0,"","Утга нөхөх")</f>
        <v>Утга нөхөх</v>
      </c>
      <c r="E11" s="10"/>
      <c r="F11" s="10"/>
      <c r="H11" s="38" t="s">
        <v>9</v>
      </c>
    </row>
    <row r="12" spans="1:14">
      <c r="A12" s="993"/>
      <c r="B12" s="637" t="s">
        <v>553</v>
      </c>
      <c r="C12" s="638"/>
      <c r="D12" s="10"/>
      <c r="E12" s="10"/>
      <c r="F12" s="10"/>
      <c r="H12" s="394" t="s">
        <v>11</v>
      </c>
    </row>
    <row r="13" spans="1:14">
      <c r="A13" s="993"/>
      <c r="B13" s="637" t="s">
        <v>10</v>
      </c>
      <c r="C13" s="638"/>
      <c r="F13" s="10"/>
      <c r="H13" s="394"/>
    </row>
    <row r="14" spans="1:14">
      <c r="A14" s="993"/>
      <c r="B14" s="637" t="s">
        <v>38</v>
      </c>
      <c r="C14" s="638"/>
      <c r="D14" s="10" t="str">
        <f>IF(GB!H11&gt;0,IF(Statistic!C14&gt;0,"","Утга нөхөх"),"")</f>
        <v/>
      </c>
      <c r="E14" s="10"/>
      <c r="F14" s="10"/>
      <c r="H14" s="394"/>
    </row>
    <row r="15" spans="1:14">
      <c r="A15" s="993"/>
      <c r="B15" s="637" t="s">
        <v>39</v>
      </c>
      <c r="C15" s="638"/>
      <c r="D15" s="10" t="str">
        <f>IF(GB!H75&gt;0,IF(Statistic!C15&gt;0,"","Утга нөхөх"),"")</f>
        <v/>
      </c>
      <c r="E15" s="10"/>
      <c r="F15" s="10"/>
      <c r="H15" s="38"/>
    </row>
    <row r="16" spans="1:14">
      <c r="A16" s="989">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89"/>
      <c r="B17" s="639" t="s">
        <v>12</v>
      </c>
      <c r="C17" s="640"/>
      <c r="D17" s="10"/>
      <c r="F17" s="10"/>
    </row>
    <row r="18" spans="1:6">
      <c r="A18" s="989"/>
      <c r="B18" s="639" t="s">
        <v>608</v>
      </c>
      <c r="C18" s="640"/>
      <c r="F18" s="10"/>
    </row>
    <row r="19" spans="1:6">
      <c r="A19" s="989"/>
      <c r="B19" s="665" t="s">
        <v>127</v>
      </c>
      <c r="C19" s="666">
        <f>SUM(C20:C22)</f>
        <v>0</v>
      </c>
      <c r="F19" s="10"/>
    </row>
    <row r="20" spans="1:6">
      <c r="A20" s="989"/>
      <c r="B20" s="639" t="s">
        <v>13</v>
      </c>
      <c r="C20" s="640"/>
      <c r="F20" s="10"/>
    </row>
    <row r="21" spans="1:6">
      <c r="A21" s="989"/>
      <c r="B21" s="639" t="s">
        <v>14</v>
      </c>
      <c r="C21" s="640"/>
      <c r="F21" s="10"/>
    </row>
    <row r="22" spans="1:6">
      <c r="A22" s="989"/>
      <c r="B22" s="639" t="s">
        <v>15</v>
      </c>
      <c r="C22" s="640"/>
      <c r="F22" s="10"/>
    </row>
    <row r="23" spans="1:6" ht="13.5">
      <c r="A23" s="989">
        <v>3</v>
      </c>
      <c r="B23" s="657" t="s">
        <v>1473</v>
      </c>
      <c r="C23" s="655">
        <f>SUM(C24:C27)</f>
        <v>0</v>
      </c>
      <c r="D23" s="10" t="str">
        <f>+IF(C23=C28,"","Зээлдэгчдийн боловсролын судалгааг нөхнө үү")</f>
        <v/>
      </c>
      <c r="E23" s="10"/>
      <c r="F23" s="10"/>
    </row>
    <row r="24" spans="1:6">
      <c r="A24" s="989"/>
      <c r="B24" s="641" t="s">
        <v>16</v>
      </c>
      <c r="C24" s="640"/>
      <c r="F24" s="10"/>
    </row>
    <row r="25" spans="1:6">
      <c r="A25" s="989"/>
      <c r="B25" s="641" t="s">
        <v>17</v>
      </c>
      <c r="C25" s="640"/>
      <c r="F25" s="10"/>
    </row>
    <row r="26" spans="1:6">
      <c r="A26" s="989"/>
      <c r="B26" s="639" t="s">
        <v>18</v>
      </c>
      <c r="C26" s="640"/>
      <c r="F26" s="10"/>
    </row>
    <row r="27" spans="1:6">
      <c r="A27" s="989"/>
      <c r="B27" s="639" t="s">
        <v>19</v>
      </c>
      <c r="C27" s="640"/>
      <c r="F27" s="10"/>
    </row>
    <row r="28" spans="1:6" ht="13.5">
      <c r="A28" s="989">
        <v>4</v>
      </c>
      <c r="B28" s="657" t="s">
        <v>1474</v>
      </c>
      <c r="C28" s="655">
        <f>SUM(C29:C33)</f>
        <v>0</v>
      </c>
      <c r="D28" s="10" t="str">
        <f>IF(SUM(C24:C27)=SUM(C29:C33),"","Зээлдэгчдийн насжилт болон боловсролын утга тэнцүү байх шаардлагатай")</f>
        <v/>
      </c>
      <c r="F28" s="10"/>
    </row>
    <row r="29" spans="1:6">
      <c r="A29" s="989"/>
      <c r="B29" s="642" t="s">
        <v>20</v>
      </c>
      <c r="C29" s="640"/>
      <c r="F29" s="10"/>
    </row>
    <row r="30" spans="1:6">
      <c r="A30" s="989"/>
      <c r="B30" s="642" t="s">
        <v>21</v>
      </c>
      <c r="C30" s="640"/>
      <c r="F30" s="10"/>
    </row>
    <row r="31" spans="1:6">
      <c r="A31" s="989"/>
      <c r="B31" s="642" t="s">
        <v>22</v>
      </c>
      <c r="C31" s="640"/>
      <c r="F31" s="10"/>
    </row>
    <row r="32" spans="1:6">
      <c r="A32" s="989"/>
      <c r="B32" s="642" t="s">
        <v>23</v>
      </c>
      <c r="C32" s="640"/>
      <c r="F32" s="10"/>
    </row>
    <row r="33" spans="1:6">
      <c r="A33" s="989"/>
      <c r="B33" s="642" t="s">
        <v>24</v>
      </c>
      <c r="C33" s="640"/>
    </row>
    <row r="34" spans="1:6">
      <c r="A34" s="661" t="s">
        <v>25</v>
      </c>
      <c r="B34" s="990" t="s">
        <v>26</v>
      </c>
      <c r="C34" s="990"/>
    </row>
    <row r="35" spans="1:6">
      <c r="A35" s="991">
        <v>7</v>
      </c>
      <c r="B35" s="658" t="s">
        <v>27</v>
      </c>
      <c r="C35" s="659"/>
      <c r="D35" s="10" t="str">
        <f>+IF(C35&gt;0,"","Утга нөхөх")</f>
        <v>Утга нөхөх</v>
      </c>
      <c r="E35" s="10"/>
    </row>
    <row r="36" spans="1:6">
      <c r="A36" s="991"/>
      <c r="B36" s="643" t="s">
        <v>28</v>
      </c>
      <c r="C36" s="644"/>
      <c r="D36" s="10" t="str">
        <f>+IF(C36&gt;0,IF(C36&lt;=C35,"","Зөвхөн эмэгтэй ажилтнуудын тоог оруулна уу!"),"Утга нөхөх")</f>
        <v>Утга нөхөх</v>
      </c>
      <c r="E36" s="10"/>
    </row>
    <row r="37" spans="1:6">
      <c r="A37" s="985">
        <v>9</v>
      </c>
      <c r="B37" s="656" t="s">
        <v>30</v>
      </c>
      <c r="C37" s="645"/>
      <c r="D37" s="10" t="str">
        <f>+IF(C37&gt;0,"","Сонгох")</f>
        <v>Сонгох</v>
      </c>
      <c r="E37" s="10"/>
    </row>
    <row r="38" spans="1:6">
      <c r="A38" s="985"/>
      <c r="B38" s="646" t="s">
        <v>35</v>
      </c>
      <c r="C38" s="647"/>
      <c r="D38" s="10" t="str">
        <f>+IF(C38&gt;0,"","Утга нөхөх")</f>
        <v>Утга нөхөх</v>
      </c>
      <c r="E38" s="10"/>
    </row>
    <row r="39" spans="1:6">
      <c r="A39" s="985"/>
      <c r="B39" s="646" t="s">
        <v>36</v>
      </c>
      <c r="C39" s="647"/>
      <c r="D39" s="10" t="str">
        <f>+IF(C39&gt;0,"","Утга нөхөх")</f>
        <v>Утга нөхөх</v>
      </c>
      <c r="E39" s="10"/>
    </row>
    <row r="40" spans="1:6">
      <c r="A40" s="985">
        <v>10</v>
      </c>
      <c r="B40" s="992" t="s">
        <v>594</v>
      </c>
      <c r="C40" s="992"/>
      <c r="D40" s="10"/>
      <c r="E40" s="10"/>
    </row>
    <row r="41" spans="1:6">
      <c r="A41" s="985"/>
      <c r="B41" s="481" t="s">
        <v>37</v>
      </c>
      <c r="C41" s="648"/>
      <c r="D41" s="10" t="str">
        <f>IF(C41&gt;200000,"","Заавал нөхнө үү!")</f>
        <v>Заавал нөхнө үү!</v>
      </c>
      <c r="E41" s="10"/>
    </row>
    <row r="42" spans="1:6" ht="15">
      <c r="A42" s="985"/>
      <c r="B42" s="481" t="s">
        <v>668</v>
      </c>
      <c r="C42" s="649"/>
      <c r="D42" s="10" t="str">
        <f>IF(C42&gt;0,"","Утга нөхөх")</f>
        <v>Утга нөхөх</v>
      </c>
      <c r="E42" s="10"/>
    </row>
    <row r="43" spans="1:6">
      <c r="A43" s="98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1494</v>
      </c>
      <c r="C45" s="650"/>
      <c r="D45" s="10" t="str">
        <f>+IF(C45&gt;0,"","Утга нөхөх")</f>
        <v>Утга нөхөх</v>
      </c>
      <c r="E45" s="10"/>
      <c r="F45" s="20"/>
    </row>
    <row r="46" spans="1:6">
      <c r="A46" s="986">
        <v>17</v>
      </c>
      <c r="B46" s="987" t="s">
        <v>31</v>
      </c>
      <c r="C46" s="987"/>
    </row>
    <row r="47" spans="1:6">
      <c r="A47" s="986"/>
      <c r="B47" s="651" t="s">
        <v>583</v>
      </c>
      <c r="C47" s="652"/>
      <c r="D47" s="10" t="str">
        <f>IF(C47&gt;0,IF(C50&gt;0,"","C50 нүдэнд харгалзах дүнг оруулна уу"),"")</f>
        <v/>
      </c>
      <c r="E47" s="10"/>
    </row>
    <row r="48" spans="1:6">
      <c r="A48" s="986"/>
      <c r="B48" s="651" t="s">
        <v>584</v>
      </c>
      <c r="C48" s="652"/>
      <c r="D48" s="10" t="str">
        <f>IF(C48&gt;0,IF(C51&gt;0,"","C51 нүдэнд харгалзах дүнг оруулна уу"),"")</f>
        <v/>
      </c>
      <c r="E48" s="10"/>
    </row>
    <row r="49" spans="1:7">
      <c r="A49" s="986"/>
      <c r="B49" s="987" t="s">
        <v>32</v>
      </c>
      <c r="C49" s="987"/>
      <c r="D49" s="10"/>
      <c r="E49" s="10"/>
    </row>
    <row r="50" spans="1:7">
      <c r="A50" s="986"/>
      <c r="B50" s="651" t="s">
        <v>585</v>
      </c>
      <c r="C50" s="653"/>
      <c r="D50" s="10"/>
      <c r="E50" s="10"/>
    </row>
    <row r="51" spans="1:7">
      <c r="A51" s="98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8" t="s">
        <v>33</v>
      </c>
      <c r="B56" s="98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84" t="s">
        <v>1484</v>
      </c>
      <c r="C60" s="984"/>
    </row>
    <row r="61" spans="1:7">
      <c r="A61" s="27"/>
      <c r="B61" s="19"/>
      <c r="C61" s="19"/>
    </row>
    <row r="62" spans="1:7">
      <c r="A62" s="27"/>
      <c r="B62" s="984" t="s">
        <v>1485</v>
      </c>
      <c r="C62" s="984"/>
    </row>
    <row r="63" spans="1:7">
      <c r="A63" s="27"/>
      <c r="B63" s="19"/>
      <c r="C63" s="19"/>
    </row>
    <row r="64" spans="1:7">
      <c r="A64" s="27"/>
      <c r="B64" s="984"/>
      <c r="C64" s="984"/>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94" t="s">
        <v>449</v>
      </c>
      <c r="B2" s="994"/>
      <c r="C2" s="994"/>
      <c r="D2" s="994"/>
      <c r="E2" s="994"/>
      <c r="F2" s="994"/>
      <c r="G2" s="994"/>
      <c r="H2" s="994"/>
      <c r="I2" s="994"/>
    </row>
    <row r="3" spans="1:9">
      <c r="A3" s="1002" t="str">
        <f>+GB!A3</f>
        <v xml:space="preserve">БАНК БУС САНХҮҮГИЙН БАЙГУУЛЛАГЫН НЭР </v>
      </c>
      <c r="B3" s="1002"/>
      <c r="C3" s="1002"/>
      <c r="D3" s="1002"/>
      <c r="E3" s="1002"/>
      <c r="F3" s="1002"/>
      <c r="G3" s="1002"/>
      <c r="H3" s="1002"/>
      <c r="I3" s="1002"/>
    </row>
    <row r="4" spans="1:9">
      <c r="A4" s="994" t="str">
        <f>+GB!A4</f>
        <v>БАНК БУС САНХҮҮГИЙН БАЙГУУЛЛАГА</v>
      </c>
      <c r="B4" s="994"/>
      <c r="C4" s="994"/>
      <c r="D4" s="994"/>
      <c r="E4" s="994"/>
      <c r="F4" s="994"/>
      <c r="G4" s="994"/>
      <c r="H4" s="994"/>
      <c r="I4" s="994"/>
    </row>
    <row r="5" spans="1:9" ht="15.75" customHeight="1">
      <c r="A5" s="1140">
        <f>+GB!A6</f>
        <v>45473</v>
      </c>
      <c r="B5" s="1140"/>
      <c r="H5" s="1144" t="s">
        <v>41</v>
      </c>
      <c r="I5" s="1144"/>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94" t="s">
        <v>340</v>
      </c>
      <c r="B2" s="994"/>
      <c r="C2" s="994"/>
      <c r="D2" s="994"/>
      <c r="E2" s="994"/>
      <c r="F2" s="994"/>
      <c r="G2" s="994"/>
      <c r="H2" s="994"/>
      <c r="I2" s="994"/>
      <c r="J2" s="994"/>
      <c r="K2" s="994"/>
      <c r="L2" s="994"/>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94" t="str">
        <f>+GB!A4</f>
        <v>БАНК БУС САНХҮҮГИЙН БАЙГУУЛЛАГА</v>
      </c>
      <c r="B4" s="994"/>
      <c r="C4" s="994"/>
      <c r="D4" s="994"/>
      <c r="E4" s="994"/>
      <c r="F4" s="994"/>
      <c r="G4" s="994"/>
      <c r="H4" s="994"/>
      <c r="I4" s="994"/>
      <c r="J4" s="994"/>
      <c r="K4" s="994"/>
      <c r="L4" s="994"/>
    </row>
    <row r="5" spans="1:13">
      <c r="A5" s="1140">
        <f>GB!A6</f>
        <v>45473</v>
      </c>
      <c r="B5" s="1140"/>
      <c r="C5" s="244"/>
      <c r="L5" s="1144" t="s">
        <v>41</v>
      </c>
      <c r="M5" s="1144"/>
    </row>
    <row r="6" spans="1:13">
      <c r="A6" s="1175" t="s">
        <v>2</v>
      </c>
      <c r="B6" s="1203" t="s">
        <v>705</v>
      </c>
      <c r="C6" s="1204"/>
      <c r="D6" s="1169" t="s">
        <v>341</v>
      </c>
      <c r="E6" s="1187" t="s">
        <v>533</v>
      </c>
      <c r="F6" s="1175" t="s">
        <v>342</v>
      </c>
      <c r="G6" s="1175" t="s">
        <v>290</v>
      </c>
      <c r="H6" s="1175" t="s">
        <v>343</v>
      </c>
      <c r="I6" s="1175" t="s">
        <v>344</v>
      </c>
      <c r="J6" s="1169" t="s">
        <v>345</v>
      </c>
      <c r="K6" s="1169" t="s">
        <v>346</v>
      </c>
      <c r="L6" s="1169" t="s">
        <v>347</v>
      </c>
      <c r="M6" s="1205" t="s">
        <v>297</v>
      </c>
    </row>
    <row r="7" spans="1:13">
      <c r="A7" s="1176"/>
      <c r="B7" s="247" t="s">
        <v>530</v>
      </c>
      <c r="C7" s="247" t="s">
        <v>531</v>
      </c>
      <c r="D7" s="1170"/>
      <c r="E7" s="1188"/>
      <c r="F7" s="1176"/>
      <c r="G7" s="1176"/>
      <c r="H7" s="1176"/>
      <c r="I7" s="1176"/>
      <c r="J7" s="1170"/>
      <c r="K7" s="1170"/>
      <c r="L7" s="1170"/>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94" t="s">
        <v>458</v>
      </c>
      <c r="B2" s="994"/>
      <c r="C2" s="994"/>
      <c r="D2" s="994"/>
      <c r="E2" s="994"/>
      <c r="F2" s="994"/>
      <c r="G2" s="994"/>
      <c r="H2" s="994"/>
      <c r="I2" s="994"/>
      <c r="J2" s="994"/>
    </row>
    <row r="3" spans="1:12">
      <c r="A3" s="1002" t="str">
        <f>GB!A3</f>
        <v xml:space="preserve">БАНК БУС САНХҮҮГИЙН БАЙГУУЛЛАГЫН НЭР </v>
      </c>
      <c r="B3" s="1002"/>
      <c r="C3" s="1002"/>
      <c r="D3" s="1002"/>
      <c r="E3" s="1002"/>
      <c r="F3" s="1002"/>
      <c r="G3" s="1002"/>
      <c r="H3" s="1002"/>
      <c r="I3" s="1002"/>
      <c r="J3" s="1002"/>
    </row>
    <row r="4" spans="1:12">
      <c r="A4" s="994" t="str">
        <f>GB!A4</f>
        <v>БАНК БУС САНХҮҮГИЙН БАЙГУУЛЛАГА</v>
      </c>
      <c r="B4" s="994"/>
      <c r="C4" s="994"/>
      <c r="D4" s="994"/>
      <c r="E4" s="994"/>
      <c r="F4" s="994"/>
      <c r="G4" s="994"/>
      <c r="H4" s="994"/>
      <c r="I4" s="994"/>
      <c r="J4" s="994"/>
    </row>
    <row r="5" spans="1:12">
      <c r="A5" s="1140">
        <f>GB!A6</f>
        <v>45473</v>
      </c>
      <c r="B5" s="1140"/>
      <c r="C5" s="244"/>
      <c r="I5" s="1194" t="s">
        <v>41</v>
      </c>
      <c r="J5" s="1194"/>
    </row>
    <row r="6" spans="1:12" ht="25.5" customHeight="1">
      <c r="A6" s="1167" t="s">
        <v>2</v>
      </c>
      <c r="B6" s="1189" t="s">
        <v>536</v>
      </c>
      <c r="C6" s="1190"/>
      <c r="D6" s="1169" t="s">
        <v>459</v>
      </c>
      <c r="E6" s="1187" t="s">
        <v>542</v>
      </c>
      <c r="F6" s="1175" t="s">
        <v>543</v>
      </c>
      <c r="G6" s="1167" t="s">
        <v>460</v>
      </c>
      <c r="H6" s="1167" t="s">
        <v>290</v>
      </c>
      <c r="I6" s="1207" t="s">
        <v>235</v>
      </c>
      <c r="J6" s="1187" t="s">
        <v>461</v>
      </c>
    </row>
    <row r="7" spans="1:12">
      <c r="A7" s="1168"/>
      <c r="B7" s="82" t="s">
        <v>530</v>
      </c>
      <c r="C7" s="82" t="s">
        <v>531</v>
      </c>
      <c r="D7" s="1170"/>
      <c r="E7" s="1188"/>
      <c r="F7" s="1176"/>
      <c r="G7" s="1168"/>
      <c r="H7" s="1168"/>
      <c r="I7" s="1208"/>
      <c r="J7" s="1188"/>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4" t="s">
        <v>265</v>
      </c>
      <c r="B2" s="1214"/>
      <c r="C2" s="1214"/>
      <c r="D2" s="1214"/>
      <c r="E2" s="1214"/>
      <c r="F2" s="1214"/>
      <c r="G2" s="1214"/>
      <c r="H2" s="1214"/>
      <c r="I2" s="1214"/>
      <c r="J2" s="1214"/>
      <c r="K2" s="1214"/>
    </row>
    <row r="3" spans="1:11">
      <c r="A3" s="1215" t="str">
        <f>GB!A3</f>
        <v xml:space="preserve">БАНК БУС САНХҮҮГИЙН БАЙГУУЛЛАГЫН НЭР </v>
      </c>
      <c r="B3" s="1215"/>
      <c r="C3" s="1215"/>
      <c r="D3" s="1215"/>
      <c r="E3" s="1215"/>
      <c r="F3" s="1215"/>
      <c r="G3" s="1215"/>
      <c r="H3" s="1215"/>
      <c r="I3" s="1215"/>
      <c r="J3" s="1215"/>
      <c r="K3" s="1215"/>
    </row>
    <row r="4" spans="1:11">
      <c r="A4" s="1214" t="str">
        <f>+GB!A4</f>
        <v>БАНК БУС САНХҮҮГИЙН БАЙГУУЛЛАГА</v>
      </c>
      <c r="B4" s="1214"/>
      <c r="C4" s="1214"/>
      <c r="D4" s="1214"/>
      <c r="E4" s="1214"/>
      <c r="F4" s="1214"/>
      <c r="G4" s="1214"/>
      <c r="H4" s="1214"/>
      <c r="I4" s="1214"/>
      <c r="J4" s="1214"/>
      <c r="K4" s="1214"/>
    </row>
    <row r="5" spans="1:11">
      <c r="A5" s="971"/>
      <c r="B5" s="971"/>
      <c r="C5" s="971"/>
      <c r="D5" s="971"/>
      <c r="E5" s="971"/>
      <c r="F5" s="971"/>
      <c r="G5" s="971"/>
      <c r="H5" s="971"/>
      <c r="I5" s="971"/>
      <c r="J5" s="971"/>
      <c r="K5" s="971"/>
    </row>
    <row r="6" spans="1:11">
      <c r="A6" s="1216">
        <f>GB!A6</f>
        <v>45473</v>
      </c>
      <c r="B6" s="1216"/>
      <c r="J6" s="1217" t="s">
        <v>41</v>
      </c>
      <c r="K6" s="1217"/>
    </row>
    <row r="7" spans="1:11" ht="18.75" customHeight="1">
      <c r="A7" s="1213" t="s">
        <v>266</v>
      </c>
      <c r="B7" s="1213"/>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0" t="s">
        <v>280</v>
      </c>
      <c r="B16" s="1210"/>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1" t="s">
        <v>281</v>
      </c>
      <c r="B17" s="1211"/>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0" t="s">
        <v>282</v>
      </c>
      <c r="B35" s="1210"/>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2" t="s">
        <v>283</v>
      </c>
      <c r="B36" s="1212"/>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2" t="s">
        <v>284</v>
      </c>
      <c r="B37" s="1212"/>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09" t="s">
        <v>285</v>
      </c>
      <c r="B38" s="1209"/>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94" t="s">
        <v>467</v>
      </c>
      <c r="B2" s="994"/>
      <c r="C2" s="994"/>
      <c r="D2" s="994"/>
      <c r="E2" s="994"/>
      <c r="F2" s="994"/>
      <c r="G2" s="994"/>
      <c r="H2" s="994"/>
      <c r="I2" s="994"/>
      <c r="J2" s="994"/>
      <c r="K2" s="994"/>
      <c r="L2" s="994"/>
      <c r="M2" s="994"/>
      <c r="N2" s="994"/>
      <c r="O2" s="994"/>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94" t="str">
        <f>+GB!A4</f>
        <v>БАНК БУС САНХҮҮГИЙН БАЙГУУЛЛАГА</v>
      </c>
      <c r="B4" s="994"/>
      <c r="C4" s="994"/>
      <c r="D4" s="994"/>
      <c r="E4" s="994"/>
      <c r="F4" s="994"/>
      <c r="G4" s="994"/>
      <c r="H4" s="994"/>
      <c r="I4" s="994"/>
      <c r="J4" s="994"/>
      <c r="K4" s="994"/>
      <c r="L4" s="994"/>
      <c r="M4" s="994"/>
      <c r="N4" s="994"/>
      <c r="O4" s="994"/>
    </row>
    <row r="5" spans="1:15">
      <c r="A5" s="1"/>
      <c r="B5" s="1"/>
      <c r="C5" s="1"/>
      <c r="D5" s="1"/>
      <c r="E5" s="1"/>
      <c r="F5" s="1"/>
      <c r="G5" s="1"/>
      <c r="H5" s="1"/>
      <c r="I5" s="1"/>
      <c r="J5" s="1"/>
      <c r="K5" s="1"/>
      <c r="L5" s="1"/>
      <c r="M5" s="1"/>
      <c r="N5" s="1"/>
      <c r="O5" s="1"/>
    </row>
    <row r="6" spans="1:15">
      <c r="A6" s="1221">
        <f>+GB!A6</f>
        <v>45473</v>
      </c>
      <c r="B6" s="1221"/>
      <c r="N6" s="1194" t="s">
        <v>41</v>
      </c>
      <c r="O6" s="1194"/>
    </row>
    <row r="7" spans="1:15" ht="21" customHeight="1">
      <c r="A7" s="1220" t="s">
        <v>2</v>
      </c>
      <c r="B7" s="1219" t="s">
        <v>43</v>
      </c>
      <c r="C7" s="1220" t="s">
        <v>468</v>
      </c>
      <c r="D7" s="1220" t="s">
        <v>469</v>
      </c>
      <c r="E7" s="1220" t="s">
        <v>470</v>
      </c>
      <c r="F7" s="1219" t="s">
        <v>471</v>
      </c>
      <c r="G7" s="1220" t="s">
        <v>472</v>
      </c>
      <c r="H7" s="1220" t="s">
        <v>469</v>
      </c>
      <c r="I7" s="1219" t="s">
        <v>473</v>
      </c>
      <c r="J7" s="1220" t="s">
        <v>474</v>
      </c>
      <c r="K7" s="1220"/>
      <c r="L7" s="1220"/>
      <c r="M7" s="1224" t="s">
        <v>475</v>
      </c>
      <c r="N7" s="1224"/>
      <c r="O7" s="1222" t="s">
        <v>297</v>
      </c>
    </row>
    <row r="8" spans="1:15" ht="21" customHeight="1">
      <c r="A8" s="1220"/>
      <c r="B8" s="1219"/>
      <c r="C8" s="1220"/>
      <c r="D8" s="1220"/>
      <c r="E8" s="1220"/>
      <c r="F8" s="1219"/>
      <c r="G8" s="1220"/>
      <c r="H8" s="1220"/>
      <c r="I8" s="1219"/>
      <c r="J8" s="82" t="s">
        <v>476</v>
      </c>
      <c r="K8" s="82" t="s">
        <v>477</v>
      </c>
      <c r="L8" s="82" t="s">
        <v>478</v>
      </c>
      <c r="M8" s="214" t="s">
        <v>208</v>
      </c>
      <c r="N8" s="214" t="s">
        <v>313</v>
      </c>
      <c r="O8" s="1222"/>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3" t="s">
        <v>3</v>
      </c>
      <c r="B14" s="1223"/>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3" t="s">
        <v>3</v>
      </c>
      <c r="B20" s="1223"/>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3" t="s">
        <v>3</v>
      </c>
      <c r="B26" s="1223"/>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18" t="s">
        <v>462</v>
      </c>
      <c r="N28" s="1218"/>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94" t="s">
        <v>491</v>
      </c>
      <c r="B2" s="994"/>
      <c r="C2" s="994"/>
      <c r="D2" s="994"/>
      <c r="E2" s="994"/>
    </row>
    <row r="3" spans="1:5">
      <c r="A3" s="1002" t="str">
        <f>+GB!A3</f>
        <v xml:space="preserve">БАНК БУС САНХҮҮГИЙН БАЙГУУЛЛАГЫН НЭР </v>
      </c>
      <c r="B3" s="1002"/>
      <c r="C3" s="1002"/>
      <c r="D3" s="1002"/>
      <c r="E3" s="1002"/>
    </row>
    <row r="4" spans="1:5">
      <c r="A4" s="994" t="str">
        <f>+GB!A4</f>
        <v>БАНК БУС САНХҮҮГИЙН БАЙГУУЛЛАГА</v>
      </c>
      <c r="B4" s="994"/>
      <c r="C4" s="994"/>
      <c r="D4" s="994"/>
      <c r="E4" s="994"/>
    </row>
    <row r="5" spans="1:5">
      <c r="A5" s="1"/>
      <c r="B5" s="1"/>
      <c r="C5" s="1"/>
      <c r="D5" s="1"/>
      <c r="E5" s="18"/>
    </row>
    <row r="6" spans="1:5">
      <c r="A6" s="1140">
        <f>+GB!A6</f>
        <v>45473</v>
      </c>
      <c r="B6" s="1140"/>
    </row>
    <row r="7" spans="1:5">
      <c r="A7" s="233" t="s">
        <v>2</v>
      </c>
      <c r="B7" s="21" t="s">
        <v>492</v>
      </c>
      <c r="C7" s="233" t="s">
        <v>493</v>
      </c>
      <c r="D7" s="234" t="s">
        <v>494</v>
      </c>
      <c r="E7" s="233" t="s">
        <v>495</v>
      </c>
    </row>
    <row r="8" spans="1:5">
      <c r="A8" s="233" t="s">
        <v>239</v>
      </c>
      <c r="B8" s="1225" t="s">
        <v>496</v>
      </c>
      <c r="C8" s="1225"/>
      <c r="D8" s="1225"/>
      <c r="E8" s="1225"/>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5" t="s">
        <v>499</v>
      </c>
      <c r="C12" s="1225"/>
      <c r="D12" s="1225"/>
      <c r="E12" s="1225"/>
    </row>
    <row r="13" spans="1:5">
      <c r="A13" s="25">
        <v>4</v>
      </c>
      <c r="B13" s="23" t="s">
        <v>499</v>
      </c>
      <c r="C13" s="25" t="s">
        <v>500</v>
      </c>
      <c r="D13" s="239" t="str">
        <f>+Liquidity!E27</f>
        <v>-</v>
      </c>
      <c r="E13" s="250" t="str">
        <f>+Liquidity!E28</f>
        <v>-</v>
      </c>
    </row>
    <row r="14" spans="1:5">
      <c r="A14" s="233" t="s">
        <v>250</v>
      </c>
      <c r="B14" s="1225" t="s">
        <v>501</v>
      </c>
      <c r="C14" s="1225"/>
      <c r="D14" s="1225"/>
      <c r="E14" s="1225"/>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5" t="s">
        <v>515</v>
      </c>
      <c r="C25" s="1225"/>
      <c r="D25" s="1225"/>
      <c r="E25" s="1225"/>
    </row>
    <row r="26" spans="1:5" ht="25.5">
      <c r="A26" s="25">
        <v>15</v>
      </c>
      <c r="B26" s="238" t="s">
        <v>516</v>
      </c>
      <c r="C26" s="25" t="s">
        <v>517</v>
      </c>
      <c r="D26" s="867" t="e">
        <f>Forex!M30</f>
        <v>#DIV/0!</v>
      </c>
      <c r="E26" s="250" t="e">
        <f>IF(AND(D26&lt;0.4,D26&gt;-0.4),"Хангасан","Хангаагүй")</f>
        <v>#DIV/0!</v>
      </c>
    </row>
    <row r="27" spans="1:5">
      <c r="A27" s="233" t="s">
        <v>195</v>
      </c>
      <c r="B27" s="1225" t="s">
        <v>544</v>
      </c>
      <c r="C27" s="1225"/>
      <c r="D27" s="1225"/>
      <c r="E27" s="1225"/>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5" t="s">
        <v>520</v>
      </c>
      <c r="C30" s="1225"/>
      <c r="D30" s="1225"/>
      <c r="E30" s="1225"/>
    </row>
    <row r="31" spans="1:5">
      <c r="A31" s="25">
        <v>17</v>
      </c>
      <c r="B31" s="23" t="s">
        <v>521</v>
      </c>
      <c r="C31" s="25" t="s">
        <v>522</v>
      </c>
      <c r="D31" s="867" t="e">
        <f>+BS!D83/BS!D102</f>
        <v>#DIV/0!</v>
      </c>
      <c r="E31" s="250" t="e">
        <f>+IF(D31&gt;0.15,"Хангаагүй","Хангасан")</f>
        <v>#DIV/0!</v>
      </c>
    </row>
    <row r="32" spans="1:5">
      <c r="A32" s="233" t="s">
        <v>524</v>
      </c>
      <c r="B32" s="1225" t="s">
        <v>525</v>
      </c>
      <c r="C32" s="1225"/>
      <c r="D32" s="1225"/>
      <c r="E32" s="1225"/>
    </row>
    <row r="33" spans="1:5" ht="15.75" customHeight="1">
      <c r="A33" s="25">
        <v>19</v>
      </c>
      <c r="B33" s="23" t="s">
        <v>526</v>
      </c>
      <c r="C33" s="1226" t="e">
        <f>+IS!D208/((Statistic!C44+BS!D102)/2)</f>
        <v>#DIV/0!</v>
      </c>
      <c r="D33" s="1226"/>
      <c r="E33" s="1226"/>
    </row>
    <row r="34" spans="1:5" ht="15.75" customHeight="1">
      <c r="A34" s="25">
        <v>20</v>
      </c>
      <c r="B34" s="23" t="s">
        <v>527</v>
      </c>
      <c r="C34" s="1226" t="e">
        <f>+IS!D208/((Statistic!C45+BS!I96)/2)</f>
        <v>#DIV/0!</v>
      </c>
      <c r="D34" s="1226"/>
      <c r="E34" s="1226"/>
    </row>
    <row r="37" spans="1:5">
      <c r="A37" s="988" t="s">
        <v>33</v>
      </c>
      <c r="B37" s="98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D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27" t="s">
        <v>349</v>
      </c>
      <c r="B2" s="1227"/>
      <c r="C2" s="1227"/>
      <c r="D2" s="1227"/>
      <c r="E2" s="1227"/>
      <c r="F2" s="1227"/>
      <c r="G2" s="1227"/>
      <c r="H2" s="1227"/>
      <c r="I2" s="1227"/>
      <c r="J2" s="1227"/>
      <c r="K2" s="1227"/>
      <c r="L2" s="1227"/>
      <c r="M2" s="1227"/>
      <c r="N2" s="1227"/>
      <c r="O2" s="1227"/>
      <c r="P2" s="1227"/>
    </row>
    <row r="3" spans="1:18">
      <c r="A3" s="1228" t="str">
        <f>+GB!A3</f>
        <v xml:space="preserve">БАНК БУС САНХҮҮГИЙН БАЙГУУЛЛАГЫН НЭР </v>
      </c>
      <c r="B3" s="1228"/>
      <c r="C3" s="1228"/>
      <c r="D3" s="1228"/>
      <c r="E3" s="1228"/>
      <c r="F3" s="1228"/>
      <c r="G3" s="1228"/>
      <c r="H3" s="1228"/>
      <c r="I3" s="1228"/>
      <c r="J3" s="1228"/>
      <c r="K3" s="1228"/>
      <c r="L3" s="1228"/>
      <c r="M3" s="1228"/>
      <c r="N3" s="1228"/>
      <c r="O3" s="1228"/>
      <c r="P3" s="1228"/>
    </row>
    <row r="4" spans="1:18">
      <c r="A4" s="1229" t="str">
        <f>+GB!A4</f>
        <v>БАНК БУС САНХҮҮГИЙН БАЙГУУЛЛАГА</v>
      </c>
      <c r="B4" s="1229"/>
      <c r="C4" s="1229"/>
      <c r="D4" s="1229"/>
      <c r="E4" s="1229"/>
      <c r="F4" s="1229"/>
      <c r="G4" s="1229"/>
      <c r="H4" s="1229"/>
      <c r="I4" s="1229"/>
      <c r="J4" s="1229"/>
      <c r="K4" s="1229"/>
      <c r="L4" s="1229"/>
      <c r="M4" s="1229"/>
      <c r="N4" s="1229"/>
      <c r="O4" s="1229"/>
      <c r="P4" s="1229"/>
    </row>
    <row r="5" spans="1:18">
      <c r="A5" s="334"/>
      <c r="B5" s="334"/>
      <c r="C5" s="936"/>
      <c r="D5" s="334"/>
      <c r="E5" s="335"/>
      <c r="F5" s="336"/>
      <c r="G5" s="334"/>
      <c r="H5" s="335"/>
      <c r="I5" s="335"/>
      <c r="J5" s="334"/>
      <c r="K5" s="936"/>
      <c r="L5" s="334"/>
      <c r="M5" s="334"/>
      <c r="N5" s="335"/>
      <c r="O5" s="336"/>
      <c r="P5" s="336"/>
    </row>
    <row r="6" spans="1:18">
      <c r="A6" s="919">
        <f>+GB!A6</f>
        <v>45473</v>
      </c>
      <c r="B6" s="380"/>
      <c r="C6" s="937"/>
      <c r="D6" s="337"/>
      <c r="E6" s="338"/>
      <c r="F6" s="339"/>
      <c r="G6" s="340"/>
      <c r="H6" s="1230"/>
      <c r="I6" s="1230"/>
      <c r="J6" s="1230"/>
      <c r="K6" s="940"/>
      <c r="L6" s="341"/>
      <c r="M6" s="341"/>
      <c r="O6" s="1231" t="s">
        <v>41</v>
      </c>
      <c r="P6" s="1231"/>
    </row>
    <row r="7" spans="1:18" ht="12.75" customHeight="1">
      <c r="A7" s="1250" t="s">
        <v>350</v>
      </c>
      <c r="B7" s="1239" t="s">
        <v>341</v>
      </c>
      <c r="C7" s="1239"/>
      <c r="D7" s="1239" t="s">
        <v>351</v>
      </c>
      <c r="E7" s="1239"/>
      <c r="F7" s="1251" t="s">
        <v>541</v>
      </c>
      <c r="G7" s="1239" t="s">
        <v>352</v>
      </c>
      <c r="H7" s="1239"/>
      <c r="I7" s="1246" t="s">
        <v>568</v>
      </c>
      <c r="J7" s="1239" t="s">
        <v>353</v>
      </c>
      <c r="K7" s="1239"/>
      <c r="L7" s="1239"/>
      <c r="M7" s="1239"/>
      <c r="N7" s="1239"/>
      <c r="O7" s="1248" t="s">
        <v>354</v>
      </c>
      <c r="P7" s="1248"/>
    </row>
    <row r="8" spans="1:18" ht="23.25" customHeight="1">
      <c r="A8" s="1250"/>
      <c r="B8" s="343" t="s">
        <v>355</v>
      </c>
      <c r="C8" s="344" t="s">
        <v>356</v>
      </c>
      <c r="D8" s="343" t="s">
        <v>355</v>
      </c>
      <c r="E8" s="344" t="s">
        <v>356</v>
      </c>
      <c r="F8" s="1251"/>
      <c r="G8" s="343" t="s">
        <v>355</v>
      </c>
      <c r="H8" s="344" t="s">
        <v>356</v>
      </c>
      <c r="I8" s="1247"/>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33" t="s">
        <v>549</v>
      </c>
      <c r="C51" s="1234"/>
      <c r="D51" s="383">
        <f>SUM(D52:D58)</f>
        <v>0</v>
      </c>
      <c r="E51" s="272">
        <f>SUM(E52:E58)</f>
        <v>0</v>
      </c>
      <c r="F51" s="366" t="e">
        <f>(D52*F52+D53*F53+D54*F54+D55*F55+D56*F56+D57*F57+D58*F58)/D51</f>
        <v>#DIV/0!</v>
      </c>
      <c r="G51" s="383">
        <f>SUM(G52:G58)</f>
        <v>0</v>
      </c>
      <c r="H51" s="272">
        <f>SUM(H52:H58)</f>
        <v>0</v>
      </c>
      <c r="I51" s="1233" t="s">
        <v>549</v>
      </c>
      <c r="J51" s="1234"/>
      <c r="K51" s="1234"/>
      <c r="L51" s="1234"/>
      <c r="M51" s="1234"/>
      <c r="N51" s="1234"/>
      <c r="O51" s="1234"/>
      <c r="P51" s="1243"/>
      <c r="Q51" s="332"/>
      <c r="R51" s="417"/>
    </row>
    <row r="52" spans="1:18">
      <c r="A52" s="348" t="s">
        <v>572</v>
      </c>
      <c r="B52" s="1235"/>
      <c r="C52" s="1236"/>
      <c r="D52" s="387"/>
      <c r="E52" s="278"/>
      <c r="F52" s="286"/>
      <c r="G52" s="387"/>
      <c r="H52" s="278"/>
      <c r="I52" s="1235"/>
      <c r="J52" s="1236"/>
      <c r="K52" s="1236"/>
      <c r="L52" s="1236"/>
      <c r="M52" s="1236"/>
      <c r="N52" s="1236"/>
      <c r="O52" s="1236"/>
      <c r="P52" s="1244"/>
      <c r="Q52" s="332" t="str">
        <f t="shared" ref="Q52:Q58" si="7">+IF(D52&gt;0,IF(AND(F52&gt;0,F52&lt;0.15),"","ЗЖДХ-г сараар шивнэ үү."),"")</f>
        <v/>
      </c>
      <c r="R52" s="417"/>
    </row>
    <row r="53" spans="1:18">
      <c r="A53" s="348" t="s">
        <v>573</v>
      </c>
      <c r="B53" s="1235"/>
      <c r="C53" s="1236"/>
      <c r="D53" s="387"/>
      <c r="E53" s="278"/>
      <c r="F53" s="286"/>
      <c r="G53" s="387"/>
      <c r="H53" s="278"/>
      <c r="I53" s="1235"/>
      <c r="J53" s="1236"/>
      <c r="K53" s="1236"/>
      <c r="L53" s="1236"/>
      <c r="M53" s="1236"/>
      <c r="N53" s="1236"/>
      <c r="O53" s="1236"/>
      <c r="P53" s="1244"/>
      <c r="Q53" s="332" t="str">
        <f t="shared" si="7"/>
        <v/>
      </c>
      <c r="R53" s="417"/>
    </row>
    <row r="54" spans="1:18">
      <c r="A54" s="348" t="s">
        <v>574</v>
      </c>
      <c r="B54" s="1235"/>
      <c r="C54" s="1236"/>
      <c r="D54" s="387"/>
      <c r="E54" s="278"/>
      <c r="F54" s="286"/>
      <c r="G54" s="387"/>
      <c r="H54" s="278"/>
      <c r="I54" s="1235"/>
      <c r="J54" s="1236"/>
      <c r="K54" s="1236"/>
      <c r="L54" s="1236"/>
      <c r="M54" s="1236"/>
      <c r="N54" s="1236"/>
      <c r="O54" s="1236"/>
      <c r="P54" s="1244"/>
      <c r="Q54" s="332" t="str">
        <f t="shared" si="7"/>
        <v/>
      </c>
      <c r="R54" s="417"/>
    </row>
    <row r="55" spans="1:18">
      <c r="A55" s="348" t="s">
        <v>575</v>
      </c>
      <c r="B55" s="1235"/>
      <c r="C55" s="1236"/>
      <c r="D55" s="387"/>
      <c r="E55" s="278"/>
      <c r="F55" s="286"/>
      <c r="G55" s="387"/>
      <c r="H55" s="278"/>
      <c r="I55" s="1235"/>
      <c r="J55" s="1236"/>
      <c r="K55" s="1236"/>
      <c r="L55" s="1236"/>
      <c r="M55" s="1236"/>
      <c r="N55" s="1236"/>
      <c r="O55" s="1236"/>
      <c r="P55" s="1244"/>
      <c r="Q55" s="332" t="str">
        <f t="shared" si="7"/>
        <v/>
      </c>
      <c r="R55" s="417"/>
    </row>
    <row r="56" spans="1:18">
      <c r="A56" s="348" t="s">
        <v>576</v>
      </c>
      <c r="B56" s="1235"/>
      <c r="C56" s="1236"/>
      <c r="D56" s="387"/>
      <c r="E56" s="278"/>
      <c r="F56" s="286"/>
      <c r="G56" s="387"/>
      <c r="H56" s="278"/>
      <c r="I56" s="1235"/>
      <c r="J56" s="1236"/>
      <c r="K56" s="1236"/>
      <c r="L56" s="1236"/>
      <c r="M56" s="1236"/>
      <c r="N56" s="1236"/>
      <c r="O56" s="1236"/>
      <c r="P56" s="1244"/>
      <c r="Q56" s="332" t="str">
        <f t="shared" si="7"/>
        <v/>
      </c>
      <c r="R56" s="417"/>
    </row>
    <row r="57" spans="1:18">
      <c r="A57" s="348" t="s">
        <v>577</v>
      </c>
      <c r="B57" s="1235"/>
      <c r="C57" s="1236"/>
      <c r="D57" s="387"/>
      <c r="E57" s="278"/>
      <c r="F57" s="286"/>
      <c r="G57" s="387"/>
      <c r="H57" s="278"/>
      <c r="I57" s="1235"/>
      <c r="J57" s="1236"/>
      <c r="K57" s="1236"/>
      <c r="L57" s="1236"/>
      <c r="M57" s="1236"/>
      <c r="N57" s="1236"/>
      <c r="O57" s="1236"/>
      <c r="P57" s="1244"/>
      <c r="Q57" s="332" t="str">
        <f t="shared" si="7"/>
        <v/>
      </c>
      <c r="R57" s="417"/>
    </row>
    <row r="58" spans="1:18">
      <c r="A58" s="348" t="s">
        <v>578</v>
      </c>
      <c r="B58" s="1237"/>
      <c r="C58" s="1238"/>
      <c r="D58" s="387"/>
      <c r="E58" s="278"/>
      <c r="F58" s="286"/>
      <c r="G58" s="387"/>
      <c r="H58" s="278"/>
      <c r="I58" s="1237"/>
      <c r="J58" s="1238"/>
      <c r="K58" s="1238"/>
      <c r="L58" s="1238"/>
      <c r="M58" s="1238"/>
      <c r="N58" s="1238"/>
      <c r="O58" s="1238"/>
      <c r="P58" s="1245"/>
      <c r="Q58" s="332" t="str">
        <f t="shared" si="7"/>
        <v/>
      </c>
      <c r="R58" s="417"/>
    </row>
    <row r="59" spans="1:18" s="346" customFormat="1">
      <c r="A59" s="1240" t="s">
        <v>596</v>
      </c>
      <c r="B59" s="1241"/>
      <c r="C59" s="1241"/>
      <c r="D59" s="1241"/>
      <c r="E59" s="1241"/>
      <c r="F59" s="1241"/>
      <c r="G59" s="1241"/>
      <c r="H59" s="1241"/>
      <c r="I59" s="1241"/>
      <c r="J59" s="1241"/>
      <c r="K59" s="1241"/>
      <c r="L59" s="1241"/>
      <c r="M59" s="1241"/>
      <c r="N59" s="1241"/>
      <c r="O59" s="1241"/>
      <c r="P59" s="1242"/>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82" t="s">
        <v>590</v>
      </c>
      <c r="B76" s="1182"/>
      <c r="C76" s="1182"/>
      <c r="D76" s="1182"/>
      <c r="E76" s="1182"/>
      <c r="F76" s="1182"/>
      <c r="G76" s="1182"/>
      <c r="H76" s="1182"/>
      <c r="I76" s="1182"/>
      <c r="J76" s="1182"/>
      <c r="K76" s="1182"/>
      <c r="L76" s="1182"/>
      <c r="M76" s="1182"/>
      <c r="N76" s="1182"/>
      <c r="O76" s="1182"/>
      <c r="P76" s="1182"/>
    </row>
    <row r="77" spans="1:18">
      <c r="A77" s="1182" t="s">
        <v>591</v>
      </c>
      <c r="B77" s="1182"/>
      <c r="C77" s="1182"/>
      <c r="D77" s="1182"/>
      <c r="E77" s="1182"/>
      <c r="F77" s="1182"/>
      <c r="G77" s="1182"/>
      <c r="H77" s="1182"/>
      <c r="I77" s="1182"/>
      <c r="J77" s="1182"/>
      <c r="K77" s="1182"/>
      <c r="L77" s="1182"/>
      <c r="M77" s="1182"/>
      <c r="N77" s="1182"/>
      <c r="O77" s="1182"/>
      <c r="P77" s="1182"/>
    </row>
    <row r="78" spans="1:18">
      <c r="A78" s="1252" t="s">
        <v>402</v>
      </c>
      <c r="B78" s="1252"/>
      <c r="C78" s="1252"/>
      <c r="D78" s="351"/>
      <c r="E78" s="935"/>
      <c r="F78" s="367"/>
      <c r="G78" s="351"/>
      <c r="H78" s="935"/>
      <c r="I78" s="351"/>
      <c r="J78" s="351"/>
      <c r="K78" s="935"/>
      <c r="L78" s="351"/>
      <c r="M78" s="351"/>
      <c r="N78" s="351"/>
      <c r="O78" s="351"/>
      <c r="P78" s="351"/>
    </row>
    <row r="79" spans="1:18">
      <c r="A79" s="333" t="s">
        <v>569</v>
      </c>
    </row>
    <row r="80" spans="1:18">
      <c r="B80" s="1249" t="s">
        <v>33</v>
      </c>
      <c r="C80" s="1249"/>
      <c r="D80" s="354"/>
      <c r="E80" s="355"/>
      <c r="F80" s="356"/>
      <c r="H80" s="284"/>
      <c r="I80" s="284"/>
    </row>
    <row r="81" spans="2:13">
      <c r="B81" s="357"/>
      <c r="C81" s="939"/>
      <c r="D81" s="354"/>
      <c r="E81" s="355"/>
      <c r="F81" s="356"/>
    </row>
    <row r="82" spans="2:13">
      <c r="B82" s="1232" t="s">
        <v>122</v>
      </c>
      <c r="C82" s="1232"/>
      <c r="D82" s="1232"/>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94" t="s">
        <v>463</v>
      </c>
      <c r="B2" s="994"/>
      <c r="C2" s="994"/>
      <c r="D2" s="994"/>
      <c r="E2" s="994"/>
      <c r="F2" s="994"/>
      <c r="G2" s="994"/>
      <c r="H2" s="994"/>
      <c r="I2" s="994"/>
      <c r="J2" s="994"/>
      <c r="K2" s="994"/>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94" t="str">
        <f>+GB!A4</f>
        <v>БАНК БУС САНХҮҮГИЙН БАЙГУУЛЛАГА</v>
      </c>
      <c r="B4" s="994"/>
      <c r="C4" s="994"/>
      <c r="D4" s="994"/>
      <c r="E4" s="994"/>
      <c r="F4" s="994"/>
      <c r="G4" s="994"/>
      <c r="H4" s="994"/>
      <c r="I4" s="994"/>
      <c r="J4" s="994"/>
      <c r="K4" s="994"/>
      <c r="L4" s="2"/>
    </row>
    <row r="5" spans="1:12" ht="15" customHeight="1">
      <c r="A5" s="1140">
        <f>+GB!A6</f>
        <v>45473</v>
      </c>
      <c r="B5" s="1140"/>
      <c r="C5" s="244"/>
      <c r="J5" s="1194" t="s">
        <v>41</v>
      </c>
      <c r="K5" s="1194"/>
      <c r="L5" s="2"/>
    </row>
    <row r="6" spans="1:12" ht="38.25" customHeight="1">
      <c r="A6" s="1175" t="s">
        <v>2</v>
      </c>
      <c r="B6" s="1203" t="s">
        <v>538</v>
      </c>
      <c r="C6" s="1204"/>
      <c r="D6" s="1169" t="s">
        <v>464</v>
      </c>
      <c r="E6" s="1175" t="s">
        <v>465</v>
      </c>
      <c r="F6" s="1175" t="s">
        <v>539</v>
      </c>
      <c r="G6" s="1175" t="s">
        <v>466</v>
      </c>
      <c r="H6" s="1175" t="s">
        <v>290</v>
      </c>
      <c r="I6" s="1175" t="s">
        <v>343</v>
      </c>
      <c r="J6" s="1169" t="s">
        <v>570</v>
      </c>
      <c r="K6" s="1187" t="s">
        <v>297</v>
      </c>
      <c r="L6" s="27"/>
    </row>
    <row r="7" spans="1:12">
      <c r="A7" s="1176"/>
      <c r="B7" s="247" t="s">
        <v>530</v>
      </c>
      <c r="C7" s="247" t="s">
        <v>531</v>
      </c>
      <c r="D7" s="1170"/>
      <c r="E7" s="1176"/>
      <c r="F7" s="1176"/>
      <c r="G7" s="1176"/>
      <c r="H7" s="1176"/>
      <c r="I7" s="1176"/>
      <c r="J7" s="1170"/>
      <c r="K7" s="1188"/>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59" t="s">
        <v>33</v>
      </c>
      <c r="B32" s="1159"/>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94" t="s">
        <v>479</v>
      </c>
      <c r="B2" s="994"/>
      <c r="C2" s="994"/>
      <c r="D2" s="994"/>
      <c r="E2" s="994"/>
      <c r="F2" s="994"/>
      <c r="G2" s="994"/>
      <c r="H2" s="994"/>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94" t="str">
        <f>+GB!A4</f>
        <v>БАНК БУС САНХҮҮГИЙН БАЙГУУЛЛАГА</v>
      </c>
      <c r="B4" s="994"/>
      <c r="C4" s="994"/>
      <c r="D4" s="994"/>
      <c r="E4" s="994"/>
      <c r="F4" s="994"/>
      <c r="G4" s="994"/>
      <c r="H4" s="994"/>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45473</v>
      </c>
      <c r="B6" s="1140"/>
      <c r="H6" s="1144" t="s">
        <v>41</v>
      </c>
      <c r="I6" s="1144"/>
    </row>
    <row r="7" spans="1:26" ht="14.25" customHeight="1">
      <c r="A7" s="1219" t="s">
        <v>2</v>
      </c>
      <c r="B7" s="1219" t="s">
        <v>480</v>
      </c>
      <c r="C7" s="1254" t="s">
        <v>481</v>
      </c>
      <c r="D7" s="1254"/>
      <c r="E7" s="1254"/>
      <c r="F7" s="1254"/>
      <c r="G7" s="1254"/>
      <c r="H7" s="1254"/>
      <c r="I7" s="1254"/>
    </row>
    <row r="8" spans="1:26">
      <c r="A8" s="1219"/>
      <c r="B8" s="1219"/>
      <c r="C8" s="1256" t="s">
        <v>482</v>
      </c>
      <c r="D8" s="1256"/>
      <c r="E8" s="1256"/>
      <c r="F8" s="1254" t="s">
        <v>483</v>
      </c>
      <c r="G8" s="1254"/>
      <c r="H8" s="1254"/>
      <c r="I8" s="1255" t="s">
        <v>138</v>
      </c>
    </row>
    <row r="9" spans="1:26" s="16" customFormat="1">
      <c r="A9" s="1219"/>
      <c r="B9" s="1219"/>
      <c r="C9" s="1257" t="s">
        <v>484</v>
      </c>
      <c r="D9" s="1185" t="s">
        <v>485</v>
      </c>
      <c r="E9" s="1185" t="s">
        <v>486</v>
      </c>
      <c r="F9" s="1257" t="s">
        <v>484</v>
      </c>
      <c r="G9" s="1185" t="s">
        <v>485</v>
      </c>
      <c r="H9" s="1185" t="s">
        <v>486</v>
      </c>
      <c r="I9" s="1255"/>
    </row>
    <row r="10" spans="1:26" s="16" customFormat="1" ht="15.75" customHeight="1">
      <c r="A10" s="1219"/>
      <c r="B10" s="1219"/>
      <c r="C10" s="1257"/>
      <c r="D10" s="1185"/>
      <c r="E10" s="1185"/>
      <c r="F10" s="1257"/>
      <c r="G10" s="1185"/>
      <c r="H10" s="1185"/>
      <c r="I10" s="1255"/>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3" t="s">
        <v>298</v>
      </c>
      <c r="B20" s="1253"/>
      <c r="C20" s="289">
        <f t="shared" ref="C20:H20" si="1">+SUM(C11:C19)</f>
        <v>0</v>
      </c>
      <c r="D20" s="289">
        <f t="shared" si="1"/>
        <v>0</v>
      </c>
      <c r="E20" s="290">
        <f>+SUM(E11:E19)</f>
        <v>0</v>
      </c>
      <c r="F20" s="290">
        <f t="shared" si="1"/>
        <v>0</v>
      </c>
      <c r="G20" s="290">
        <f t="shared" si="1"/>
        <v>0</v>
      </c>
      <c r="H20" s="290">
        <f t="shared" si="1"/>
        <v>0</v>
      </c>
      <c r="I20" s="291"/>
    </row>
    <row r="21" spans="1:9">
      <c r="G21" s="1218" t="s">
        <v>462</v>
      </c>
      <c r="H21" s="1218"/>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94" t="s">
        <v>621</v>
      </c>
      <c r="B2" s="994"/>
      <c r="C2" s="994"/>
    </row>
    <row r="3" spans="1:3">
      <c r="A3" s="1002" t="str">
        <f>+Statistic!A3</f>
        <v xml:space="preserve">БАНК БУС САНХҮҮГИЙН БАЙГУУЛЛАГЫН НЭР </v>
      </c>
      <c r="B3" s="1002"/>
      <c r="C3" s="1002"/>
    </row>
    <row r="4" spans="1:3">
      <c r="A4" s="996" t="str">
        <f>+Statistic!A4</f>
        <v>БАНК БУС САНХҮҮГИЙН БАЙГУУЛЛАГА</v>
      </c>
      <c r="B4" s="996"/>
      <c r="C4" s="996"/>
    </row>
    <row r="5" spans="1:3">
      <c r="A5" s="447"/>
      <c r="B5" s="5"/>
      <c r="C5" s="5"/>
    </row>
    <row r="6" spans="1:3">
      <c r="A6" s="447"/>
      <c r="B6" s="5"/>
      <c r="C6" s="5"/>
    </row>
    <row r="7" spans="1:3">
      <c r="A7" s="1000">
        <f>+Statistic!A7</f>
        <v>45473</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88" t="s">
        <v>33</v>
      </c>
      <c r="B19" s="98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94" t="s">
        <v>688</v>
      </c>
      <c r="C2" s="994"/>
      <c r="D2" s="994"/>
      <c r="E2" s="994"/>
      <c r="F2" s="994"/>
      <c r="G2" s="994"/>
      <c r="H2" s="994"/>
      <c r="I2" s="994"/>
      <c r="J2" s="994"/>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96" t="str">
        <f>+Statistic!A4</f>
        <v>БАНК БУС САНХҮҮГИЙН БАЙГУУЛЛАГА</v>
      </c>
      <c r="C4" s="996"/>
      <c r="D4" s="996"/>
      <c r="E4" s="996"/>
      <c r="F4" s="996"/>
      <c r="G4" s="996"/>
      <c r="H4" s="996"/>
      <c r="I4" s="996"/>
      <c r="J4" s="996"/>
      <c r="K4" s="6"/>
      <c r="L4" s="6"/>
      <c r="M4" s="6"/>
      <c r="N4" s="6"/>
    </row>
    <row r="5" spans="2:19">
      <c r="D5" s="5"/>
      <c r="E5" s="5"/>
      <c r="F5" s="5"/>
    </row>
    <row r="6" spans="2:19">
      <c r="D6" s="5"/>
      <c r="E6" s="5"/>
      <c r="F6" s="5"/>
    </row>
    <row r="7" spans="2:19">
      <c r="B7" s="1003">
        <f>+Statistic!A7</f>
        <v>45473</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88" t="s">
        <v>33</v>
      </c>
      <c r="E22" s="98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94" t="s">
        <v>669</v>
      </c>
      <c r="B2" s="994"/>
      <c r="C2" s="994"/>
    </row>
    <row r="3" spans="1:3">
      <c r="A3" s="1002" t="str">
        <f>+Statistic!A3</f>
        <v xml:space="preserve">БАНК БУС САНХҮҮГИЙН БАЙГУУЛЛАГЫН НЭР </v>
      </c>
      <c r="B3" s="1002"/>
      <c r="C3" s="1002"/>
    </row>
    <row r="4" spans="1:3">
      <c r="A4" s="996" t="str">
        <f>+GB!A4</f>
        <v>БАНК БУС САНХҮҮГИЙН БАЙГУУЛЛАГА</v>
      </c>
      <c r="B4" s="996"/>
      <c r="C4" s="996"/>
    </row>
    <row r="5" spans="1:3">
      <c r="A5" s="5"/>
      <c r="B5" s="5"/>
      <c r="C5" s="5"/>
    </row>
    <row r="6" spans="1:3">
      <c r="A6" s="5"/>
      <c r="B6" s="5"/>
      <c r="C6" s="5"/>
    </row>
    <row r="7" spans="1:3">
      <c r="A7" s="1000">
        <f>+Statistic!A7</f>
        <v>45473</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88" t="s">
        <v>33</v>
      </c>
      <c r="B38" s="98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94" t="s">
        <v>666</v>
      </c>
      <c r="B2" s="994"/>
      <c r="C2" s="994"/>
      <c r="D2" s="994"/>
      <c r="E2" s="994"/>
      <c r="F2" s="994"/>
      <c r="G2" s="994"/>
      <c r="H2" s="994"/>
      <c r="I2" s="994"/>
      <c r="J2" s="994"/>
    </row>
    <row r="3" spans="1:12">
      <c r="A3" s="1002" t="str">
        <f>+Statistic!A3</f>
        <v xml:space="preserve">БАНК БУС САНХҮҮГИЙН БАЙГУУЛЛАГЫН НЭР </v>
      </c>
      <c r="B3" s="1002"/>
      <c r="C3" s="1002"/>
      <c r="D3" s="1002"/>
      <c r="E3" s="1002"/>
      <c r="F3" s="1002"/>
      <c r="G3" s="1002"/>
      <c r="H3" s="1002"/>
      <c r="I3" s="1002"/>
      <c r="J3" s="1002"/>
    </row>
    <row r="4" spans="1:12">
      <c r="A4" s="996" t="str">
        <f>+Statistic!A4</f>
        <v>БАНК БУС САНХҮҮГИЙН БАЙГУУЛЛАГА</v>
      </c>
      <c r="B4" s="996"/>
      <c r="C4" s="996"/>
      <c r="D4" s="996"/>
      <c r="E4" s="996"/>
      <c r="F4" s="996"/>
      <c r="G4" s="996"/>
      <c r="H4" s="996"/>
      <c r="I4" s="996"/>
      <c r="J4" s="996"/>
    </row>
    <row r="5" spans="1:12">
      <c r="A5" s="5"/>
      <c r="B5" s="887"/>
      <c r="C5" s="893"/>
    </row>
    <row r="6" spans="1:12">
      <c r="A6" s="5"/>
      <c r="B6" s="887"/>
      <c r="C6" s="893"/>
    </row>
    <row r="7" spans="1:12">
      <c r="A7" s="433">
        <f>+Statistic!A7</f>
        <v>45473</v>
      </c>
      <c r="B7" s="900"/>
      <c r="C7" s="421"/>
      <c r="K7" s="898" t="s">
        <v>704</v>
      </c>
    </row>
    <row r="8" spans="1:12">
      <c r="A8" s="1013" t="s">
        <v>645</v>
      </c>
      <c r="B8" s="1016" t="s">
        <v>646</v>
      </c>
      <c r="C8" s="1017"/>
      <c r="D8" s="1016" t="s">
        <v>647</v>
      </c>
      <c r="E8" s="1017"/>
      <c r="F8" s="1016" t="s">
        <v>648</v>
      </c>
      <c r="G8" s="1017"/>
      <c r="H8" s="1005" t="s">
        <v>566</v>
      </c>
      <c r="I8" s="1005"/>
      <c r="J8" s="1005"/>
      <c r="K8" s="1005"/>
    </row>
    <row r="9" spans="1:12" ht="29.25" customHeight="1">
      <c r="A9" s="1014"/>
      <c r="B9" s="1018" t="s">
        <v>475</v>
      </c>
      <c r="C9" s="1019" t="s">
        <v>623</v>
      </c>
      <c r="D9" s="1018" t="s">
        <v>475</v>
      </c>
      <c r="E9" s="1019" t="s">
        <v>623</v>
      </c>
      <c r="F9" s="1018" t="s">
        <v>475</v>
      </c>
      <c r="G9" s="1019" t="s">
        <v>623</v>
      </c>
      <c r="H9" s="1018" t="s">
        <v>475</v>
      </c>
      <c r="I9" s="1019" t="s">
        <v>623</v>
      </c>
      <c r="J9" s="1034" t="s">
        <v>671</v>
      </c>
      <c r="K9" s="1035"/>
    </row>
    <row r="10" spans="1:12">
      <c r="A10" s="1015"/>
      <c r="B10" s="1018"/>
      <c r="C10" s="1019"/>
      <c r="D10" s="1018"/>
      <c r="E10" s="1019"/>
      <c r="F10" s="1018"/>
      <c r="G10" s="1019"/>
      <c r="H10" s="1018"/>
      <c r="I10" s="1019"/>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20" t="s">
        <v>709</v>
      </c>
      <c r="I15" s="1021"/>
      <c r="J15" s="1021"/>
      <c r="K15" s="1022"/>
      <c r="L15" s="2" t="str">
        <f>IF(C15=E15+G15,"","Ангилалын дүн нийт дүнгээс зөрүүтэй")</f>
        <v/>
      </c>
    </row>
    <row r="16" spans="1:12">
      <c r="A16" s="434" t="s">
        <v>650</v>
      </c>
      <c r="B16" s="428">
        <f>SUM(D16+F16)</f>
        <v>0</v>
      </c>
      <c r="C16" s="435">
        <f>+Statistic!C24</f>
        <v>0</v>
      </c>
      <c r="D16" s="255"/>
      <c r="E16" s="890"/>
      <c r="F16" s="255"/>
      <c r="G16" s="890"/>
      <c r="H16" s="1023"/>
      <c r="I16" s="1024"/>
      <c r="J16" s="1024"/>
      <c r="K16" s="1025"/>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23"/>
      <c r="I17" s="1024"/>
      <c r="J17" s="1024"/>
      <c r="K17" s="1025"/>
      <c r="L17" s="3" t="str">
        <f t="shared" si="1"/>
        <v/>
      </c>
    </row>
    <row r="18" spans="1:12">
      <c r="A18" s="434" t="s">
        <v>652</v>
      </c>
      <c r="B18" s="428">
        <f>SUM(D18+F18)</f>
        <v>0</v>
      </c>
      <c r="C18" s="435">
        <f>+Statistic!C26</f>
        <v>0</v>
      </c>
      <c r="D18" s="255"/>
      <c r="E18" s="890"/>
      <c r="F18" s="255"/>
      <c r="G18" s="890"/>
      <c r="H18" s="1023"/>
      <c r="I18" s="1024"/>
      <c r="J18" s="1024"/>
      <c r="K18" s="1025"/>
      <c r="L18" s="3" t="str">
        <f t="shared" si="1"/>
        <v/>
      </c>
    </row>
    <row r="19" spans="1:12">
      <c r="A19" s="434" t="s">
        <v>653</v>
      </c>
      <c r="B19" s="428">
        <f>SUM(D19+F19)</f>
        <v>0</v>
      </c>
      <c r="C19" s="435">
        <f>+Statistic!C27</f>
        <v>0</v>
      </c>
      <c r="D19" s="255"/>
      <c r="E19" s="890"/>
      <c r="F19" s="255"/>
      <c r="G19" s="890"/>
      <c r="H19" s="1023"/>
      <c r="I19" s="1024"/>
      <c r="J19" s="1024"/>
      <c r="K19" s="1025"/>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26"/>
      <c r="I20" s="1027"/>
      <c r="J20" s="1027"/>
      <c r="K20" s="1028"/>
      <c r="L20" s="2" t="str">
        <f t="shared" si="1"/>
        <v/>
      </c>
    </row>
    <row r="21" spans="1:12">
      <c r="A21" s="436" t="s">
        <v>433</v>
      </c>
      <c r="B21" s="428">
        <f>SUM(D21+F21)</f>
        <v>0</v>
      </c>
      <c r="C21" s="435">
        <f>+Statistic!C29</f>
        <v>0</v>
      </c>
      <c r="D21" s="255"/>
      <c r="E21" s="890"/>
      <c r="F21" s="255"/>
      <c r="G21" s="890"/>
      <c r="H21" s="1023"/>
      <c r="I21" s="1024"/>
      <c r="J21" s="1024"/>
      <c r="K21" s="1025"/>
      <c r="L21" s="3" t="str">
        <f t="shared" si="1"/>
        <v/>
      </c>
    </row>
    <row r="22" spans="1:12">
      <c r="A22" s="436" t="s">
        <v>654</v>
      </c>
      <c r="B22" s="428">
        <f>SUM(D22+F22)</f>
        <v>0</v>
      </c>
      <c r="C22" s="435">
        <f>+Statistic!C30</f>
        <v>0</v>
      </c>
      <c r="D22" s="255"/>
      <c r="E22" s="890"/>
      <c r="F22" s="255"/>
      <c r="G22" s="890"/>
      <c r="H22" s="1023"/>
      <c r="I22" s="1024"/>
      <c r="J22" s="1024"/>
      <c r="K22" s="1025"/>
      <c r="L22" s="3" t="str">
        <f t="shared" si="1"/>
        <v/>
      </c>
    </row>
    <row r="23" spans="1:12">
      <c r="A23" s="436" t="s">
        <v>655</v>
      </c>
      <c r="B23" s="428">
        <f>SUM(D23+F23)</f>
        <v>0</v>
      </c>
      <c r="C23" s="435">
        <f>+Statistic!C31</f>
        <v>0</v>
      </c>
      <c r="D23" s="255"/>
      <c r="E23" s="890"/>
      <c r="F23" s="255"/>
      <c r="G23" s="890"/>
      <c r="H23" s="1023"/>
      <c r="I23" s="1024"/>
      <c r="J23" s="1024"/>
      <c r="K23" s="1025"/>
      <c r="L23" s="3" t="str">
        <f t="shared" si="1"/>
        <v/>
      </c>
    </row>
    <row r="24" spans="1:12">
      <c r="A24" s="436" t="s">
        <v>656</v>
      </c>
      <c r="B24" s="428">
        <f>SUM(D24+F24)</f>
        <v>0</v>
      </c>
      <c r="C24" s="435">
        <f>+Statistic!C32</f>
        <v>0</v>
      </c>
      <c r="D24" s="255"/>
      <c r="E24" s="890"/>
      <c r="F24" s="255"/>
      <c r="G24" s="890"/>
      <c r="H24" s="1023"/>
      <c r="I24" s="1024"/>
      <c r="J24" s="1024"/>
      <c r="K24" s="1025"/>
      <c r="L24" s="3" t="str">
        <f t="shared" si="1"/>
        <v/>
      </c>
    </row>
    <row r="25" spans="1:12">
      <c r="A25" s="436" t="s">
        <v>657</v>
      </c>
      <c r="B25" s="428">
        <f>SUM(D25+F25)</f>
        <v>0</v>
      </c>
      <c r="C25" s="435">
        <f>+Statistic!C33</f>
        <v>0</v>
      </c>
      <c r="D25" s="255"/>
      <c r="E25" s="890"/>
      <c r="F25" s="255"/>
      <c r="G25" s="890"/>
      <c r="H25" s="1029"/>
      <c r="I25" s="1030"/>
      <c r="J25" s="1030"/>
      <c r="K25" s="1031"/>
      <c r="L25" s="3" t="str">
        <f t="shared" si="1"/>
        <v/>
      </c>
    </row>
    <row r="26" spans="1:12" s="2" customFormat="1">
      <c r="A26" s="24" t="s">
        <v>678</v>
      </c>
      <c r="B26" s="1011" t="s">
        <v>667</v>
      </c>
      <c r="C26" s="443">
        <f>+Statistic!C10</f>
        <v>0</v>
      </c>
      <c r="D26" s="1032" t="s">
        <v>667</v>
      </c>
      <c r="E26" s="443">
        <f>+Statistic!C12</f>
        <v>0</v>
      </c>
      <c r="F26" s="1032" t="s">
        <v>667</v>
      </c>
      <c r="G26" s="443">
        <f>+Statistic!C11</f>
        <v>0</v>
      </c>
      <c r="H26" s="1032" t="s">
        <v>667</v>
      </c>
      <c r="I26" s="443">
        <f>+Statistic!C13</f>
        <v>0</v>
      </c>
      <c r="J26" s="1032" t="s">
        <v>667</v>
      </c>
      <c r="K26" s="444"/>
      <c r="L26" s="2" t="str">
        <f t="shared" ref="L26:L35" si="2">IF(C26=E26+G26+I26,"","Ангилсан дүн Нийт дүнгээс зөрүүтэй")</f>
        <v/>
      </c>
    </row>
    <row r="27" spans="1:12">
      <c r="A27" s="424" t="s">
        <v>679</v>
      </c>
      <c r="B27" s="1012"/>
      <c r="C27" s="435">
        <f>SUM(E27+G27+I27)</f>
        <v>0</v>
      </c>
      <c r="D27" s="1033"/>
      <c r="E27" s="890"/>
      <c r="F27" s="1033"/>
      <c r="G27" s="890"/>
      <c r="H27" s="1033"/>
      <c r="I27" s="890"/>
      <c r="J27" s="1033"/>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88" t="s">
        <v>33</v>
      </c>
      <c r="C40" s="98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94" t="s">
        <v>665</v>
      </c>
      <c r="B2" s="994"/>
      <c r="C2" s="994"/>
      <c r="D2" s="994"/>
      <c r="E2" s="994"/>
      <c r="F2" s="994"/>
      <c r="G2" s="994"/>
      <c r="H2" s="994"/>
      <c r="I2" s="994"/>
      <c r="J2" s="994"/>
      <c r="K2" s="994"/>
      <c r="L2" s="994"/>
      <c r="M2" s="994"/>
      <c r="N2" s="994"/>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96" t="str">
        <f>+Statistic!A4</f>
        <v>БАНК БУС САНХҮҮГИЙН БАЙГУУЛЛАГА</v>
      </c>
      <c r="B4" s="996"/>
      <c r="C4" s="996"/>
      <c r="D4" s="996"/>
      <c r="E4" s="996"/>
      <c r="F4" s="996"/>
      <c r="G4" s="996"/>
      <c r="H4" s="996"/>
      <c r="I4" s="996"/>
      <c r="J4" s="996"/>
      <c r="K4" s="996"/>
      <c r="L4" s="996"/>
      <c r="M4" s="996"/>
      <c r="N4" s="996"/>
    </row>
    <row r="5" spans="1:15">
      <c r="A5" s="5"/>
      <c r="B5" s="5"/>
      <c r="C5" s="5"/>
    </row>
    <row r="6" spans="1:15">
      <c r="A6" s="5"/>
      <c r="B6" s="5"/>
      <c r="C6" s="5"/>
    </row>
    <row r="7" spans="1:15">
      <c r="A7" s="1000">
        <f>+Statistic!A7</f>
        <v>45473</v>
      </c>
      <c r="B7" s="1000"/>
      <c r="C7" s="421"/>
      <c r="N7" s="445" t="s">
        <v>704</v>
      </c>
    </row>
    <row r="8" spans="1:15" ht="12.75" customHeight="1">
      <c r="A8" s="1037" t="s">
        <v>1481</v>
      </c>
      <c r="B8" s="1036" t="s">
        <v>660</v>
      </c>
      <c r="C8" s="1036"/>
      <c r="D8" s="1036" t="s">
        <v>662</v>
      </c>
      <c r="E8" s="1036"/>
      <c r="F8" s="1037" t="s">
        <v>541</v>
      </c>
      <c r="G8" s="1036" t="s">
        <v>663</v>
      </c>
      <c r="H8" s="1036"/>
      <c r="I8" s="1037" t="s">
        <v>568</v>
      </c>
      <c r="J8" s="1036" t="s">
        <v>664</v>
      </c>
      <c r="K8" s="1036"/>
      <c r="L8" s="1036"/>
      <c r="M8" s="1036"/>
      <c r="N8" s="1036"/>
    </row>
    <row r="9" spans="1:15" ht="12.75" customHeight="1">
      <c r="A9" s="1038"/>
      <c r="B9" s="1036" t="s">
        <v>649</v>
      </c>
      <c r="C9" s="1036" t="s">
        <v>661</v>
      </c>
      <c r="D9" s="1036" t="s">
        <v>649</v>
      </c>
      <c r="E9" s="1036" t="s">
        <v>661</v>
      </c>
      <c r="F9" s="1038"/>
      <c r="G9" s="1036" t="s">
        <v>649</v>
      </c>
      <c r="H9" s="1036" t="s">
        <v>661</v>
      </c>
      <c r="I9" s="1038"/>
      <c r="J9" s="1036" t="s">
        <v>649</v>
      </c>
      <c r="K9" s="1036" t="s">
        <v>661</v>
      </c>
      <c r="L9" s="1036"/>
      <c r="M9" s="1036"/>
      <c r="N9" s="1036"/>
    </row>
    <row r="10" spans="1:15" ht="15" customHeight="1">
      <c r="A10" s="1039"/>
      <c r="B10" s="1036"/>
      <c r="C10" s="1036"/>
      <c r="D10" s="1036"/>
      <c r="E10" s="1036"/>
      <c r="F10" s="1039"/>
      <c r="G10" s="1036"/>
      <c r="H10" s="1036"/>
      <c r="I10" s="1039"/>
      <c r="J10" s="1036"/>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88" t="s">
        <v>33</v>
      </c>
      <c r="C33" s="98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0"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45473</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1495</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1497</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3381.05</v>
      </c>
    </row>
    <row r="1680" spans="1:8">
      <c r="A1680" s="457"/>
      <c r="B1680" s="480" t="s">
        <v>1109</v>
      </c>
      <c r="C1680" s="774">
        <v>61060000</v>
      </c>
      <c r="D1680" s="827"/>
      <c r="E1680" s="693"/>
      <c r="G1680" s="822" t="s">
        <v>113</v>
      </c>
      <c r="H1680" s="486">
        <v>3614.34</v>
      </c>
    </row>
    <row r="1681" spans="1:8">
      <c r="A1681" s="457"/>
      <c r="B1681" s="480" t="s">
        <v>1110</v>
      </c>
      <c r="C1681" s="774">
        <v>61070000</v>
      </c>
      <c r="D1681" s="827"/>
      <c r="E1681" s="693"/>
      <c r="G1681" s="822" t="s">
        <v>115</v>
      </c>
      <c r="H1681" s="486">
        <v>21.06</v>
      </c>
    </row>
    <row r="1682" spans="1:8">
      <c r="A1682" s="457"/>
      <c r="B1682" s="480" t="s">
        <v>109</v>
      </c>
      <c r="C1682" s="774">
        <v>61080000</v>
      </c>
      <c r="D1682" s="827"/>
      <c r="E1682" s="693"/>
      <c r="G1682" s="822" t="s">
        <v>116</v>
      </c>
      <c r="H1682" s="487">
        <v>3767.4</v>
      </c>
    </row>
    <row r="1683" spans="1:8">
      <c r="A1683" s="457"/>
      <c r="B1683" s="480" t="s">
        <v>1111</v>
      </c>
      <c r="C1683" s="774">
        <v>61090000</v>
      </c>
      <c r="D1683" s="827"/>
      <c r="E1683" s="693"/>
      <c r="G1683" s="822" t="s">
        <v>117</v>
      </c>
      <c r="H1683" s="486">
        <v>4271.1099999999997</v>
      </c>
    </row>
    <row r="1684" spans="1:8">
      <c r="A1684" s="473"/>
      <c r="B1684" s="793" t="s">
        <v>1112</v>
      </c>
      <c r="C1684" s="774">
        <v>61100000</v>
      </c>
      <c r="D1684" s="829"/>
      <c r="E1684" s="823"/>
      <c r="G1684" s="822" t="s">
        <v>119</v>
      </c>
      <c r="H1684" s="486">
        <v>465.14</v>
      </c>
    </row>
    <row r="1685" spans="1:8">
      <c r="A1685" s="473"/>
      <c r="B1685" s="793" t="s">
        <v>1113</v>
      </c>
      <c r="C1685" s="774">
        <v>61110000</v>
      </c>
      <c r="D1685" s="829"/>
      <c r="E1685" s="823"/>
      <c r="G1685" s="822" t="s">
        <v>120</v>
      </c>
      <c r="H1685" s="486">
        <v>39.909999999999997</v>
      </c>
    </row>
    <row r="1686" spans="1:8">
      <c r="A1686" s="769"/>
      <c r="B1686" s="769" t="s">
        <v>1114</v>
      </c>
      <c r="C1686" s="770">
        <v>62000000</v>
      </c>
      <c r="D1686" s="805">
        <f>SUM(D1687:D1691)</f>
        <v>0</v>
      </c>
      <c r="E1686" s="693"/>
      <c r="G1686" s="822" t="s">
        <v>121</v>
      </c>
      <c r="H1686" s="486">
        <v>2.44</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C5D89KThC5IRJZeNt1DhT3frQ/UxFQl2HZ8+zOA0luK0R6KbZs3lvkIf8w92bvs+AoGckHZSjOn+jJ+MlLz4ig==" saltValue="ugi3fFsGV6fXezVsDUIMd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74"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45473</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+GB!H433+GB!H421+GB!H422</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88" t="s">
        <v>33</v>
      </c>
      <c r="D105" s="98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CIihFuo3B/OoT7GB8x5xJHFvEtBIgYrgHZ+Scu6Hc76IZo7F5Gp8m+6Vb/R2uQsbhZTOFtMMWS8hbUi2AOs1sA==" saltValue="b54kxalM7tvjzoeTKJyrj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2024-07-09T08:09:34Z</dcterms:modified>
</cp:coreProperties>
</file>