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1266FBCD-A5C0-491F-B108-C8563BEABB63}" xr6:coauthVersionLast="36"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0" yWindow="0" windowWidth="28800" windowHeight="12225"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D24" i="32" l="1"/>
  <c r="I95" i="32" l="1"/>
  <c r="I96" i="32"/>
  <c r="E37" i="8" l="1"/>
  <c r="E29" i="8"/>
  <c r="E22" i="8"/>
  <c r="E8" i="8"/>
  <c r="I15" i="34"/>
  <c r="C15" i="34"/>
  <c r="D43" i="5" l="1"/>
  <c r="I9" i="2"/>
  <c r="K35" i="23"/>
  <c r="J35" i="23"/>
  <c r="I16" i="34"/>
  <c r="H16" i="34"/>
  <c r="G16" i="34"/>
  <c r="F16" i="34"/>
  <c r="E16" i="34"/>
  <c r="D16" i="34"/>
  <c r="C16" i="34"/>
  <c r="D15" i="34"/>
  <c r="H15" i="34"/>
  <c r="D45" i="1"/>
  <c r="D44" i="1"/>
  <c r="D28" i="1"/>
  <c r="D14" i="6" l="1"/>
  <c r="E14" i="6"/>
  <c r="C14" i="6"/>
  <c r="E15" i="34" l="1"/>
  <c r="F15" i="34"/>
  <c r="G15" i="34"/>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D35" i="23"/>
  <c r="E35" i="23"/>
  <c r="F35" i="23"/>
  <c r="G35" i="23"/>
  <c r="H35" i="23"/>
  <c r="I35" i="23"/>
  <c r="D22" i="23"/>
  <c r="E22" i="23"/>
  <c r="F22" i="23"/>
  <c r="G22" i="23"/>
  <c r="H22" i="23"/>
  <c r="I22" i="23"/>
  <c r="J22" i="23"/>
  <c r="C22" i="23"/>
  <c r="J27" i="23"/>
  <c r="I27" i="23"/>
  <c r="H27" i="23"/>
  <c r="G27" i="23"/>
  <c r="F27" i="23"/>
  <c r="E27" i="23"/>
  <c r="D27" i="23"/>
  <c r="C27" i="23"/>
  <c r="J24" i="23"/>
  <c r="I24" i="23"/>
  <c r="H24" i="23"/>
  <c r="G24" i="23"/>
  <c r="F24" i="23"/>
  <c r="E24" i="23"/>
  <c r="D24" i="23"/>
  <c r="C24" i="23"/>
  <c r="K24" i="23" s="1"/>
  <c r="D19" i="23"/>
  <c r="E19" i="23"/>
  <c r="F19" i="23"/>
  <c r="G19" i="23"/>
  <c r="H19" i="23"/>
  <c r="I19" i="23"/>
  <c r="J19" i="23"/>
  <c r="C19" i="23"/>
  <c r="K32" i="23"/>
  <c r="K23" i="23"/>
  <c r="K30" i="23"/>
  <c r="K31" i="23"/>
  <c r="K33" i="23"/>
  <c r="K34" i="23"/>
  <c r="C29" i="8"/>
  <c r="D1136" i="2" l="1"/>
  <c r="D1096" i="2"/>
  <c r="D1092" i="2" s="1"/>
  <c r="D1176" i="2"/>
  <c r="D1172" i="2" s="1"/>
  <c r="D1112" i="2"/>
  <c r="D1152" i="2"/>
  <c r="D1132" i="2"/>
  <c r="C35" i="23"/>
  <c r="K27" i="23"/>
  <c r="K19" i="23"/>
  <c r="K22" i="23"/>
  <c r="M10" i="22"/>
  <c r="M19" i="22"/>
  <c r="D15" i="6" l="1"/>
  <c r="C15" i="6"/>
  <c r="C51" i="33" l="1"/>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I78" i="32"/>
  <c r="I79" i="32"/>
  <c r="I80" i="32"/>
  <c r="I81" i="32"/>
  <c r="I82" i="32"/>
  <c r="I83" i="32"/>
  <c r="I84" i="32"/>
  <c r="I85" i="32"/>
  <c r="I77" i="32"/>
  <c r="I75" i="32"/>
  <c r="C37" i="33" l="1"/>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D69" i="32"/>
  <c r="D98" i="32"/>
  <c r="H402" i="2"/>
  <c r="E25" i="6" s="1"/>
  <c r="D100" i="32"/>
  <c r="D85" i="32"/>
  <c r="D86" i="32"/>
  <c r="D87" i="32"/>
  <c r="D88" i="32"/>
  <c r="D99" i="32"/>
  <c r="I92" i="32"/>
  <c r="D90" i="32"/>
  <c r="I59" i="32"/>
  <c r="D92" i="32"/>
  <c r="D95" i="32"/>
  <c r="D1552" i="2"/>
  <c r="D44" i="35"/>
  <c r="D89" i="32"/>
  <c r="I20" i="32"/>
  <c r="D96" i="32"/>
  <c r="I91" i="32"/>
  <c r="D93" i="32"/>
  <c r="D94" i="32"/>
  <c r="D97" i="32"/>
  <c r="D63" i="32"/>
  <c r="F15" i="8" s="1"/>
  <c r="D23" i="35"/>
  <c r="H470" i="2"/>
  <c r="H456" i="2" s="1"/>
  <c r="D85" i="35"/>
  <c r="D84" i="35" s="1"/>
  <c r="H491" i="2"/>
  <c r="D41" i="5"/>
  <c r="D58" i="35"/>
  <c r="D137" i="35"/>
  <c r="D1606" i="2"/>
  <c r="D84" i="32"/>
  <c r="D1485" i="2"/>
  <c r="D52" i="35"/>
  <c r="D45" i="35"/>
  <c r="I90" i="32"/>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H416" i="2"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D17" i="20" l="1"/>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B28" i="28" l="1"/>
  <c r="D28" i="20"/>
  <c r="I50" i="32"/>
  <c r="I43" i="32"/>
  <c r="D617" i="2"/>
  <c r="D585" i="2" s="1"/>
  <c r="D451" i="2"/>
  <c r="D305" i="2"/>
  <c r="I21" i="32"/>
  <c r="D22" i="32"/>
  <c r="I39" i="32"/>
  <c r="I63" i="32"/>
  <c r="C21" i="6"/>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G22" i="8" s="1"/>
  <c r="L23" i="22"/>
  <c r="L9" i="22"/>
  <c r="G37" i="8"/>
  <c r="C22" i="8"/>
  <c r="G36" i="8"/>
  <c r="E37" i="5"/>
  <c r="E33" i="8"/>
  <c r="E32" i="8" s="1"/>
  <c r="G29" i="8" s="1"/>
  <c r="C15" i="8"/>
  <c r="E19" i="8"/>
  <c r="E18" i="8" s="1"/>
  <c r="E15" i="8" s="1"/>
  <c r="E31" i="5"/>
  <c r="K8" i="23"/>
  <c r="K16" i="23" s="1"/>
  <c r="K36" i="23" s="1"/>
  <c r="K37" i="23" s="1"/>
  <c r="K38" i="23" s="1"/>
  <c r="C36" i="23"/>
  <c r="E9" i="8"/>
  <c r="E42" i="5"/>
  <c r="M28" i="22" l="1"/>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<sst xmlns="http://schemas.openxmlformats.org/spreadsheetml/2006/main" count="3929" uniqueCount="1498">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</sst>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5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2" applyFont="1" applyAlignment="1" applyProtection="1">
      <alignment horizontal="left" vertical="center"/>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22" fillId="0" borderId="0" xfId="0" applyFont="1" applyProtection="1"/>
    <xf numFmtId="0" fontId="19" fillId="0" borderId="0" xfId="0" applyFont="1" applyProtection="1"/>
    <xf numFmtId="0" fontId="18" fillId="0" borderId="0" xfId="0" applyFont="1" applyAlignment="1" applyProtection="1">
      <alignment horizontal="center"/>
    </xf>
    <xf numFmtId="0" fontId="19" fillId="0" borderId="1" xfId="0" applyFont="1" applyBorder="1" applyProtection="1"/>
    <xf numFmtId="0" fontId="19" fillId="0" borderId="23" xfId="0" applyFont="1" applyBorder="1" applyProtection="1"/>
    <xf numFmtId="0" fontId="19" fillId="0" borderId="1" xfId="0" applyFont="1" applyBorder="1" applyAlignment="1" applyProtection="1">
      <alignment horizontal="left" indent="2"/>
    </xf>
    <xf numFmtId="0" fontId="19" fillId="0" borderId="1" xfId="0" applyFont="1" applyBorder="1" applyAlignment="1" applyProtection="1">
      <alignment horizontal="left" indent="4"/>
    </xf>
    <xf numFmtId="0" fontId="19" fillId="0" borderId="0" xfId="0" applyFont="1" applyAlignment="1" applyProtection="1">
      <alignment vertical="center"/>
    </xf>
    <xf numFmtId="0" fontId="22" fillId="0" borderId="0" xfId="0" applyFont="1" applyAlignment="1" applyProtection="1">
      <alignment horizontal="right" vertical="center" wrapText="1"/>
    </xf>
    <xf numFmtId="0" fontId="19" fillId="0" borderId="0" xfId="0" applyFont="1" applyAlignment="1" applyProtection="1">
      <alignment vertical="center" wrapText="1"/>
    </xf>
    <xf numFmtId="0" fontId="18" fillId="0" borderId="0" xfId="0" applyFont="1" applyAlignment="1" applyProtection="1">
      <alignment horizontal="left" vertical="center"/>
    </xf>
    <xf numFmtId="0" fontId="19" fillId="0" borderId="0" xfId="0" applyFont="1" applyAlignment="1" applyProtection="1">
      <alignment horizontal="center" vertical="center"/>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xf>
    <xf numFmtId="0" fontId="18" fillId="0" borderId="0" xfId="0" applyFont="1" applyAlignment="1" applyProtection="1">
      <alignment horizontal="center"/>
    </xf>
    <xf numFmtId="0" fontId="22" fillId="0" borderId="0" xfId="0" applyFont="1" applyAlignment="1" applyProtection="1">
      <alignment horizontal="center" vertical="center"/>
    </xf>
    <xf numFmtId="14" fontId="18" fillId="0" borderId="0" xfId="0" applyNumberFormat="1" applyFont="1" applyAlignment="1" applyProtection="1">
      <alignment horizontal="left"/>
    </xf>
    <xf numFmtId="165" fontId="18" fillId="0" borderId="0" xfId="2" applyNumberFormat="1" applyFont="1" applyBorder="1" applyAlignment="1" applyProtection="1">
      <alignment horizontal="right"/>
    </xf>
    <xf numFmtId="0" fontId="18" fillId="8" borderId="1" xfId="0" applyFont="1" applyFill="1" applyBorder="1" applyAlignment="1" applyProtection="1">
      <alignment horizontal="center" vertical="center" wrapText="1"/>
    </xf>
    <xf numFmtId="0" fontId="18" fillId="5" borderId="1" xfId="0" applyFont="1" applyFill="1" applyBorder="1" applyAlignment="1" applyProtection="1">
      <alignment horizontal="center"/>
    </xf>
    <xf numFmtId="0" fontId="18" fillId="8" borderId="1" xfId="0" applyFont="1" applyFill="1" applyBorder="1" applyAlignment="1" applyProtection="1">
      <alignment horizontal="center"/>
    </xf>
    <xf numFmtId="0" fontId="19" fillId="0" borderId="1" xfId="0" applyFont="1" applyBorder="1" applyAlignment="1" applyProtection="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1491</v>
      </c>
    </row>
    <row r="16" spans="1:1" ht="27">
      <c r="A16" s="963" t="s">
        <v>1496</v>
      </c>
    </row>
    <row r="17" spans="1:1" ht="25.5">
      <c r="A17" s="671"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85" t="s">
        <v>136</v>
      </c>
      <c r="B2" s="985"/>
      <c r="C2" s="985"/>
      <c r="D2" s="985"/>
      <c r="E2" s="985"/>
      <c r="F2" s="985"/>
    </row>
    <row r="3" spans="1:6">
      <c r="A3" s="1002" t="str">
        <f>+GB!A3</f>
        <v xml:space="preserve">БАНК БУС САНХҮҮГИЙН БАЙГУУЛЛАГЫН НЭР </v>
      </c>
      <c r="B3" s="1002"/>
      <c r="C3" s="1002"/>
      <c r="D3" s="1002"/>
      <c r="E3" s="1002"/>
      <c r="F3" s="1002"/>
    </row>
    <row r="4" spans="1:6">
      <c r="A4" s="985" t="str">
        <f>+GB!A4</f>
        <v>БАНК БУС САНХҮҮГИЙН БАЙГУУЛЛАГА</v>
      </c>
      <c r="B4" s="985"/>
      <c r="C4" s="985"/>
      <c r="D4" s="985"/>
      <c r="E4" s="985"/>
      <c r="F4" s="985"/>
    </row>
    <row r="5" spans="1:6">
      <c r="A5" s="495"/>
      <c r="B5" s="495"/>
      <c r="C5" s="495"/>
      <c r="D5" s="2"/>
      <c r="E5" s="2"/>
      <c r="F5" s="2"/>
    </row>
    <row r="6" spans="1:6">
      <c r="B6" s="586">
        <f>+GB!A6</f>
        <v>45473</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1494</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85" t="s">
        <v>1427</v>
      </c>
      <c r="B2" s="985"/>
      <c r="C2" s="985"/>
      <c r="D2" s="985"/>
      <c r="E2" s="985"/>
      <c r="F2" s="985"/>
      <c r="G2" s="985"/>
      <c r="H2" s="985"/>
      <c r="I2" s="985"/>
    </row>
    <row r="3" spans="1:9">
      <c r="A3" s="1041" t="str">
        <f>+Statistic!A3</f>
        <v xml:space="preserve">БАНК БУС САНХҮҮГИЙН БАЙГУУЛЛАГЫН НЭР </v>
      </c>
      <c r="B3" s="1041"/>
      <c r="C3" s="1041"/>
      <c r="D3" s="1041"/>
      <c r="E3" s="1041"/>
      <c r="F3" s="1041"/>
      <c r="G3" s="1041"/>
      <c r="H3" s="1041"/>
      <c r="I3" s="1041"/>
    </row>
    <row r="4" spans="1:9">
      <c r="A4" s="1042" t="s">
        <v>1</v>
      </c>
      <c r="B4" s="1042"/>
      <c r="C4" s="1042"/>
      <c r="D4" s="1042"/>
      <c r="E4" s="1042"/>
      <c r="F4" s="1042"/>
      <c r="G4" s="1042"/>
      <c r="H4" s="1042"/>
      <c r="I4" s="1042"/>
    </row>
    <row r="5" spans="1:9">
      <c r="A5" s="1046">
        <f>+Statistic!A7</f>
        <v>45473</v>
      </c>
      <c r="B5" s="1046"/>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SUM(C15:D15,-E15,F15:H15)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85" t="s">
        <v>1412</v>
      </c>
      <c r="B2" s="985"/>
      <c r="C2" s="985"/>
    </row>
    <row r="3" spans="1:8">
      <c r="A3" s="1041" t="str">
        <f>+Statistic!A3</f>
        <v xml:space="preserve">БАНК БУС САНХҮҮГИЙН БАЙГУУЛЛАГЫН НЭР </v>
      </c>
      <c r="B3" s="1041"/>
      <c r="C3" s="1041"/>
      <c r="D3" s="127"/>
      <c r="E3" s="127"/>
      <c r="F3" s="127"/>
      <c r="G3" s="127"/>
      <c r="H3" s="127"/>
    </row>
    <row r="4" spans="1:8">
      <c r="A4" s="1042" t="s">
        <v>1</v>
      </c>
      <c r="B4" s="1042"/>
      <c r="C4" s="1042"/>
      <c r="D4" s="447"/>
      <c r="E4" s="447"/>
      <c r="F4" s="447"/>
      <c r="G4" s="447"/>
      <c r="H4" s="447"/>
    </row>
    <row r="5" spans="1:8">
      <c r="A5" s="533">
        <f>+Statistic!A7</f>
        <v>45473</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30" t="s">
        <v>151</v>
      </c>
      <c r="B2" s="1130"/>
      <c r="C2" s="1130"/>
      <c r="D2" s="1130"/>
      <c r="E2" s="1130"/>
    </row>
    <row r="3" spans="1:5">
      <c r="A3" s="1131" t="str">
        <f>+GB!A3</f>
        <v xml:space="preserve">БАНК БУС САНХҮҮГИЙН БАЙГУУЛЛАГЫН НЭР </v>
      </c>
      <c r="B3" s="1131"/>
      <c r="C3" s="1131"/>
      <c r="D3" s="1131"/>
      <c r="E3" s="1131"/>
    </row>
    <row r="4" spans="1:5" ht="15" customHeight="1">
      <c r="A4" s="1132" t="str">
        <f>+GB!A4</f>
        <v>БАНК БУС САНХҮҮГИЙН БАЙГУУЛЛАГА</v>
      </c>
      <c r="B4" s="1132"/>
      <c r="C4" s="1132"/>
      <c r="D4" s="1132"/>
      <c r="E4" s="1132"/>
    </row>
    <row r="5" spans="1:5" ht="15" customHeight="1">
      <c r="A5" s="37"/>
      <c r="B5" s="37"/>
      <c r="C5" s="37"/>
      <c r="D5" s="37"/>
      <c r="E5" s="37"/>
    </row>
    <row r="6" spans="1:5" ht="13.5" thickBot="1">
      <c r="A6" s="1133">
        <f>+GB!A6</f>
        <v>45473</v>
      </c>
      <c r="B6" s="1134"/>
      <c r="C6" s="38"/>
      <c r="D6" s="97"/>
      <c r="E6" s="98" t="s">
        <v>41</v>
      </c>
    </row>
    <row r="7" spans="1:5" ht="13.5" thickTop="1">
      <c r="A7" s="39"/>
      <c r="B7" s="1135" t="s">
        <v>137</v>
      </c>
      <c r="C7" s="1136"/>
      <c r="D7" s="1137" t="s">
        <v>152</v>
      </c>
      <c r="E7" s="1138"/>
    </row>
    <row r="8" spans="1:5">
      <c r="A8" s="40" t="s">
        <v>153</v>
      </c>
      <c r="B8" s="1119" t="s">
        <v>154</v>
      </c>
      <c r="C8" s="1120"/>
      <c r="D8" s="1121">
        <f>+SUM(D9,D19)-D17</f>
        <v>0</v>
      </c>
      <c r="E8" s="1122"/>
    </row>
    <row r="9" spans="1:5">
      <c r="A9" s="1123" t="s">
        <v>155</v>
      </c>
      <c r="B9" s="1124"/>
      <c r="C9" s="1124"/>
      <c r="D9" s="1125">
        <f>+SUM(D10,-D11,D12:E16)</f>
        <v>0</v>
      </c>
      <c r="E9" s="1126"/>
    </row>
    <row r="10" spans="1:5">
      <c r="A10" s="41">
        <v>1</v>
      </c>
      <c r="B10" s="1084" t="s">
        <v>156</v>
      </c>
      <c r="C10" s="1127"/>
      <c r="D10" s="1128">
        <f>+GB!H419+GB!H420</f>
        <v>0</v>
      </c>
      <c r="E10" s="1129"/>
    </row>
    <row r="11" spans="1:5">
      <c r="A11" s="42">
        <v>2</v>
      </c>
      <c r="B11" s="1086" t="s">
        <v>60</v>
      </c>
      <c r="C11" s="1089"/>
      <c r="D11" s="1105">
        <f>+GB!H428</f>
        <v>0</v>
      </c>
      <c r="E11" s="1113"/>
    </row>
    <row r="12" spans="1:5">
      <c r="A12" s="43">
        <v>3</v>
      </c>
      <c r="B12" s="1088" t="s">
        <v>157</v>
      </c>
      <c r="C12" s="1114"/>
      <c r="D12" s="1105">
        <f>+GB!H425</f>
        <v>0</v>
      </c>
      <c r="E12" s="1106"/>
    </row>
    <row r="13" spans="1:5" hidden="1">
      <c r="A13" s="43">
        <v>4</v>
      </c>
      <c r="B13" s="1115" t="s">
        <v>63</v>
      </c>
      <c r="C13" s="1116"/>
      <c r="D13" s="1117"/>
      <c r="E13" s="1118"/>
    </row>
    <row r="14" spans="1:5">
      <c r="A14" s="43">
        <v>5</v>
      </c>
      <c r="B14" s="1088" t="s">
        <v>158</v>
      </c>
      <c r="C14" s="1104"/>
      <c r="D14" s="1105">
        <f>+GB!H434</f>
        <v>0</v>
      </c>
      <c r="E14" s="1106"/>
    </row>
    <row r="15" spans="1:5">
      <c r="A15" s="43">
        <v>6</v>
      </c>
      <c r="B15" s="1107" t="s">
        <v>133</v>
      </c>
      <c r="C15" s="1108"/>
      <c r="D15" s="1105">
        <f>+IS!D208</f>
        <v>0</v>
      </c>
      <c r="E15" s="1106"/>
    </row>
    <row r="16" spans="1:5">
      <c r="A16" s="44">
        <v>7</v>
      </c>
      <c r="B16" s="1109" t="s">
        <v>134</v>
      </c>
      <c r="C16" s="1110"/>
      <c r="D16" s="1111">
        <f>+GB!H432</f>
        <v>0</v>
      </c>
      <c r="E16" s="1112"/>
    </row>
    <row r="17" spans="1:6">
      <c r="A17" s="43">
        <v>8</v>
      </c>
      <c r="B17" s="1090" t="s">
        <v>159</v>
      </c>
      <c r="C17" s="1091"/>
      <c r="D17" s="1092"/>
      <c r="E17" s="1093"/>
    </row>
    <row r="18" spans="1:6" ht="15" customHeight="1">
      <c r="A18" s="1094" t="s">
        <v>160</v>
      </c>
      <c r="B18" s="1095"/>
      <c r="C18" s="1096"/>
      <c r="D18" s="1097">
        <f>+SUM(D9+D17)</f>
        <v>0</v>
      </c>
      <c r="E18" s="1098"/>
    </row>
    <row r="19" spans="1:6">
      <c r="A19" s="1099" t="s">
        <v>161</v>
      </c>
      <c r="B19" s="1100"/>
      <c r="C19" s="1101"/>
      <c r="D19" s="1102">
        <f>+SUM(D20:E23)</f>
        <v>0</v>
      </c>
      <c r="E19" s="1103"/>
    </row>
    <row r="20" spans="1:6">
      <c r="A20" s="42">
        <v>9</v>
      </c>
      <c r="B20" s="1084" t="s">
        <v>59</v>
      </c>
      <c r="C20" s="1085"/>
      <c r="D20" s="1062">
        <f>+GB!H418+GB!H424-GB!H427</f>
        <v>0</v>
      </c>
      <c r="E20" s="1063"/>
    </row>
    <row r="21" spans="1:6">
      <c r="A21" s="42">
        <v>10</v>
      </c>
      <c r="B21" s="1086" t="s">
        <v>62</v>
      </c>
      <c r="C21" s="1087"/>
      <c r="D21" s="1062">
        <f>+GB!H429</f>
        <v>0</v>
      </c>
      <c r="E21" s="1063"/>
    </row>
    <row r="22" spans="1:6">
      <c r="A22" s="42">
        <v>11</v>
      </c>
      <c r="B22" s="1088" t="s">
        <v>65</v>
      </c>
      <c r="C22" s="1089"/>
      <c r="D22" s="1062">
        <f>GB!H422+GB!H433-GB!H434</f>
        <v>0</v>
      </c>
      <c r="E22" s="1063"/>
    </row>
    <row r="23" spans="1:6">
      <c r="A23" s="46">
        <v>12</v>
      </c>
      <c r="B23" s="1060" t="s">
        <v>162</v>
      </c>
      <c r="C23" s="1061"/>
      <c r="D23" s="1062">
        <f>+GB!H421</f>
        <v>0</v>
      </c>
      <c r="E23" s="1063"/>
    </row>
    <row r="24" spans="1:6" ht="15" customHeight="1">
      <c r="A24" s="1064" t="s">
        <v>163</v>
      </c>
      <c r="B24" s="1066" t="s">
        <v>164</v>
      </c>
      <c r="C24" s="1068" t="s">
        <v>165</v>
      </c>
      <c r="D24" s="1070" t="s">
        <v>166</v>
      </c>
      <c r="E24" s="99">
        <f>+SUM(E26,E44,D17,E46,E47)</f>
        <v>0</v>
      </c>
    </row>
    <row r="25" spans="1:6" ht="25.5">
      <c r="A25" s="1065"/>
      <c r="B25" s="1067"/>
      <c r="C25" s="1069"/>
      <c r="D25" s="1071"/>
      <c r="E25" s="100" t="s">
        <v>167</v>
      </c>
    </row>
    <row r="26" spans="1:6" ht="13.5" customHeight="1">
      <c r="A26" s="1072" t="s">
        <v>168</v>
      </c>
      <c r="B26" s="1073"/>
      <c r="C26" s="1074"/>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075" t="s">
        <v>183</v>
      </c>
      <c r="B44" s="1076"/>
      <c r="C44" s="1076"/>
      <c r="D44" s="1077"/>
      <c r="E44" s="112">
        <f>+E45</f>
        <v>0</v>
      </c>
    </row>
    <row r="45" spans="1:6">
      <c r="A45" s="51">
        <v>18</v>
      </c>
      <c r="B45" s="52" t="s">
        <v>184</v>
      </c>
      <c r="C45" s="53">
        <v>1</v>
      </c>
      <c r="D45" s="113">
        <f>+GB!D1674</f>
        <v>0</v>
      </c>
      <c r="E45" s="114">
        <f>+C45*D45</f>
        <v>0</v>
      </c>
    </row>
    <row r="46" spans="1:6">
      <c r="A46" s="54" t="s">
        <v>149</v>
      </c>
      <c r="B46" s="1078" t="s">
        <v>185</v>
      </c>
      <c r="C46" s="1079"/>
      <c r="D46" s="1080"/>
      <c r="E46" s="115">
        <f>ABS(Forex!M26)</f>
        <v>0</v>
      </c>
    </row>
    <row r="47" spans="1:6">
      <c r="A47" s="55" t="s">
        <v>150</v>
      </c>
      <c r="B47" s="1081" t="s">
        <v>186</v>
      </c>
      <c r="C47" s="1082"/>
      <c r="D47" s="1083"/>
      <c r="E47" s="116">
        <f>Statistic!C52*0.15/0.2</f>
        <v>0</v>
      </c>
      <c r="F47" s="9"/>
    </row>
    <row r="48" spans="1:6">
      <c r="A48" s="56" t="s">
        <v>187</v>
      </c>
      <c r="B48" s="1051" t="s">
        <v>188</v>
      </c>
      <c r="C48" s="1052"/>
      <c r="D48" s="1053"/>
      <c r="E48" s="117" t="s">
        <v>189</v>
      </c>
    </row>
    <row r="49" spans="1:5">
      <c r="A49" s="57">
        <v>1</v>
      </c>
      <c r="B49" s="1057" t="s">
        <v>190</v>
      </c>
      <c r="C49" s="1058"/>
      <c r="D49" s="1059"/>
      <c r="E49" s="118" t="e">
        <f>+D9/E24*100%</f>
        <v>#DIV/0!</v>
      </c>
    </row>
    <row r="50" spans="1:5">
      <c r="A50" s="58">
        <v>2</v>
      </c>
      <c r="B50" s="1048" t="s">
        <v>191</v>
      </c>
      <c r="C50" s="1049"/>
      <c r="D50" s="1050"/>
      <c r="E50" s="119" t="e">
        <f>IF(E49&lt;0.1,"Хангаагүй","Хангасан")</f>
        <v>#DIV/0!</v>
      </c>
    </row>
    <row r="51" spans="1:5" ht="12.75" customHeight="1">
      <c r="A51" s="56" t="s">
        <v>192</v>
      </c>
      <c r="B51" s="1051" t="s">
        <v>193</v>
      </c>
      <c r="C51" s="1052"/>
      <c r="D51" s="1053"/>
      <c r="E51" s="120" t="s">
        <v>194</v>
      </c>
    </row>
    <row r="52" spans="1:5">
      <c r="A52" s="51">
        <v>1</v>
      </c>
      <c r="B52" s="1048" t="s">
        <v>190</v>
      </c>
      <c r="C52" s="1049"/>
      <c r="D52" s="1050"/>
      <c r="E52" s="915" t="e">
        <f>BS!I96/E24</f>
        <v>#DIV/0!</v>
      </c>
    </row>
    <row r="53" spans="1:5">
      <c r="A53" s="51">
        <v>2</v>
      </c>
      <c r="B53" s="1048" t="s">
        <v>191</v>
      </c>
      <c r="C53" s="1049"/>
      <c r="D53" s="1050"/>
      <c r="E53" s="119" t="e">
        <f>+IF(E52&lt;0.2,"Хангаагүй","Хангасан")</f>
        <v>#DIV/0!</v>
      </c>
    </row>
    <row r="54" spans="1:5" ht="12.75" customHeight="1">
      <c r="A54" s="59" t="s">
        <v>195</v>
      </c>
      <c r="B54" s="1051" t="s">
        <v>196</v>
      </c>
      <c r="C54" s="1052"/>
      <c r="D54" s="1053"/>
      <c r="E54" s="120" t="s">
        <v>189</v>
      </c>
    </row>
    <row r="55" spans="1:5">
      <c r="A55" s="58">
        <v>1</v>
      </c>
      <c r="B55" s="1048" t="s">
        <v>190</v>
      </c>
      <c r="C55" s="1049"/>
      <c r="D55" s="1050"/>
      <c r="E55" s="916" t="e">
        <f>+D9/BS!D102</f>
        <v>#DIV/0!</v>
      </c>
    </row>
    <row r="56" spans="1:5" ht="13.5" thickBot="1">
      <c r="A56" s="60">
        <v>2</v>
      </c>
      <c r="B56" s="1054" t="s">
        <v>191</v>
      </c>
      <c r="C56" s="1055"/>
      <c r="D56" s="1056"/>
      <c r="E56" s="121" t="e">
        <f>+IF(E55&lt;0.1,"Хангаагүй","Хангасан")</f>
        <v>#DIV/0!</v>
      </c>
    </row>
    <row r="57" spans="1:5" ht="13.5" thickTop="1"/>
    <row r="59" spans="1:5">
      <c r="A59" s="998" t="s">
        <v>33</v>
      </c>
      <c r="B59" s="998"/>
      <c r="C59" s="92"/>
      <c r="D59" s="13"/>
      <c r="E59" s="14"/>
    </row>
    <row r="60" spans="1:5">
      <c r="A60" s="34"/>
      <c r="B60" s="93"/>
      <c r="C60" s="92"/>
      <c r="D60" s="13"/>
      <c r="E60" s="14"/>
    </row>
    <row r="61" spans="1:5" ht="15" customHeight="1">
      <c r="A61" s="1040" t="s">
        <v>122</v>
      </c>
      <c r="B61" s="1040"/>
      <c r="C61" s="94"/>
      <c r="D61" s="17"/>
      <c r="E61" s="3"/>
    </row>
    <row r="62" spans="1:5">
      <c r="A62" s="16"/>
      <c r="B62" s="93"/>
      <c r="C62" s="92"/>
      <c r="D62" s="13"/>
      <c r="E62" s="14"/>
    </row>
    <row r="63" spans="1:5">
      <c r="A63" s="1047" t="str">
        <f>+Statistic!B60</f>
        <v>ГҮЙЦЭТГЭХ ЗАХИРАЛ.......................//</v>
      </c>
      <c r="B63" s="1047"/>
      <c r="C63" s="1047"/>
      <c r="D63" s="1047"/>
      <c r="E63" s="1047"/>
    </row>
    <row r="64" spans="1:5">
      <c r="A64" s="95"/>
      <c r="B64" s="95"/>
      <c r="C64" s="95"/>
      <c r="D64" s="95"/>
      <c r="E64" s="95"/>
    </row>
    <row r="65" spans="1:5">
      <c r="A65" s="1047" t="str">
        <f>+Statistic!B62</f>
        <v>ЕРӨНХИЙ НЯГТЛАН БОДОГЧ...................................................//</v>
      </c>
      <c r="B65" s="1047"/>
      <c r="C65" s="1047"/>
      <c r="D65" s="1047"/>
      <c r="E65" s="1047"/>
    </row>
    <row r="66" spans="1:5">
      <c r="A66" s="95"/>
      <c r="B66" s="95"/>
      <c r="C66" s="95"/>
      <c r="D66" s="95"/>
      <c r="E66" s="95"/>
    </row>
    <row r="67" spans="1:5">
      <c r="A67" s="1047"/>
      <c r="B67" s="1047"/>
      <c r="C67" s="1047"/>
      <c r="D67" s="1047"/>
      <c r="E67" s="1047"/>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85" t="s">
        <v>197</v>
      </c>
      <c r="B2" s="985"/>
      <c r="C2" s="985"/>
      <c r="D2" s="985"/>
      <c r="E2" s="985"/>
    </row>
    <row r="3" spans="1:6">
      <c r="A3" s="1002" t="str">
        <f>GB!A3</f>
        <v xml:space="preserve">БАНК БУС САНХҮҮГИЙН БАЙГУУЛЛАГЫН НЭР </v>
      </c>
      <c r="B3" s="1002"/>
      <c r="C3" s="1002"/>
      <c r="D3" s="1002"/>
      <c r="E3" s="1002"/>
    </row>
    <row r="4" spans="1:6">
      <c r="A4" s="985" t="str">
        <f>GB!A4</f>
        <v>БАНК БУС САНХҮҮГИЙН БАЙГУУЛЛАГА</v>
      </c>
      <c r="B4" s="985"/>
      <c r="C4" s="985"/>
      <c r="D4" s="985"/>
      <c r="E4" s="985"/>
    </row>
    <row r="5" spans="1:6">
      <c r="A5" s="1"/>
      <c r="B5" s="1"/>
      <c r="C5" s="1"/>
      <c r="D5" s="1"/>
      <c r="E5" s="1"/>
    </row>
    <row r="6" spans="1:6">
      <c r="A6" s="1140">
        <f>GB!A6</f>
        <v>45473</v>
      </c>
      <c r="B6" s="1140"/>
      <c r="C6" s="843"/>
      <c r="D6" s="843"/>
      <c r="E6" s="844" t="s">
        <v>41</v>
      </c>
    </row>
    <row r="7" spans="1:6">
      <c r="A7" s="1141" t="s">
        <v>137</v>
      </c>
      <c r="B7" s="1141"/>
      <c r="C7" s="845" t="s">
        <v>198</v>
      </c>
      <c r="D7" s="845" t="s">
        <v>199</v>
      </c>
      <c r="E7" s="845" t="s">
        <v>152</v>
      </c>
    </row>
    <row r="8" spans="1:6">
      <c r="A8" s="1142" t="s">
        <v>200</v>
      </c>
      <c r="B8" s="1142"/>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42" t="s">
        <v>203</v>
      </c>
      <c r="B14" s="1142"/>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43" t="s">
        <v>204</v>
      </c>
      <c r="B26" s="1143"/>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98" t="s">
        <v>33</v>
      </c>
      <c r="B30" s="998"/>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39" t="str">
        <f>+Statistic!B60</f>
        <v>ГҮЙЦЭТГЭХ ЗАХИРАЛ.......................//</v>
      </c>
      <c r="C34" s="1139"/>
      <c r="D34" s="1139"/>
      <c r="E34" s="1139"/>
      <c r="F34" s="862"/>
    </row>
    <row r="35" spans="1:8">
      <c r="A35" s="15"/>
      <c r="B35" s="862"/>
      <c r="C35" s="863"/>
      <c r="D35" s="863"/>
      <c r="E35" s="862"/>
      <c r="F35" s="862"/>
    </row>
    <row r="36" spans="1:8">
      <c r="A36" s="15"/>
      <c r="B36" s="1139" t="str">
        <f>+Statistic!B62</f>
        <v>ЕРӨНХИЙ НЯГТЛАН БОДОГЧ...................................................//</v>
      </c>
      <c r="C36" s="1139"/>
      <c r="D36" s="1139"/>
      <c r="E36" s="1139"/>
      <c r="F36" s="862"/>
    </row>
    <row r="37" spans="1:8">
      <c r="A37" s="15"/>
      <c r="B37" s="862"/>
      <c r="C37" s="863"/>
      <c r="D37" s="863"/>
      <c r="E37" s="862"/>
      <c r="F37" s="862"/>
    </row>
    <row r="38" spans="1:8">
      <c r="A38" s="15"/>
      <c r="B38" s="1139"/>
      <c r="C38" s="1139"/>
      <c r="D38" s="1139"/>
      <c r="E38" s="1139"/>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5" t="s">
        <v>205</v>
      </c>
      <c r="B2" s="985"/>
      <c r="C2" s="985"/>
      <c r="D2" s="985"/>
      <c r="E2" s="985"/>
      <c r="F2" s="985"/>
      <c r="G2" s="985"/>
      <c r="H2" s="985"/>
      <c r="I2" s="985"/>
      <c r="J2" s="985"/>
      <c r="K2" s="985"/>
      <c r="L2" s="985"/>
      <c r="M2" s="985"/>
    </row>
    <row r="3" spans="1:13">
      <c r="A3" s="1002" t="str">
        <f>GB!A3</f>
        <v xml:space="preserve">БАНК БУС САНХҮҮГИЙН БАЙГУУЛЛАГЫН НЭР </v>
      </c>
      <c r="B3" s="1002"/>
      <c r="C3" s="1002"/>
      <c r="D3" s="1002"/>
      <c r="E3" s="1002"/>
      <c r="F3" s="1002"/>
      <c r="G3" s="1002"/>
      <c r="H3" s="1002"/>
      <c r="I3" s="1002"/>
      <c r="J3" s="1002"/>
      <c r="K3" s="1002"/>
      <c r="L3" s="1002"/>
      <c r="M3" s="1002"/>
    </row>
    <row r="4" spans="1:13" ht="13.5" customHeight="1">
      <c r="A4" s="985" t="str">
        <f>GB!A4</f>
        <v>БАНК БУС САНХҮҮГИЙН БАЙГУУЛЛАГА</v>
      </c>
      <c r="B4" s="985"/>
      <c r="C4" s="985"/>
      <c r="D4" s="985"/>
      <c r="E4" s="985"/>
      <c r="F4" s="985"/>
      <c r="G4" s="985"/>
      <c r="H4" s="985"/>
      <c r="I4" s="985"/>
      <c r="J4" s="985"/>
      <c r="K4" s="985"/>
      <c r="L4" s="985"/>
      <c r="M4" s="985"/>
    </row>
    <row r="5" spans="1:13" ht="13.5" customHeight="1">
      <c r="A5" s="1"/>
      <c r="B5" s="1"/>
      <c r="C5" s="1"/>
      <c r="D5" s="1"/>
      <c r="E5" s="1"/>
      <c r="F5" s="1"/>
      <c r="G5" s="1"/>
      <c r="H5" s="1"/>
      <c r="I5" s="1"/>
      <c r="J5" s="1"/>
      <c r="K5" s="1"/>
      <c r="L5" s="1"/>
      <c r="M5" s="1"/>
    </row>
    <row r="6" spans="1:13">
      <c r="A6" s="1046">
        <f>GB!A6</f>
        <v>45473</v>
      </c>
      <c r="B6" s="1046"/>
      <c r="L6" s="1155" t="s">
        <v>1453</v>
      </c>
      <c r="M6" s="1155"/>
    </row>
    <row r="7" spans="1:13">
      <c r="A7" s="1149" t="s">
        <v>137</v>
      </c>
      <c r="B7" s="1149"/>
      <c r="C7" s="1150" t="s">
        <v>206</v>
      </c>
      <c r="D7" s="1150"/>
      <c r="E7" s="1150"/>
      <c r="F7" s="1150"/>
      <c r="G7" s="1150"/>
      <c r="H7" s="1150"/>
      <c r="I7" s="1150"/>
      <c r="J7" s="1150"/>
      <c r="K7" s="1150"/>
      <c r="L7" s="1150" t="s">
        <v>152</v>
      </c>
      <c r="M7" s="1150"/>
    </row>
    <row r="8" spans="1:13">
      <c r="A8" s="1149"/>
      <c r="B8" s="1149"/>
      <c r="C8" s="270" t="s">
        <v>111</v>
      </c>
      <c r="D8" s="270" t="s">
        <v>113</v>
      </c>
      <c r="E8" s="270" t="s">
        <v>115</v>
      </c>
      <c r="F8" s="270" t="s">
        <v>116</v>
      </c>
      <c r="G8" s="270" t="s">
        <v>117</v>
      </c>
      <c r="H8" s="270" t="s">
        <v>119</v>
      </c>
      <c r="I8" s="270" t="s">
        <v>120</v>
      </c>
      <c r="J8" s="270" t="s">
        <v>121</v>
      </c>
      <c r="K8" s="270" t="s">
        <v>55</v>
      </c>
      <c r="L8" s="270" t="s">
        <v>207</v>
      </c>
      <c r="M8" s="270" t="s">
        <v>208</v>
      </c>
    </row>
    <row r="9" spans="1:13">
      <c r="A9" s="1145" t="s">
        <v>209</v>
      </c>
      <c r="B9" s="1145"/>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45" t="s">
        <v>216</v>
      </c>
      <c r="B16" s="1145"/>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45" t="s">
        <v>222</v>
      </c>
      <c r="B23" s="1145"/>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54" t="s">
        <v>225</v>
      </c>
      <c r="B26" s="1154"/>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47" t="s">
        <v>226</v>
      </c>
      <c r="B27" s="1147"/>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47" t="s">
        <v>227</v>
      </c>
      <c r="B28" s="1147"/>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8" t="s">
        <v>228</v>
      </c>
      <c r="B29" s="1148"/>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53" t="s">
        <v>229</v>
      </c>
      <c r="B30" s="1153"/>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47" t="s">
        <v>230</v>
      </c>
      <c r="B31" s="1147"/>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51" t="s">
        <v>232</v>
      </c>
      <c r="B32" s="1151"/>
      <c r="C32" s="165">
        <f>+GB!H1679</f>
        <v>3381.05</v>
      </c>
      <c r="D32" s="165">
        <f>+GB!H1680</f>
        <v>3614.34</v>
      </c>
      <c r="E32" s="165">
        <f>+GB!H1681</f>
        <v>21.06</v>
      </c>
      <c r="F32" s="165">
        <f>+GB!H1682</f>
        <v>3767.4</v>
      </c>
      <c r="G32" s="165">
        <f>+GB!H1683</f>
        <v>4271.1099999999997</v>
      </c>
      <c r="H32" s="165">
        <f>+GB!H1684</f>
        <v>465.14</v>
      </c>
      <c r="I32" s="165">
        <f>+GB!H1685</f>
        <v>39.909999999999997</v>
      </c>
      <c r="J32" s="165">
        <f>+GB!H1686</f>
        <v>2.44</v>
      </c>
      <c r="K32" s="165">
        <f>+GB!H1687</f>
        <v>0</v>
      </c>
      <c r="L32" s="165">
        <v>1</v>
      </c>
      <c r="M32" s="165">
        <f>+C32</f>
        <v>3381.05</v>
      </c>
    </row>
    <row r="33" spans="1:13">
      <c r="A33" s="399"/>
      <c r="B33" s="399"/>
      <c r="C33" s="400"/>
      <c r="D33" s="400"/>
      <c r="E33" s="400"/>
      <c r="F33" s="400"/>
      <c r="G33" s="400"/>
      <c r="H33" s="400"/>
      <c r="I33" s="400"/>
      <c r="J33" s="400"/>
      <c r="K33" s="400"/>
      <c r="L33" s="400"/>
      <c r="M33" s="400"/>
    </row>
    <row r="34" spans="1:13" s="90" customFormat="1">
      <c r="A34" s="1146" t="s">
        <v>588</v>
      </c>
      <c r="B34" s="1146"/>
      <c r="C34" s="1146"/>
      <c r="D34" s="1146"/>
      <c r="E34" s="1146"/>
      <c r="F34" s="1146"/>
      <c r="G34" s="1146"/>
      <c r="H34" s="1146"/>
      <c r="I34" s="1146"/>
      <c r="J34" s="1146"/>
      <c r="K34" s="1146"/>
      <c r="L34" s="1146"/>
      <c r="M34" s="1146"/>
    </row>
    <row r="35" spans="1:13">
      <c r="A35" s="1146" t="s">
        <v>587</v>
      </c>
      <c r="B35" s="1146"/>
      <c r="C35" s="1146"/>
      <c r="D35" s="1146"/>
      <c r="E35" s="1146"/>
      <c r="F35" s="1146"/>
      <c r="G35" s="1146"/>
      <c r="H35" s="1146"/>
      <c r="I35" s="1146"/>
      <c r="J35" s="1146"/>
      <c r="K35" s="1146"/>
      <c r="L35" s="1146"/>
      <c r="M35" s="1146"/>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52" t="s">
        <v>122</v>
      </c>
      <c r="E39" s="1152"/>
      <c r="F39" s="1152"/>
      <c r="G39" s="13"/>
      <c r="H39" s="14"/>
    </row>
    <row r="40" spans="1:13" s="90" customFormat="1">
      <c r="A40" s="16"/>
      <c r="B40" s="3"/>
      <c r="C40" s="15"/>
      <c r="D40" s="16"/>
      <c r="E40" s="93"/>
      <c r="F40" s="93"/>
      <c r="G40" s="13"/>
      <c r="H40" s="14"/>
    </row>
    <row r="41" spans="1:13" s="90" customFormat="1" ht="15" customHeight="1">
      <c r="A41" s="16"/>
      <c r="B41" s="3"/>
      <c r="C41" s="15"/>
      <c r="D41" s="1144" t="str">
        <f>+Statistic!B60</f>
        <v>ГҮЙЦЭТГЭХ ЗАХИРАЛ.......................//</v>
      </c>
      <c r="E41" s="1144" t="e">
        <f>+Statistic!#REF!</f>
        <v>#REF!</v>
      </c>
      <c r="F41" s="1144" t="e">
        <f>+Statistic!#REF!</f>
        <v>#REF!</v>
      </c>
      <c r="G41" s="1144" t="e">
        <f>+Statistic!#REF!</f>
        <v>#REF!</v>
      </c>
      <c r="H41" s="1144" t="e">
        <f>+Statistic!#REF!</f>
        <v>#REF!</v>
      </c>
      <c r="I41" s="1144" t="e">
        <f>+Statistic!#REF!</f>
        <v>#REF!</v>
      </c>
      <c r="J41" s="1144" t="e">
        <f>+Statistic!#REF!</f>
        <v>#REF!</v>
      </c>
      <c r="K41" s="1144"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44" t="str">
        <f>+Statistic!B62</f>
        <v>ЕРӨНХИЙ НЯГТЛАН БОДОГЧ...................................................//</v>
      </c>
      <c r="E43" s="1144" t="e">
        <f>+Statistic!#REF!</f>
        <v>#REF!</v>
      </c>
      <c r="F43" s="1144" t="e">
        <f>+Statistic!#REF!</f>
        <v>#REF!</v>
      </c>
      <c r="G43" s="1144" t="e">
        <f>+Statistic!#REF!</f>
        <v>#REF!</v>
      </c>
      <c r="H43" s="1144" t="e">
        <f>+Statistic!#REF!</f>
        <v>#REF!</v>
      </c>
      <c r="I43" s="1144" t="e">
        <f>+Statistic!#REF!</f>
        <v>#REF!</v>
      </c>
      <c r="J43" s="1144" t="e">
        <f>+Statistic!#REF!</f>
        <v>#REF!</v>
      </c>
      <c r="K43" s="1144"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5" t="s">
        <v>233</v>
      </c>
      <c r="B2" s="985"/>
      <c r="C2" s="985"/>
      <c r="D2" s="985"/>
      <c r="E2" s="985"/>
      <c r="F2" s="985"/>
      <c r="G2" s="985"/>
    </row>
    <row r="3" spans="1:9">
      <c r="A3" s="1002" t="str">
        <f>+GB!A3</f>
        <v xml:space="preserve">БАНК БУС САНХҮҮГИЙН БАЙГУУЛЛАГЫН НЭР </v>
      </c>
      <c r="B3" s="1002"/>
      <c r="C3" s="1002"/>
      <c r="D3" s="1002"/>
      <c r="E3" s="1002"/>
      <c r="F3" s="1002"/>
      <c r="G3" s="1002"/>
      <c r="H3" s="9"/>
      <c r="I3" s="9"/>
    </row>
    <row r="4" spans="1:9">
      <c r="A4" s="985" t="str">
        <f>+GB!A4</f>
        <v>БАНК БУС САНХҮҮГИЙН БАЙГУУЛЛАГА</v>
      </c>
      <c r="B4" s="985"/>
      <c r="C4" s="985"/>
      <c r="D4" s="985"/>
      <c r="E4" s="985"/>
      <c r="F4" s="985"/>
      <c r="G4" s="985"/>
      <c r="H4" s="2"/>
      <c r="I4" s="2"/>
    </row>
    <row r="5" spans="1:9">
      <c r="A5" s="1046">
        <f>+GB!A6</f>
        <v>45473</v>
      </c>
      <c r="B5" s="1046"/>
      <c r="G5" s="123" t="s">
        <v>41</v>
      </c>
    </row>
    <row r="6" spans="1:9" ht="16.5" customHeight="1">
      <c r="A6" s="1141" t="s">
        <v>137</v>
      </c>
      <c r="B6" s="1141"/>
      <c r="C6" s="1141"/>
      <c r="D6" s="1141"/>
      <c r="E6" s="1141"/>
      <c r="F6" s="1156" t="s">
        <v>152</v>
      </c>
      <c r="G6" s="1156"/>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58">
        <f>+BS!D32</f>
        <v>0</v>
      </c>
      <c r="G8" s="1165">
        <f>+F8-E8</f>
        <v>0</v>
      </c>
    </row>
    <row r="9" spans="1:9" ht="15" customHeight="1">
      <c r="A9" s="166">
        <v>1</v>
      </c>
      <c r="B9" s="62" t="s">
        <v>241</v>
      </c>
      <c r="C9" s="124">
        <f>+BS!D26</f>
        <v>0</v>
      </c>
      <c r="D9" s="171">
        <v>0</v>
      </c>
      <c r="E9" s="172">
        <f>C9*D9</f>
        <v>0</v>
      </c>
      <c r="F9" s="1158"/>
      <c r="G9" s="1165"/>
    </row>
    <row r="10" spans="1:9" ht="15" customHeight="1">
      <c r="A10" s="166">
        <v>2</v>
      </c>
      <c r="B10" s="62" t="s">
        <v>611</v>
      </c>
      <c r="C10" s="124">
        <f>+BS!D27</f>
        <v>0</v>
      </c>
      <c r="D10" s="63">
        <v>0.05</v>
      </c>
      <c r="E10" s="172">
        <f>C10*D10</f>
        <v>0</v>
      </c>
      <c r="F10" s="1158"/>
      <c r="G10" s="1165"/>
    </row>
    <row r="11" spans="1:9" ht="15" customHeight="1">
      <c r="A11" s="173">
        <v>3</v>
      </c>
      <c r="B11" s="174" t="s">
        <v>242</v>
      </c>
      <c r="C11" s="124">
        <f>+BS!D28</f>
        <v>0</v>
      </c>
      <c r="D11" s="176"/>
      <c r="E11" s="177">
        <f>SUM(E12:E14)</f>
        <v>0</v>
      </c>
      <c r="F11" s="1158"/>
      <c r="G11" s="1165"/>
    </row>
    <row r="12" spans="1:9">
      <c r="A12" s="178"/>
      <c r="B12" s="64" t="s">
        <v>243</v>
      </c>
      <c r="C12" s="124">
        <f>+BS!D29</f>
        <v>0</v>
      </c>
      <c r="D12" s="63">
        <v>0.25</v>
      </c>
      <c r="E12" s="124">
        <f>C12*D12</f>
        <v>0</v>
      </c>
      <c r="F12" s="1158"/>
      <c r="G12" s="1165"/>
    </row>
    <row r="13" spans="1:9">
      <c r="A13" s="178"/>
      <c r="B13" s="64" t="s">
        <v>244</v>
      </c>
      <c r="C13" s="124">
        <f>+BS!D30</f>
        <v>0</v>
      </c>
      <c r="D13" s="63">
        <v>0.5</v>
      </c>
      <c r="E13" s="124">
        <f>C13*D13</f>
        <v>0</v>
      </c>
      <c r="F13" s="1158"/>
      <c r="G13" s="1165"/>
    </row>
    <row r="14" spans="1:9">
      <c r="A14" s="178"/>
      <c r="B14" s="64" t="s">
        <v>245</v>
      </c>
      <c r="C14" s="124">
        <f>+BS!D31</f>
        <v>0</v>
      </c>
      <c r="D14" s="63">
        <v>1</v>
      </c>
      <c r="E14" s="124">
        <f>C14*D14</f>
        <v>0</v>
      </c>
      <c r="F14" s="1158"/>
      <c r="G14" s="1165"/>
    </row>
    <row r="15" spans="1:9">
      <c r="A15" s="179" t="s">
        <v>246</v>
      </c>
      <c r="B15" s="179" t="s">
        <v>247</v>
      </c>
      <c r="C15" s="180">
        <f>+SUM(C16:C18)</f>
        <v>0</v>
      </c>
      <c r="D15" s="181">
        <v>1</v>
      </c>
      <c r="E15" s="180">
        <f>+SUM(E16:E18)</f>
        <v>0</v>
      </c>
      <c r="F15" s="1161">
        <f>+BS!D63</f>
        <v>0</v>
      </c>
      <c r="G15" s="1162">
        <f>+F15-E15</f>
        <v>0</v>
      </c>
    </row>
    <row r="16" spans="1:9" ht="15" customHeight="1">
      <c r="A16" s="166">
        <v>4</v>
      </c>
      <c r="B16" s="64" t="s">
        <v>248</v>
      </c>
      <c r="C16" s="182">
        <f>+BS!D57</f>
        <v>0</v>
      </c>
      <c r="D16" s="183">
        <v>0</v>
      </c>
      <c r="E16" s="125">
        <f>+C16*D16</f>
        <v>0</v>
      </c>
      <c r="F16" s="1161"/>
      <c r="G16" s="1162"/>
    </row>
    <row r="17" spans="1:7" ht="14.25" customHeight="1">
      <c r="A17" s="166">
        <v>5</v>
      </c>
      <c r="B17" s="64" t="s">
        <v>612</v>
      </c>
      <c r="C17" s="182">
        <f>+BS!D58</f>
        <v>0</v>
      </c>
      <c r="D17" s="65">
        <v>0.05</v>
      </c>
      <c r="E17" s="125">
        <f>+C17*D17</f>
        <v>0</v>
      </c>
      <c r="F17" s="1161"/>
      <c r="G17" s="1162"/>
    </row>
    <row r="18" spans="1:7">
      <c r="A18" s="184">
        <v>6</v>
      </c>
      <c r="B18" s="174" t="s">
        <v>249</v>
      </c>
      <c r="C18" s="182">
        <f>+BS!D59</f>
        <v>0</v>
      </c>
      <c r="D18" s="186"/>
      <c r="E18" s="185">
        <f>+SUM(E19:E21)</f>
        <v>0</v>
      </c>
      <c r="F18" s="1161"/>
      <c r="G18" s="1162"/>
    </row>
    <row r="19" spans="1:7">
      <c r="A19" s="166"/>
      <c r="B19" s="64" t="s">
        <v>243</v>
      </c>
      <c r="C19" s="182">
        <f>+BS!D60</f>
        <v>0</v>
      </c>
      <c r="D19" s="65">
        <v>0.25</v>
      </c>
      <c r="E19" s="125">
        <f>+C19*D19</f>
        <v>0</v>
      </c>
      <c r="F19" s="1161"/>
      <c r="G19" s="1162"/>
    </row>
    <row r="20" spans="1:7">
      <c r="A20" s="166"/>
      <c r="B20" s="64" t="s">
        <v>244</v>
      </c>
      <c r="C20" s="182">
        <f>+BS!D61</f>
        <v>0</v>
      </c>
      <c r="D20" s="65">
        <v>0.5</v>
      </c>
      <c r="E20" s="125">
        <f>+C20*D20</f>
        <v>0</v>
      </c>
      <c r="F20" s="1161"/>
      <c r="G20" s="1162"/>
    </row>
    <row r="21" spans="1:7">
      <c r="A21" s="166"/>
      <c r="B21" s="64" t="s">
        <v>245</v>
      </c>
      <c r="C21" s="182">
        <f>+BS!D62</f>
        <v>0</v>
      </c>
      <c r="D21" s="65">
        <v>1</v>
      </c>
      <c r="E21" s="125">
        <f>+C21*D21</f>
        <v>0</v>
      </c>
      <c r="F21" s="1161"/>
      <c r="G21" s="1162"/>
    </row>
    <row r="22" spans="1:7">
      <c r="A22" s="168" t="s">
        <v>250</v>
      </c>
      <c r="B22" s="187" t="s">
        <v>251</v>
      </c>
      <c r="C22" s="188">
        <f>+SUM(C23:C25)</f>
        <v>0</v>
      </c>
      <c r="D22" s="189">
        <v>1</v>
      </c>
      <c r="E22" s="188">
        <f>ROUND(SUM(E23:E25),2)</f>
        <v>0</v>
      </c>
      <c r="F22" s="1166">
        <f>+BS!D44</f>
        <v>0</v>
      </c>
      <c r="G22" s="1157">
        <f>+F22-E22</f>
        <v>0</v>
      </c>
    </row>
    <row r="23" spans="1:7">
      <c r="A23" s="166">
        <v>7</v>
      </c>
      <c r="B23" s="64" t="s">
        <v>252</v>
      </c>
      <c r="C23" s="190">
        <f>+BS!D38</f>
        <v>0</v>
      </c>
      <c r="D23" s="183">
        <v>0</v>
      </c>
      <c r="E23" s="124">
        <f>+C23*D23</f>
        <v>0</v>
      </c>
      <c r="F23" s="1166"/>
      <c r="G23" s="1157"/>
    </row>
    <row r="24" spans="1:7">
      <c r="A24" s="166">
        <v>8</v>
      </c>
      <c r="B24" s="62" t="s">
        <v>613</v>
      </c>
      <c r="C24" s="190">
        <f>+BS!D39</f>
        <v>0</v>
      </c>
      <c r="D24" s="65">
        <v>0.05</v>
      </c>
      <c r="E24" s="124">
        <f>+C24*D24</f>
        <v>0</v>
      </c>
      <c r="F24" s="1166"/>
      <c r="G24" s="1157"/>
    </row>
    <row r="25" spans="1:7">
      <c r="A25" s="184">
        <v>9</v>
      </c>
      <c r="B25" s="191" t="s">
        <v>253</v>
      </c>
      <c r="C25" s="190">
        <f>+BS!D40</f>
        <v>0</v>
      </c>
      <c r="D25" s="186"/>
      <c r="E25" s="175">
        <f>+SUM(E26:E28)</f>
        <v>0</v>
      </c>
      <c r="F25" s="1166"/>
      <c r="G25" s="1157"/>
    </row>
    <row r="26" spans="1:7">
      <c r="A26" s="166"/>
      <c r="B26" s="62" t="s">
        <v>243</v>
      </c>
      <c r="C26" s="190">
        <f>+BS!D41</f>
        <v>0</v>
      </c>
      <c r="D26" s="65">
        <v>0.25</v>
      </c>
      <c r="E26" s="124">
        <f>+C26*D26</f>
        <v>0</v>
      </c>
      <c r="F26" s="1166"/>
      <c r="G26" s="1157"/>
    </row>
    <row r="27" spans="1:7">
      <c r="A27" s="166"/>
      <c r="B27" s="62" t="s">
        <v>244</v>
      </c>
      <c r="C27" s="190">
        <f>+BS!D42</f>
        <v>0</v>
      </c>
      <c r="D27" s="65">
        <v>0.5</v>
      </c>
      <c r="E27" s="124">
        <f>+C27*D27</f>
        <v>0</v>
      </c>
      <c r="F27" s="1166"/>
      <c r="G27" s="1157"/>
    </row>
    <row r="28" spans="1:7">
      <c r="A28" s="166"/>
      <c r="B28" s="62" t="s">
        <v>245</v>
      </c>
      <c r="C28" s="190">
        <f>+BS!D43</f>
        <v>0</v>
      </c>
      <c r="D28" s="65">
        <v>1</v>
      </c>
      <c r="E28" s="124">
        <f>+C28*D28</f>
        <v>0</v>
      </c>
      <c r="F28" s="1166"/>
      <c r="G28" s="1157"/>
    </row>
    <row r="29" spans="1:7">
      <c r="A29" s="168" t="s">
        <v>254</v>
      </c>
      <c r="B29" s="187" t="s">
        <v>132</v>
      </c>
      <c r="C29" s="188">
        <f>+SUM(C30:C32)</f>
        <v>0</v>
      </c>
      <c r="D29" s="189">
        <v>1</v>
      </c>
      <c r="E29" s="188">
        <f>ROUND(SUM(E30:E32),2)</f>
        <v>0</v>
      </c>
      <c r="F29" s="1161">
        <f>+GB!D1453</f>
        <v>0</v>
      </c>
      <c r="G29" s="1162">
        <f>+F29-E29</f>
        <v>0</v>
      </c>
    </row>
    <row r="30" spans="1:7">
      <c r="A30" s="166">
        <v>10</v>
      </c>
      <c r="B30" s="62" t="s">
        <v>78</v>
      </c>
      <c r="C30" s="967"/>
      <c r="D30" s="171">
        <v>0</v>
      </c>
      <c r="E30" s="124">
        <f>+C30*D30</f>
        <v>0</v>
      </c>
      <c r="F30" s="1161"/>
      <c r="G30" s="1162"/>
    </row>
    <row r="31" spans="1:7">
      <c r="A31" s="166">
        <v>11</v>
      </c>
      <c r="B31" s="62" t="s">
        <v>610</v>
      </c>
      <c r="C31" s="967"/>
      <c r="D31" s="65">
        <v>0.05</v>
      </c>
      <c r="E31" s="124">
        <f>+C31*D31</f>
        <v>0</v>
      </c>
      <c r="F31" s="1161"/>
      <c r="G31" s="1162"/>
    </row>
    <row r="32" spans="1:7">
      <c r="A32" s="184">
        <v>12</v>
      </c>
      <c r="B32" s="191" t="s">
        <v>255</v>
      </c>
      <c r="C32" s="175">
        <v>0</v>
      </c>
      <c r="D32" s="186"/>
      <c r="E32" s="175">
        <f>+SUM(E33:E35)</f>
        <v>0</v>
      </c>
      <c r="F32" s="1161"/>
      <c r="G32" s="1162"/>
    </row>
    <row r="33" spans="1:7">
      <c r="A33" s="192"/>
      <c r="B33" s="62" t="s">
        <v>243</v>
      </c>
      <c r="C33" s="967"/>
      <c r="D33" s="65">
        <v>0.25</v>
      </c>
      <c r="E33" s="124">
        <f>+C33*D33</f>
        <v>0</v>
      </c>
      <c r="F33" s="1161"/>
      <c r="G33" s="1162"/>
    </row>
    <row r="34" spans="1:7">
      <c r="A34" s="192"/>
      <c r="B34" s="62" t="s">
        <v>244</v>
      </c>
      <c r="C34" s="967"/>
      <c r="D34" s="65">
        <v>0.5</v>
      </c>
      <c r="E34" s="124">
        <f>+C34*D34</f>
        <v>0</v>
      </c>
      <c r="F34" s="1161"/>
      <c r="G34" s="1162"/>
    </row>
    <row r="35" spans="1:7">
      <c r="A35" s="192"/>
      <c r="B35" s="62" t="s">
        <v>245</v>
      </c>
      <c r="C35" s="967"/>
      <c r="D35" s="65">
        <v>1</v>
      </c>
      <c r="E35" s="124">
        <f>+C35*D35</f>
        <v>0</v>
      </c>
      <c r="F35" s="1161"/>
      <c r="G35" s="1162"/>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63">
        <f>+GB!D1457+GB!D1470</f>
        <v>0</v>
      </c>
      <c r="G37" s="1164">
        <f>+F37-E37</f>
        <v>0</v>
      </c>
    </row>
    <row r="38" spans="1:7">
      <c r="A38" s="152">
        <v>13</v>
      </c>
      <c r="B38" s="64" t="s">
        <v>260</v>
      </c>
      <c r="C38" s="968"/>
      <c r="D38" s="198">
        <v>0</v>
      </c>
      <c r="E38" s="124">
        <f>+C38*D38</f>
        <v>0</v>
      </c>
      <c r="F38" s="1163"/>
      <c r="G38" s="1164"/>
    </row>
    <row r="39" spans="1:7">
      <c r="A39" s="166">
        <v>14</v>
      </c>
      <c r="B39" s="62" t="s">
        <v>614</v>
      </c>
      <c r="C39" s="967"/>
      <c r="D39" s="65">
        <v>0.05</v>
      </c>
      <c r="E39" s="124">
        <f>+C39*D39</f>
        <v>0</v>
      </c>
      <c r="F39" s="1163"/>
      <c r="G39" s="1164"/>
    </row>
    <row r="40" spans="1:7">
      <c r="A40" s="184">
        <v>15</v>
      </c>
      <c r="B40" s="191" t="s">
        <v>261</v>
      </c>
      <c r="C40" s="175">
        <v>0</v>
      </c>
      <c r="D40" s="186"/>
      <c r="E40" s="175">
        <f>+SUM(E41:E43)</f>
        <v>0</v>
      </c>
      <c r="F40" s="1163"/>
      <c r="G40" s="1164"/>
    </row>
    <row r="41" spans="1:7">
      <c r="A41" s="166"/>
      <c r="B41" s="62" t="s">
        <v>243</v>
      </c>
      <c r="C41" s="967"/>
      <c r="D41" s="65">
        <v>0.25</v>
      </c>
      <c r="E41" s="124">
        <f>+C41*D41</f>
        <v>0</v>
      </c>
      <c r="F41" s="1163"/>
      <c r="G41" s="1164"/>
    </row>
    <row r="42" spans="1:7">
      <c r="A42" s="166"/>
      <c r="B42" s="62" t="s">
        <v>244</v>
      </c>
      <c r="C42" s="967"/>
      <c r="D42" s="65">
        <v>0.5</v>
      </c>
      <c r="E42" s="124">
        <f>+C42*D42</f>
        <v>0</v>
      </c>
      <c r="F42" s="1163"/>
      <c r="G42" s="1164"/>
    </row>
    <row r="43" spans="1:7">
      <c r="A43" s="166"/>
      <c r="B43" s="62" t="s">
        <v>245</v>
      </c>
      <c r="C43" s="967"/>
      <c r="D43" s="65">
        <v>1</v>
      </c>
      <c r="E43" s="124">
        <f>+C43*D43</f>
        <v>0</v>
      </c>
      <c r="F43" s="1163"/>
      <c r="G43" s="1164"/>
    </row>
    <row r="44" spans="1:7" ht="25.5">
      <c r="A44" s="168" t="s">
        <v>262</v>
      </c>
      <c r="B44" s="187" t="s">
        <v>263</v>
      </c>
      <c r="C44" s="199">
        <f>GB!D1674</f>
        <v>0</v>
      </c>
      <c r="D44" s="200">
        <v>0</v>
      </c>
      <c r="E44" s="199">
        <f>+C44*D44</f>
        <v>0</v>
      </c>
      <c r="F44" s="201"/>
      <c r="G44" s="196"/>
    </row>
    <row r="45" spans="1:7" ht="15.75" customHeight="1">
      <c r="A45" s="1159" t="s">
        <v>264</v>
      </c>
      <c r="B45" s="1159"/>
      <c r="C45" s="202">
        <f>+C44+C37+C36+C29+C22+C15+C8</f>
        <v>0</v>
      </c>
      <c r="D45" s="203"/>
      <c r="E45" s="202">
        <f>+E8+E15+E22+E29+E36+E37+E44</f>
        <v>0</v>
      </c>
      <c r="F45" s="204">
        <f>+F8+F15+F22+F29+F36+F37+F44</f>
        <v>0</v>
      </c>
      <c r="G45" s="205">
        <f>+G8+G15+G22+G29+G36+G37+G44</f>
        <v>0</v>
      </c>
    </row>
    <row r="47" spans="1:7">
      <c r="A47" s="1160" t="s">
        <v>33</v>
      </c>
      <c r="B47" s="1160"/>
      <c r="C47" s="3"/>
      <c r="D47" s="93"/>
      <c r="E47" s="93"/>
      <c r="F47" s="13"/>
      <c r="G47" s="14"/>
    </row>
    <row r="48" spans="1:7">
      <c r="B48" s="15"/>
      <c r="C48" s="16"/>
      <c r="D48" s="93"/>
      <c r="E48" s="93"/>
      <c r="F48" s="13"/>
      <c r="G48" s="14"/>
    </row>
    <row r="49" spans="2:7">
      <c r="B49" s="1040" t="s">
        <v>122</v>
      </c>
      <c r="C49" s="1040"/>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7" t="s">
        <v>286</v>
      </c>
      <c r="B2" s="987"/>
      <c r="C2" s="987"/>
      <c r="D2" s="987"/>
      <c r="E2" s="987"/>
      <c r="F2" s="987"/>
      <c r="G2" s="987"/>
      <c r="H2" s="987"/>
      <c r="I2" s="987"/>
      <c r="J2" s="987"/>
      <c r="K2" s="987"/>
      <c r="L2" s="987"/>
      <c r="M2" s="987"/>
      <c r="N2" s="987"/>
      <c r="O2" s="987"/>
      <c r="P2" s="987"/>
      <c r="Q2" s="987"/>
      <c r="R2" s="987"/>
      <c r="S2" s="987"/>
    </row>
    <row r="3" spans="1:21">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c r="Q3" s="1002"/>
      <c r="R3" s="1002"/>
      <c r="S3" s="1002"/>
    </row>
    <row r="4" spans="1:21">
      <c r="A4" s="985" t="str">
        <f>GB!A4</f>
        <v>БАНК БУС САНХҮҮГИЙН БАЙГУУЛЛАГА</v>
      </c>
      <c r="B4" s="985"/>
      <c r="C4" s="985"/>
      <c r="D4" s="985"/>
      <c r="E4" s="985"/>
      <c r="F4" s="985"/>
      <c r="G4" s="985"/>
      <c r="H4" s="985"/>
      <c r="I4" s="985"/>
      <c r="J4" s="985"/>
      <c r="K4" s="985"/>
      <c r="L4" s="985"/>
      <c r="M4" s="985"/>
      <c r="N4" s="985"/>
      <c r="O4" s="985"/>
      <c r="P4" s="985"/>
      <c r="Q4" s="985"/>
      <c r="R4" s="985"/>
      <c r="S4" s="985"/>
    </row>
    <row r="5" spans="1:21">
      <c r="A5" s="1140">
        <f>GB!A6</f>
        <v>45473</v>
      </c>
      <c r="B5" s="1140"/>
      <c r="C5" s="244"/>
      <c r="D5" s="244"/>
      <c r="E5" s="128"/>
      <c r="F5" s="306"/>
      <c r="G5" s="1"/>
      <c r="H5" s="1"/>
      <c r="I5" s="1"/>
      <c r="J5" s="1"/>
      <c r="K5" s="1"/>
      <c r="L5" s="128"/>
      <c r="M5" s="128"/>
      <c r="N5" s="307"/>
      <c r="O5" s="307"/>
      <c r="P5" s="128"/>
      <c r="Q5" s="128"/>
      <c r="R5" s="1169" t="s">
        <v>41</v>
      </c>
      <c r="S5" s="1169"/>
    </row>
    <row r="6" spans="1:21" ht="51" customHeight="1">
      <c r="A6" s="1180" t="s">
        <v>287</v>
      </c>
      <c r="B6" s="1174" t="s">
        <v>529</v>
      </c>
      <c r="C6" s="1175"/>
      <c r="D6" s="1186" t="s">
        <v>532</v>
      </c>
      <c r="E6" s="1178" t="s">
        <v>706</v>
      </c>
      <c r="F6" s="1191" t="s">
        <v>533</v>
      </c>
      <c r="G6" s="1178" t="s">
        <v>288</v>
      </c>
      <c r="H6" s="1186" t="s">
        <v>289</v>
      </c>
      <c r="I6" s="1186" t="s">
        <v>290</v>
      </c>
      <c r="J6" s="1186" t="s">
        <v>291</v>
      </c>
      <c r="K6" s="1186" t="s">
        <v>292</v>
      </c>
      <c r="L6" s="1176" t="s">
        <v>293</v>
      </c>
      <c r="M6" s="1170" t="s">
        <v>534</v>
      </c>
      <c r="N6" s="1171" t="s">
        <v>571</v>
      </c>
      <c r="O6" s="1171" t="s">
        <v>535</v>
      </c>
      <c r="P6" s="1188" t="s">
        <v>294</v>
      </c>
      <c r="Q6" s="1178" t="s">
        <v>295</v>
      </c>
      <c r="R6" s="1178" t="s">
        <v>296</v>
      </c>
      <c r="S6" s="1172" t="s">
        <v>297</v>
      </c>
    </row>
    <row r="7" spans="1:21">
      <c r="A7" s="1181"/>
      <c r="B7" s="297" t="s">
        <v>607</v>
      </c>
      <c r="C7" s="82" t="s">
        <v>531</v>
      </c>
      <c r="D7" s="1187"/>
      <c r="E7" s="1190"/>
      <c r="F7" s="1192"/>
      <c r="G7" s="1179"/>
      <c r="H7" s="1187"/>
      <c r="I7" s="1187"/>
      <c r="J7" s="1187"/>
      <c r="K7" s="1187"/>
      <c r="L7" s="1177"/>
      <c r="M7" s="1170"/>
      <c r="N7" s="1171"/>
      <c r="O7" s="1171"/>
      <c r="P7" s="1189"/>
      <c r="Q7" s="1179"/>
      <c r="R7" s="1179"/>
      <c r="S7" s="1173"/>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82" t="s">
        <v>298</v>
      </c>
      <c r="B48" s="1183"/>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68" t="s">
        <v>299</v>
      </c>
      <c r="R49" s="1168"/>
      <c r="S49" s="376" t="e">
        <f>MAX(S8:S47)</f>
        <v>#DIV/0!</v>
      </c>
    </row>
    <row r="50" spans="1:20" ht="12.75" customHeight="1">
      <c r="A50" s="1167" t="s">
        <v>552</v>
      </c>
      <c r="B50" s="1167"/>
      <c r="C50" s="1167"/>
      <c r="D50" s="1167"/>
      <c r="E50" s="1167"/>
      <c r="F50" s="1167"/>
      <c r="G50" s="1167"/>
      <c r="H50" s="1167"/>
      <c r="I50" s="1167"/>
      <c r="J50" s="1167"/>
      <c r="K50" s="1167"/>
      <c r="L50" s="1167"/>
      <c r="M50" s="1167"/>
      <c r="N50" s="1167"/>
      <c r="O50" s="1167"/>
      <c r="P50" s="1167"/>
      <c r="Q50" s="1167"/>
      <c r="R50" s="1167"/>
      <c r="S50" s="1167"/>
      <c r="T50" s="330"/>
    </row>
    <row r="51" spans="1:20" ht="12.75" customHeight="1">
      <c r="A51" s="1167" t="s">
        <v>401</v>
      </c>
      <c r="B51" s="1167"/>
      <c r="C51" s="1167"/>
      <c r="D51" s="1167"/>
      <c r="E51" s="1167"/>
      <c r="F51" s="1167"/>
      <c r="G51" s="1167"/>
      <c r="H51" s="1167"/>
      <c r="I51" s="1167"/>
      <c r="J51" s="1167"/>
      <c r="K51" s="1167"/>
      <c r="L51" s="1167"/>
      <c r="M51" s="1167"/>
      <c r="N51" s="1167"/>
      <c r="O51" s="1167"/>
      <c r="P51" s="1167"/>
      <c r="Q51" s="1167"/>
      <c r="R51" s="1167"/>
      <c r="S51" s="1167"/>
      <c r="T51" s="330"/>
    </row>
    <row r="52" spans="1:20">
      <c r="A52" s="1167"/>
      <c r="B52" s="1167"/>
      <c r="C52" s="1167"/>
      <c r="D52" s="1167"/>
      <c r="E52" s="1167"/>
      <c r="F52" s="1167"/>
      <c r="G52" s="1167"/>
      <c r="H52" s="1167"/>
      <c r="I52" s="1167"/>
      <c r="J52" s="1167"/>
      <c r="K52" s="1167"/>
      <c r="L52" s="1167"/>
      <c r="M52" s="1167"/>
      <c r="N52" s="1167"/>
      <c r="O52" s="1167"/>
      <c r="P52" s="1167"/>
      <c r="Q52" s="1167"/>
      <c r="R52" s="1167"/>
      <c r="S52" s="1167"/>
      <c r="T52" s="329"/>
    </row>
    <row r="53" spans="1:20">
      <c r="E53" s="129"/>
      <c r="F53" s="311"/>
      <c r="G53" s="129"/>
      <c r="L53" s="129"/>
      <c r="M53" s="129"/>
      <c r="N53" s="312"/>
      <c r="O53" s="312"/>
      <c r="P53" s="131"/>
      <c r="Q53" s="261"/>
      <c r="R53" s="131"/>
      <c r="S53" s="132"/>
    </row>
    <row r="54" spans="1:20">
      <c r="E54" s="1184" t="s">
        <v>33</v>
      </c>
      <c r="F54" s="1184"/>
      <c r="G54" s="1185"/>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40" t="s">
        <v>122</v>
      </c>
      <c r="H56" s="1040"/>
      <c r="I56" s="1040"/>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7" t="s">
        <v>332</v>
      </c>
      <c r="B2" s="987"/>
      <c r="C2" s="987"/>
      <c r="D2" s="987"/>
      <c r="E2" s="987"/>
      <c r="F2" s="987"/>
      <c r="G2" s="987"/>
      <c r="H2" s="987"/>
      <c r="I2" s="987"/>
      <c r="J2" s="987"/>
      <c r="K2" s="987"/>
      <c r="L2" s="987"/>
      <c r="M2" s="987"/>
      <c r="N2" s="987"/>
      <c r="O2" s="987"/>
      <c r="P2" s="987"/>
    </row>
    <row r="3" spans="1:16">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row>
    <row r="4" spans="1:16">
      <c r="A4" s="985" t="str">
        <f>GB!A4</f>
        <v>БАНК БУС САНХҮҮГИЙН БАЙГУУЛЛАГА</v>
      </c>
      <c r="B4" s="985"/>
      <c r="C4" s="985"/>
      <c r="D4" s="985"/>
      <c r="E4" s="985"/>
      <c r="F4" s="985"/>
      <c r="G4" s="985"/>
      <c r="H4" s="985"/>
      <c r="I4" s="985"/>
      <c r="J4" s="985"/>
      <c r="K4" s="985"/>
      <c r="L4" s="985"/>
      <c r="M4" s="985"/>
      <c r="N4" s="985"/>
      <c r="O4" s="985"/>
      <c r="P4" s="985"/>
    </row>
    <row r="5" spans="1:16">
      <c r="A5" s="1140">
        <f>GB!A6</f>
        <v>45473</v>
      </c>
      <c r="B5" s="1140"/>
      <c r="C5" s="244"/>
      <c r="D5" s="69"/>
      <c r="E5" s="128"/>
      <c r="F5" s="128"/>
      <c r="G5" s="1"/>
      <c r="H5" s="1"/>
      <c r="I5" s="1"/>
      <c r="J5" s="1"/>
      <c r="K5" s="1"/>
      <c r="L5" s="128"/>
      <c r="M5" s="128"/>
      <c r="N5" s="128"/>
      <c r="O5" s="1169" t="s">
        <v>41</v>
      </c>
      <c r="P5" s="1169"/>
    </row>
    <row r="6" spans="1:16" ht="70.5" customHeight="1">
      <c r="A6" s="1180" t="s">
        <v>287</v>
      </c>
      <c r="B6" s="1174" t="s">
        <v>529</v>
      </c>
      <c r="C6" s="1175"/>
      <c r="D6" s="1186" t="s">
        <v>333</v>
      </c>
      <c r="E6" s="1178" t="s">
        <v>706</v>
      </c>
      <c r="F6" s="1178" t="s">
        <v>533</v>
      </c>
      <c r="G6" s="1178" t="s">
        <v>288</v>
      </c>
      <c r="H6" s="1180" t="s">
        <v>289</v>
      </c>
      <c r="I6" s="1180" t="s">
        <v>290</v>
      </c>
      <c r="J6" s="1186" t="s">
        <v>291</v>
      </c>
      <c r="K6" s="1186" t="s">
        <v>292</v>
      </c>
      <c r="L6" s="1178" t="s">
        <v>293</v>
      </c>
      <c r="M6" s="1178" t="s">
        <v>294</v>
      </c>
      <c r="N6" s="1178" t="s">
        <v>295</v>
      </c>
      <c r="O6" s="1178" t="s">
        <v>296</v>
      </c>
      <c r="P6" s="1172" t="s">
        <v>297</v>
      </c>
    </row>
    <row r="7" spans="1:16">
      <c r="A7" s="1181"/>
      <c r="B7" s="297" t="s">
        <v>607</v>
      </c>
      <c r="C7" s="82" t="s">
        <v>531</v>
      </c>
      <c r="D7" s="1187"/>
      <c r="E7" s="1190"/>
      <c r="F7" s="1179"/>
      <c r="G7" s="1179"/>
      <c r="H7" s="1181"/>
      <c r="I7" s="1181"/>
      <c r="J7" s="1187"/>
      <c r="K7" s="1187"/>
      <c r="L7" s="1179"/>
      <c r="M7" s="1179"/>
      <c r="N7" s="1179"/>
      <c r="O7" s="1179"/>
      <c r="P7" s="1173"/>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82" t="s">
        <v>298</v>
      </c>
      <c r="B28" s="1183"/>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93" t="s">
        <v>299</v>
      </c>
      <c r="N29" s="1193"/>
      <c r="O29" s="1193"/>
      <c r="P29" s="130" t="e">
        <f>+MAX(P8:P27)</f>
        <v>#DIV/0!</v>
      </c>
    </row>
    <row r="30" spans="1:16">
      <c r="E30" s="129"/>
      <c r="F30" s="129"/>
      <c r="G30" s="129"/>
      <c r="L30" s="129"/>
      <c r="M30" s="131"/>
      <c r="N30" s="131"/>
      <c r="O30" s="131"/>
      <c r="P30" s="132"/>
    </row>
    <row r="31" spans="1:16">
      <c r="E31" s="1184" t="s">
        <v>33</v>
      </c>
      <c r="F31" s="1184"/>
      <c r="G31" s="1185"/>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40" t="s">
        <v>122</v>
      </c>
      <c r="H33" s="1040"/>
      <c r="I33" s="1040"/>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7" t="s">
        <v>403</v>
      </c>
      <c r="B2" s="987"/>
      <c r="C2" s="987"/>
      <c r="D2" s="987"/>
      <c r="E2" s="987"/>
      <c r="F2" s="987"/>
      <c r="G2" s="987"/>
      <c r="H2" s="987"/>
      <c r="I2" s="987"/>
      <c r="J2" s="987"/>
      <c r="K2" s="987"/>
      <c r="L2" s="987"/>
    </row>
    <row r="3" spans="1:12">
      <c r="A3" s="1002" t="str">
        <f>+GB!A3</f>
        <v xml:space="preserve">БАНК БУС САНХҮҮГИЙН БАЙГУУЛЛАГЫН НЭР </v>
      </c>
      <c r="B3" s="1002"/>
      <c r="C3" s="1002"/>
      <c r="D3" s="1002"/>
      <c r="E3" s="1002"/>
      <c r="F3" s="1002"/>
      <c r="G3" s="1002"/>
      <c r="H3" s="1002"/>
      <c r="I3" s="1002"/>
      <c r="J3" s="1002"/>
      <c r="K3" s="1002"/>
      <c r="L3" s="1002"/>
    </row>
    <row r="4" spans="1:12">
      <c r="A4" s="985" t="str">
        <f>+GB!A4</f>
        <v>БАНК БУС САНХҮҮГИЙН БАЙГУУЛЛАГА</v>
      </c>
      <c r="B4" s="985"/>
      <c r="C4" s="985"/>
      <c r="D4" s="985"/>
      <c r="E4" s="985"/>
      <c r="F4" s="985"/>
      <c r="G4" s="985"/>
      <c r="H4" s="985"/>
      <c r="I4" s="985"/>
      <c r="J4" s="985"/>
      <c r="K4" s="985"/>
      <c r="L4" s="985"/>
    </row>
    <row r="5" spans="1:12">
      <c r="A5" s="1140">
        <f>+GB!A6</f>
        <v>45473</v>
      </c>
      <c r="B5" s="1140"/>
      <c r="K5" s="1197" t="s">
        <v>41</v>
      </c>
      <c r="L5" s="1197"/>
    </row>
    <row r="6" spans="1:12" ht="15" customHeight="1">
      <c r="A6" s="1159" t="s">
        <v>404</v>
      </c>
      <c r="B6" s="1159"/>
      <c r="C6" s="1159"/>
      <c r="D6" s="1159" t="s">
        <v>405</v>
      </c>
      <c r="E6" s="1198" t="s">
        <v>406</v>
      </c>
      <c r="F6" s="1198"/>
      <c r="G6" s="1198"/>
      <c r="H6" s="1198"/>
      <c r="I6" s="1198"/>
      <c r="J6" s="1198" t="s">
        <v>407</v>
      </c>
      <c r="K6" s="1198"/>
      <c r="L6" s="1159" t="s">
        <v>275</v>
      </c>
    </row>
    <row r="7" spans="1:12" ht="38.25">
      <c r="A7" s="1159"/>
      <c r="B7" s="1159"/>
      <c r="C7" s="1159"/>
      <c r="D7" s="1159"/>
      <c r="E7" s="324" t="s">
        <v>408</v>
      </c>
      <c r="F7" s="324" t="s">
        <v>409</v>
      </c>
      <c r="G7" s="324" t="s">
        <v>410</v>
      </c>
      <c r="H7" s="324" t="s">
        <v>411</v>
      </c>
      <c r="I7" s="324" t="s">
        <v>412</v>
      </c>
      <c r="J7" s="324" t="s">
        <v>408</v>
      </c>
      <c r="K7" s="324" t="s">
        <v>413</v>
      </c>
      <c r="L7" s="1159"/>
    </row>
    <row r="8" spans="1:12">
      <c r="A8" s="1194" t="s">
        <v>414</v>
      </c>
      <c r="B8" s="1194"/>
      <c r="C8" s="1194"/>
      <c r="D8" s="293" t="s">
        <v>415</v>
      </c>
      <c r="E8" s="325"/>
      <c r="F8" s="78"/>
      <c r="G8" s="78"/>
      <c r="H8" s="78"/>
      <c r="I8" s="78"/>
      <c r="J8" s="78"/>
      <c r="K8" s="78"/>
      <c r="L8" s="78" t="s">
        <v>416</v>
      </c>
    </row>
    <row r="9" spans="1:12" ht="15" customHeight="1">
      <c r="A9" s="1195" t="s">
        <v>417</v>
      </c>
      <c r="B9" s="1195"/>
      <c r="C9" s="292" t="s">
        <v>418</v>
      </c>
      <c r="D9" s="293">
        <v>1</v>
      </c>
      <c r="E9" s="78">
        <v>0</v>
      </c>
      <c r="F9" s="78">
        <v>0</v>
      </c>
      <c r="G9" s="78">
        <v>0</v>
      </c>
      <c r="H9" s="78">
        <v>0</v>
      </c>
      <c r="I9" s="78">
        <v>0</v>
      </c>
      <c r="J9" s="78">
        <v>0</v>
      </c>
      <c r="K9" s="78">
        <v>0</v>
      </c>
      <c r="L9" s="79">
        <f>SUM(E9:K9)</f>
        <v>0</v>
      </c>
    </row>
    <row r="10" spans="1:12">
      <c r="A10" s="1195"/>
      <c r="B10" s="1195"/>
      <c r="C10" s="292" t="s">
        <v>419</v>
      </c>
      <c r="D10" s="293">
        <v>2</v>
      </c>
      <c r="E10" s="78">
        <v>0</v>
      </c>
      <c r="F10" s="78">
        <v>0</v>
      </c>
      <c r="G10" s="78">
        <v>0</v>
      </c>
      <c r="H10" s="78">
        <v>0</v>
      </c>
      <c r="I10" s="78">
        <v>0</v>
      </c>
      <c r="J10" s="78">
        <v>0</v>
      </c>
      <c r="K10" s="78">
        <v>0</v>
      </c>
      <c r="L10" s="79">
        <f>SUM(E10:K10)</f>
        <v>0</v>
      </c>
    </row>
    <row r="11" spans="1:12" ht="15" customHeight="1">
      <c r="A11" s="1195" t="s">
        <v>420</v>
      </c>
      <c r="B11" s="1196" t="s">
        <v>421</v>
      </c>
      <c r="C11" s="1196"/>
      <c r="D11" s="293">
        <v>3</v>
      </c>
      <c r="E11" s="78">
        <v>0</v>
      </c>
      <c r="F11" s="78">
        <v>0</v>
      </c>
      <c r="G11" s="78">
        <v>0</v>
      </c>
      <c r="H11" s="78">
        <v>0</v>
      </c>
      <c r="I11" s="78">
        <v>0</v>
      </c>
      <c r="J11" s="78">
        <v>0</v>
      </c>
      <c r="K11" s="78">
        <v>0</v>
      </c>
      <c r="L11" s="79">
        <f t="shared" ref="L11:L35" si="0">SUM(E11:K11)</f>
        <v>0</v>
      </c>
    </row>
    <row r="12" spans="1:12" ht="15" customHeight="1">
      <c r="A12" s="1195"/>
      <c r="B12" s="1195" t="s">
        <v>422</v>
      </c>
      <c r="C12" s="292" t="s">
        <v>423</v>
      </c>
      <c r="D12" s="293">
        <v>4</v>
      </c>
      <c r="E12" s="78">
        <v>0</v>
      </c>
      <c r="F12" s="78">
        <v>0</v>
      </c>
      <c r="G12" s="78">
        <v>0</v>
      </c>
      <c r="H12" s="78">
        <v>0</v>
      </c>
      <c r="I12" s="78">
        <v>0</v>
      </c>
      <c r="J12" s="78">
        <v>0</v>
      </c>
      <c r="K12" s="78">
        <v>0</v>
      </c>
      <c r="L12" s="79">
        <f t="shared" si="0"/>
        <v>0</v>
      </c>
    </row>
    <row r="13" spans="1:12">
      <c r="A13" s="1195"/>
      <c r="B13" s="1195"/>
      <c r="C13" s="292" t="s">
        <v>352</v>
      </c>
      <c r="D13" s="293">
        <v>5</v>
      </c>
      <c r="E13" s="78">
        <v>0</v>
      </c>
      <c r="F13" s="78">
        <v>0</v>
      </c>
      <c r="G13" s="78">
        <v>0</v>
      </c>
      <c r="H13" s="78">
        <v>0</v>
      </c>
      <c r="I13" s="78">
        <v>0</v>
      </c>
      <c r="J13" s="78">
        <v>0</v>
      </c>
      <c r="K13" s="78">
        <v>0</v>
      </c>
      <c r="L13" s="79">
        <f t="shared" si="0"/>
        <v>0</v>
      </c>
    </row>
    <row r="14" spans="1:12">
      <c r="A14" s="1195"/>
      <c r="B14" s="1195"/>
      <c r="C14" s="292" t="s">
        <v>424</v>
      </c>
      <c r="D14" s="293">
        <v>6</v>
      </c>
      <c r="E14" s="78">
        <v>0</v>
      </c>
      <c r="F14" s="78">
        <v>0</v>
      </c>
      <c r="G14" s="78">
        <v>0</v>
      </c>
      <c r="H14" s="78">
        <v>0</v>
      </c>
      <c r="I14" s="78">
        <v>0</v>
      </c>
      <c r="J14" s="78">
        <v>0</v>
      </c>
      <c r="K14" s="78">
        <v>0</v>
      </c>
      <c r="L14" s="79">
        <f t="shared" si="0"/>
        <v>0</v>
      </c>
    </row>
    <row r="15" spans="1:12" ht="15" customHeight="1">
      <c r="A15" s="1195"/>
      <c r="B15" s="1195" t="s">
        <v>425</v>
      </c>
      <c r="C15" s="292" t="s">
        <v>426</v>
      </c>
      <c r="D15" s="293">
        <v>7</v>
      </c>
      <c r="E15" s="78">
        <v>0</v>
      </c>
      <c r="F15" s="78">
        <v>0</v>
      </c>
      <c r="G15" s="78">
        <v>0</v>
      </c>
      <c r="H15" s="78">
        <v>0</v>
      </c>
      <c r="I15" s="78">
        <v>0</v>
      </c>
      <c r="J15" s="78">
        <v>0</v>
      </c>
      <c r="K15" s="78">
        <v>0</v>
      </c>
      <c r="L15" s="79">
        <f t="shared" si="0"/>
        <v>0</v>
      </c>
    </row>
    <row r="16" spans="1:12">
      <c r="A16" s="1195"/>
      <c r="B16" s="1195"/>
      <c r="C16" s="292" t="s">
        <v>427</v>
      </c>
      <c r="D16" s="293">
        <v>8</v>
      </c>
      <c r="E16" s="78">
        <v>0</v>
      </c>
      <c r="F16" s="78">
        <v>0</v>
      </c>
      <c r="G16" s="78">
        <v>0</v>
      </c>
      <c r="H16" s="78">
        <v>0</v>
      </c>
      <c r="I16" s="78">
        <v>0</v>
      </c>
      <c r="J16" s="78">
        <v>0</v>
      </c>
      <c r="K16" s="78">
        <v>0</v>
      </c>
      <c r="L16" s="79">
        <f t="shared" si="0"/>
        <v>0</v>
      </c>
    </row>
    <row r="17" spans="1:12">
      <c r="A17" s="1195"/>
      <c r="B17" s="1196" t="s">
        <v>428</v>
      </c>
      <c r="C17" s="1196"/>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94" t="s">
        <v>429</v>
      </c>
      <c r="B18" s="1194"/>
      <c r="C18" s="292" t="s">
        <v>430</v>
      </c>
      <c r="D18" s="293">
        <v>10</v>
      </c>
      <c r="E18" s="78">
        <v>0</v>
      </c>
      <c r="F18" s="78">
        <v>0</v>
      </c>
      <c r="G18" s="78">
        <v>0</v>
      </c>
      <c r="H18" s="78">
        <v>0</v>
      </c>
      <c r="I18" s="78">
        <v>0</v>
      </c>
      <c r="J18" s="78">
        <v>0</v>
      </c>
      <c r="K18" s="78">
        <v>0</v>
      </c>
      <c r="L18" s="79">
        <f t="shared" si="0"/>
        <v>0</v>
      </c>
    </row>
    <row r="19" spans="1:12">
      <c r="A19" s="1194"/>
      <c r="B19" s="1194"/>
      <c r="C19" s="292" t="s">
        <v>431</v>
      </c>
      <c r="D19" s="293">
        <v>11</v>
      </c>
      <c r="E19" s="78">
        <v>0</v>
      </c>
      <c r="F19" s="78">
        <v>0</v>
      </c>
      <c r="G19" s="78">
        <v>0</v>
      </c>
      <c r="H19" s="78">
        <v>0</v>
      </c>
      <c r="I19" s="78">
        <v>0</v>
      </c>
      <c r="J19" s="78">
        <v>0</v>
      </c>
      <c r="K19" s="78">
        <v>0</v>
      </c>
      <c r="L19" s="79">
        <f t="shared" si="0"/>
        <v>0</v>
      </c>
    </row>
    <row r="20" spans="1:12" ht="15" customHeight="1">
      <c r="A20" s="1195" t="s">
        <v>432</v>
      </c>
      <c r="B20" s="1194" t="s">
        <v>433</v>
      </c>
      <c r="C20" s="1194"/>
      <c r="D20" s="293">
        <v>12</v>
      </c>
      <c r="E20" s="78">
        <v>0</v>
      </c>
      <c r="F20" s="78">
        <v>0</v>
      </c>
      <c r="G20" s="78">
        <v>0</v>
      </c>
      <c r="H20" s="78">
        <v>0</v>
      </c>
      <c r="I20" s="78">
        <v>0</v>
      </c>
      <c r="J20" s="78">
        <v>0</v>
      </c>
      <c r="K20" s="78">
        <v>0</v>
      </c>
      <c r="L20" s="79">
        <f t="shared" si="0"/>
        <v>0</v>
      </c>
    </row>
    <row r="21" spans="1:12">
      <c r="A21" s="1195"/>
      <c r="B21" s="1194" t="s">
        <v>434</v>
      </c>
      <c r="C21" s="1194"/>
      <c r="D21" s="293">
        <v>13</v>
      </c>
      <c r="E21" s="78">
        <v>0</v>
      </c>
      <c r="F21" s="78">
        <v>0</v>
      </c>
      <c r="G21" s="78">
        <v>0</v>
      </c>
      <c r="H21" s="78">
        <v>0</v>
      </c>
      <c r="I21" s="78">
        <v>0</v>
      </c>
      <c r="J21" s="78">
        <v>0</v>
      </c>
      <c r="K21" s="78">
        <v>0</v>
      </c>
      <c r="L21" s="79">
        <f t="shared" si="0"/>
        <v>0</v>
      </c>
    </row>
    <row r="22" spans="1:12" ht="15" customHeight="1">
      <c r="A22" s="1195"/>
      <c r="B22" s="1195" t="s">
        <v>435</v>
      </c>
      <c r="C22" s="292" t="s">
        <v>436</v>
      </c>
      <c r="D22" s="293">
        <v>14</v>
      </c>
      <c r="E22" s="78">
        <v>0</v>
      </c>
      <c r="F22" s="78">
        <v>0</v>
      </c>
      <c r="G22" s="78">
        <v>0</v>
      </c>
      <c r="H22" s="78">
        <v>0</v>
      </c>
      <c r="I22" s="78">
        <v>0</v>
      </c>
      <c r="J22" s="78">
        <v>0</v>
      </c>
      <c r="K22" s="78">
        <v>0</v>
      </c>
      <c r="L22" s="79">
        <f t="shared" si="0"/>
        <v>0</v>
      </c>
    </row>
    <row r="23" spans="1:12">
      <c r="A23" s="1195"/>
      <c r="B23" s="1195"/>
      <c r="C23" s="292" t="s">
        <v>437</v>
      </c>
      <c r="D23" s="293">
        <v>15</v>
      </c>
      <c r="E23" s="78">
        <v>0</v>
      </c>
      <c r="F23" s="78">
        <v>0</v>
      </c>
      <c r="G23" s="78">
        <v>0</v>
      </c>
      <c r="H23" s="78">
        <v>0</v>
      </c>
      <c r="I23" s="78">
        <v>0</v>
      </c>
      <c r="J23" s="78">
        <v>0</v>
      </c>
      <c r="K23" s="78">
        <v>0</v>
      </c>
      <c r="L23" s="79">
        <f t="shared" si="0"/>
        <v>0</v>
      </c>
    </row>
    <row r="24" spans="1:12" ht="15" customHeight="1">
      <c r="A24" s="1195" t="s">
        <v>438</v>
      </c>
      <c r="B24" s="1195"/>
      <c r="C24" s="293" t="s">
        <v>433</v>
      </c>
      <c r="D24" s="293">
        <v>16</v>
      </c>
      <c r="E24" s="80">
        <v>0</v>
      </c>
      <c r="F24" s="80">
        <v>0</v>
      </c>
      <c r="G24" s="80">
        <v>0</v>
      </c>
      <c r="H24" s="80">
        <v>0</v>
      </c>
      <c r="I24" s="80">
        <v>0</v>
      </c>
      <c r="J24" s="80">
        <v>0</v>
      </c>
      <c r="K24" s="80">
        <v>0</v>
      </c>
      <c r="L24" s="326">
        <f t="shared" si="0"/>
        <v>0</v>
      </c>
    </row>
    <row r="25" spans="1:12">
      <c r="A25" s="1195"/>
      <c r="B25" s="1195"/>
      <c r="C25" s="293" t="s">
        <v>434</v>
      </c>
      <c r="D25" s="293">
        <v>17</v>
      </c>
      <c r="E25" s="80">
        <v>0</v>
      </c>
      <c r="F25" s="80">
        <v>0</v>
      </c>
      <c r="G25" s="80">
        <v>0</v>
      </c>
      <c r="H25" s="80">
        <v>0</v>
      </c>
      <c r="I25" s="80">
        <v>0</v>
      </c>
      <c r="J25" s="80">
        <v>0</v>
      </c>
      <c r="K25" s="80">
        <v>0</v>
      </c>
      <c r="L25" s="326">
        <f t="shared" si="0"/>
        <v>0</v>
      </c>
    </row>
    <row r="26" spans="1:12">
      <c r="A26" s="1195"/>
      <c r="B26" s="1195"/>
      <c r="C26" s="293" t="s">
        <v>435</v>
      </c>
      <c r="D26" s="293">
        <v>18</v>
      </c>
      <c r="E26" s="80">
        <v>0</v>
      </c>
      <c r="F26" s="80">
        <v>0</v>
      </c>
      <c r="G26" s="80">
        <v>0</v>
      </c>
      <c r="H26" s="80">
        <v>0</v>
      </c>
      <c r="I26" s="80">
        <v>0</v>
      </c>
      <c r="J26" s="80">
        <v>0</v>
      </c>
      <c r="K26" s="80">
        <v>0</v>
      </c>
      <c r="L26" s="326">
        <f t="shared" si="0"/>
        <v>0</v>
      </c>
    </row>
    <row r="27" spans="1:12" ht="15" customHeight="1">
      <c r="A27" s="1195" t="s">
        <v>439</v>
      </c>
      <c r="B27" s="1195"/>
      <c r="C27" s="292" t="s">
        <v>440</v>
      </c>
      <c r="D27" s="293">
        <v>19</v>
      </c>
      <c r="E27" s="78">
        <v>0</v>
      </c>
      <c r="F27" s="78">
        <v>0</v>
      </c>
      <c r="G27" s="78">
        <v>0</v>
      </c>
      <c r="H27" s="78">
        <v>0</v>
      </c>
      <c r="I27" s="78">
        <v>0</v>
      </c>
      <c r="J27" s="78">
        <v>0</v>
      </c>
      <c r="K27" s="78">
        <v>0</v>
      </c>
      <c r="L27" s="79">
        <f t="shared" si="0"/>
        <v>0</v>
      </c>
    </row>
    <row r="28" spans="1:12">
      <c r="A28" s="1195"/>
      <c r="B28" s="1195"/>
      <c r="C28" s="292" t="s">
        <v>441</v>
      </c>
      <c r="D28" s="293">
        <v>20</v>
      </c>
      <c r="E28" s="78">
        <v>0</v>
      </c>
      <c r="F28" s="78">
        <v>0</v>
      </c>
      <c r="G28" s="78">
        <v>0</v>
      </c>
      <c r="H28" s="78">
        <v>0</v>
      </c>
      <c r="I28" s="78">
        <v>0</v>
      </c>
      <c r="J28" s="78">
        <v>0</v>
      </c>
      <c r="K28" s="78">
        <v>0</v>
      </c>
      <c r="L28" s="79">
        <f t="shared" si="0"/>
        <v>0</v>
      </c>
    </row>
    <row r="29" spans="1:12" ht="15" customHeight="1">
      <c r="A29" s="1195" t="s">
        <v>615</v>
      </c>
      <c r="B29" s="1194" t="s">
        <v>442</v>
      </c>
      <c r="C29" s="1194"/>
      <c r="D29" s="293">
        <v>21</v>
      </c>
      <c r="E29" s="78">
        <v>0</v>
      </c>
      <c r="F29" s="78">
        <v>0</v>
      </c>
      <c r="G29" s="78">
        <v>0</v>
      </c>
      <c r="H29" s="78">
        <v>0</v>
      </c>
      <c r="I29" s="78">
        <v>0</v>
      </c>
      <c r="J29" s="78">
        <v>0</v>
      </c>
      <c r="K29" s="78">
        <v>0</v>
      </c>
      <c r="L29" s="79">
        <f t="shared" si="0"/>
        <v>0</v>
      </c>
    </row>
    <row r="30" spans="1:12">
      <c r="A30" s="1195"/>
      <c r="B30" s="1194" t="s">
        <v>443</v>
      </c>
      <c r="C30" s="1194"/>
      <c r="D30" s="293">
        <v>22</v>
      </c>
      <c r="E30" s="78">
        <v>0</v>
      </c>
      <c r="F30" s="78">
        <v>0</v>
      </c>
      <c r="G30" s="78">
        <v>0</v>
      </c>
      <c r="H30" s="78">
        <v>0</v>
      </c>
      <c r="I30" s="78">
        <v>0</v>
      </c>
      <c r="J30" s="78">
        <v>0</v>
      </c>
      <c r="K30" s="78">
        <v>0</v>
      </c>
      <c r="L30" s="79">
        <f t="shared" si="0"/>
        <v>0</v>
      </c>
    </row>
    <row r="31" spans="1:12">
      <c r="A31" s="1195"/>
      <c r="B31" s="1194" t="s">
        <v>444</v>
      </c>
      <c r="C31" s="292" t="s">
        <v>608</v>
      </c>
      <c r="D31" s="293">
        <v>23</v>
      </c>
      <c r="E31" s="78">
        <v>0</v>
      </c>
      <c r="F31" s="78">
        <v>0</v>
      </c>
      <c r="G31" s="78">
        <v>0</v>
      </c>
      <c r="H31" s="78">
        <v>0</v>
      </c>
      <c r="I31" s="78">
        <v>0</v>
      </c>
      <c r="J31" s="78">
        <v>0</v>
      </c>
      <c r="K31" s="78">
        <v>0</v>
      </c>
      <c r="L31" s="79">
        <f t="shared" si="0"/>
        <v>0</v>
      </c>
    </row>
    <row r="32" spans="1:12">
      <c r="A32" s="1195"/>
      <c r="B32" s="1194"/>
      <c r="C32" s="292" t="s">
        <v>130</v>
      </c>
      <c r="D32" s="293">
        <v>24</v>
      </c>
      <c r="E32" s="78">
        <v>0</v>
      </c>
      <c r="F32" s="78">
        <v>0</v>
      </c>
      <c r="G32" s="78">
        <v>0</v>
      </c>
      <c r="H32" s="78">
        <v>0</v>
      </c>
      <c r="I32" s="78">
        <v>0</v>
      </c>
      <c r="J32" s="78">
        <v>0</v>
      </c>
      <c r="K32" s="78">
        <v>0</v>
      </c>
      <c r="L32" s="79">
        <f t="shared" si="0"/>
        <v>0</v>
      </c>
    </row>
    <row r="33" spans="1:12">
      <c r="A33" s="1195"/>
      <c r="B33" s="1194"/>
      <c r="C33" s="292" t="s">
        <v>128</v>
      </c>
      <c r="D33" s="293">
        <v>25</v>
      </c>
      <c r="E33" s="78">
        <v>0</v>
      </c>
      <c r="F33" s="78">
        <v>0</v>
      </c>
      <c r="G33" s="78">
        <v>0</v>
      </c>
      <c r="H33" s="78">
        <v>0</v>
      </c>
      <c r="I33" s="78">
        <v>0</v>
      </c>
      <c r="J33" s="78">
        <v>0</v>
      </c>
      <c r="K33" s="78">
        <v>0</v>
      </c>
      <c r="L33" s="79">
        <f t="shared" si="0"/>
        <v>0</v>
      </c>
    </row>
    <row r="34" spans="1:12">
      <c r="A34" s="1195"/>
      <c r="B34" s="1194"/>
      <c r="C34" s="292" t="s">
        <v>445</v>
      </c>
      <c r="D34" s="293">
        <v>26</v>
      </c>
      <c r="E34" s="78">
        <v>0</v>
      </c>
      <c r="F34" s="78">
        <v>0</v>
      </c>
      <c r="G34" s="78">
        <v>0</v>
      </c>
      <c r="H34" s="78">
        <v>0</v>
      </c>
      <c r="I34" s="78">
        <v>0</v>
      </c>
      <c r="J34" s="78">
        <v>0</v>
      </c>
      <c r="K34" s="78">
        <v>0</v>
      </c>
      <c r="L34" s="79">
        <f t="shared" si="0"/>
        <v>0</v>
      </c>
    </row>
    <row r="35" spans="1:12" ht="15" customHeight="1">
      <c r="A35" s="1195" t="s">
        <v>446</v>
      </c>
      <c r="B35" s="1195"/>
      <c r="C35" s="292" t="s">
        <v>447</v>
      </c>
      <c r="D35" s="293">
        <v>27</v>
      </c>
      <c r="E35" s="78">
        <v>0</v>
      </c>
      <c r="F35" s="78">
        <v>0</v>
      </c>
      <c r="G35" s="78">
        <v>0</v>
      </c>
      <c r="H35" s="78">
        <v>0</v>
      </c>
      <c r="I35" s="78">
        <v>0</v>
      </c>
      <c r="J35" s="78">
        <v>0</v>
      </c>
      <c r="K35" s="78">
        <v>0</v>
      </c>
      <c r="L35" s="79">
        <f t="shared" si="0"/>
        <v>0</v>
      </c>
    </row>
    <row r="36" spans="1:12">
      <c r="A36" s="1195"/>
      <c r="B36" s="1195"/>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5" t="s">
        <v>0</v>
      </c>
      <c r="B2" s="985"/>
      <c r="C2" s="985"/>
      <c r="F2" s="2"/>
      <c r="G2" s="2"/>
      <c r="H2" s="2"/>
      <c r="I2" s="2"/>
      <c r="J2" s="2"/>
    </row>
    <row r="3" spans="1:14">
      <c r="A3" s="986" t="s">
        <v>1486</v>
      </c>
      <c r="B3" s="986"/>
      <c r="C3" s="986"/>
      <c r="D3" s="8"/>
      <c r="E3" s="8"/>
      <c r="F3" s="4"/>
      <c r="G3" s="4"/>
      <c r="H3" s="4"/>
      <c r="I3" s="4"/>
      <c r="J3" s="4"/>
    </row>
    <row r="4" spans="1:14">
      <c r="A4" s="987" t="str">
        <f>+GB!A4</f>
        <v>БАНК БУС САНХҮҮГИЙН БАЙГУУЛЛАГА</v>
      </c>
      <c r="B4" s="987"/>
      <c r="C4" s="987"/>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8">
        <v>45473</v>
      </c>
      <c r="B7" s="988"/>
      <c r="C7" s="7"/>
      <c r="D7" s="8"/>
      <c r="E7" s="8"/>
      <c r="F7" s="8"/>
      <c r="G7" s="8"/>
      <c r="H7" s="38"/>
      <c r="I7" s="8"/>
      <c r="J7" s="8"/>
    </row>
    <row r="8" spans="1:14">
      <c r="A8" s="661" t="s">
        <v>2</v>
      </c>
      <c r="B8" s="661" t="s">
        <v>0</v>
      </c>
      <c r="C8" s="662" t="s">
        <v>3</v>
      </c>
      <c r="H8" s="394" t="s">
        <v>4</v>
      </c>
    </row>
    <row r="9" spans="1:14">
      <c r="A9" s="661" t="s">
        <v>5</v>
      </c>
      <c r="B9" s="989" t="s">
        <v>6</v>
      </c>
      <c r="C9" s="989"/>
      <c r="H9" s="394" t="s">
        <v>7</v>
      </c>
    </row>
    <row r="10" spans="1:14">
      <c r="A10" s="984">
        <v>1</v>
      </c>
      <c r="B10" s="654" t="s">
        <v>708</v>
      </c>
      <c r="C10" s="655">
        <f>SUM(C11:C13)</f>
        <v>0</v>
      </c>
      <c r="D10" s="10" t="str">
        <f>+IF(C10&gt;0,"","Утга нөхөх")</f>
        <v>Утга нөхөх</v>
      </c>
      <c r="E10" s="10"/>
      <c r="F10" s="10"/>
      <c r="H10" s="394"/>
    </row>
    <row r="11" spans="1:14">
      <c r="A11" s="984"/>
      <c r="B11" s="637" t="s">
        <v>8</v>
      </c>
      <c r="C11" s="638"/>
      <c r="D11" s="10" t="str">
        <f>+IF(C11&gt;0,"","Утга нөхөх")</f>
        <v>Утга нөхөх</v>
      </c>
      <c r="E11" s="10"/>
      <c r="F11" s="10"/>
      <c r="H11" s="38" t="s">
        <v>9</v>
      </c>
    </row>
    <row r="12" spans="1:14">
      <c r="A12" s="984"/>
      <c r="B12" s="637" t="s">
        <v>553</v>
      </c>
      <c r="C12" s="638"/>
      <c r="D12" s="10"/>
      <c r="E12" s="10"/>
      <c r="F12" s="10"/>
      <c r="H12" s="394" t="s">
        <v>11</v>
      </c>
    </row>
    <row r="13" spans="1:14">
      <c r="A13" s="984"/>
      <c r="B13" s="637" t="s">
        <v>10</v>
      </c>
      <c r="C13" s="638"/>
      <c r="F13" s="10"/>
      <c r="H13" s="394"/>
    </row>
    <row r="14" spans="1:14">
      <c r="A14" s="984"/>
      <c r="B14" s="637" t="s">
        <v>38</v>
      </c>
      <c r="C14" s="638"/>
      <c r="D14" s="10" t="str">
        <f>IF(GB!H11&gt;0,IF(Statistic!C14&gt;0,"","Утга нөхөх"),"")</f>
        <v/>
      </c>
      <c r="E14" s="10"/>
      <c r="F14" s="10"/>
      <c r="H14" s="394"/>
    </row>
    <row r="15" spans="1:14">
      <c r="A15" s="984"/>
      <c r="B15" s="637" t="s">
        <v>39</v>
      </c>
      <c r="C15" s="638"/>
      <c r="D15" s="10" t="str">
        <f>IF(GB!H75&gt;0,IF(Statistic!C15&gt;0,"","Утга нөхөх"),"")</f>
        <v/>
      </c>
      <c r="E15" s="10"/>
      <c r="F15" s="10"/>
      <c r="H15" s="38"/>
    </row>
    <row r="16" spans="1:14">
      <c r="A16" s="990">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90"/>
      <c r="B17" s="639" t="s">
        <v>12</v>
      </c>
      <c r="C17" s="640"/>
      <c r="D17" s="10"/>
      <c r="F17" s="10"/>
    </row>
    <row r="18" spans="1:6">
      <c r="A18" s="990"/>
      <c r="B18" s="639" t="s">
        <v>608</v>
      </c>
      <c r="C18" s="640"/>
      <c r="F18" s="10"/>
    </row>
    <row r="19" spans="1:6">
      <c r="A19" s="990"/>
      <c r="B19" s="665" t="s">
        <v>127</v>
      </c>
      <c r="C19" s="666">
        <f>SUM(C20:C22)</f>
        <v>0</v>
      </c>
      <c r="F19" s="10"/>
    </row>
    <row r="20" spans="1:6">
      <c r="A20" s="990"/>
      <c r="B20" s="639" t="s">
        <v>13</v>
      </c>
      <c r="C20" s="640"/>
      <c r="F20" s="10"/>
    </row>
    <row r="21" spans="1:6">
      <c r="A21" s="990"/>
      <c r="B21" s="639" t="s">
        <v>14</v>
      </c>
      <c r="C21" s="640"/>
      <c r="F21" s="10"/>
    </row>
    <row r="22" spans="1:6">
      <c r="A22" s="990"/>
      <c r="B22" s="639" t="s">
        <v>15</v>
      </c>
      <c r="C22" s="640"/>
      <c r="F22" s="10"/>
    </row>
    <row r="23" spans="1:6" ht="13.5">
      <c r="A23" s="990">
        <v>3</v>
      </c>
      <c r="B23" s="657" t="s">
        <v>1473</v>
      </c>
      <c r="C23" s="655">
        <f>SUM(C24:C27)</f>
        <v>0</v>
      </c>
      <c r="D23" s="10" t="str">
        <f>+IF(C23=C28,"","Зээлдэгчдийн боловсролын судалгааг нөхнө үү")</f>
        <v/>
      </c>
      <c r="E23" s="10"/>
      <c r="F23" s="10"/>
    </row>
    <row r="24" spans="1:6">
      <c r="A24" s="990"/>
      <c r="B24" s="641" t="s">
        <v>16</v>
      </c>
      <c r="C24" s="640"/>
      <c r="F24" s="10"/>
    </row>
    <row r="25" spans="1:6">
      <c r="A25" s="990"/>
      <c r="B25" s="641" t="s">
        <v>17</v>
      </c>
      <c r="C25" s="640"/>
      <c r="F25" s="10"/>
    </row>
    <row r="26" spans="1:6">
      <c r="A26" s="990"/>
      <c r="B26" s="639" t="s">
        <v>18</v>
      </c>
      <c r="C26" s="640"/>
      <c r="F26" s="10"/>
    </row>
    <row r="27" spans="1:6">
      <c r="A27" s="990"/>
      <c r="B27" s="639" t="s">
        <v>19</v>
      </c>
      <c r="C27" s="640"/>
      <c r="F27" s="10"/>
    </row>
    <row r="28" spans="1:6" ht="13.5">
      <c r="A28" s="990">
        <v>4</v>
      </c>
      <c r="B28" s="657" t="s">
        <v>1474</v>
      </c>
      <c r="C28" s="655">
        <f>SUM(C29:C33)</f>
        <v>0</v>
      </c>
      <c r="D28" s="10" t="str">
        <f>IF(SUM(C24:C27)=SUM(C29:C33),"","Зээлдэгчдийн насжилт болон боловсролын утга тэнцүү байх шаардлагатай")</f>
        <v/>
      </c>
      <c r="F28" s="10"/>
    </row>
    <row r="29" spans="1:6">
      <c r="A29" s="990"/>
      <c r="B29" s="642" t="s">
        <v>20</v>
      </c>
      <c r="C29" s="640"/>
      <c r="F29" s="10"/>
    </row>
    <row r="30" spans="1:6">
      <c r="A30" s="990"/>
      <c r="B30" s="642" t="s">
        <v>21</v>
      </c>
      <c r="C30" s="640"/>
      <c r="F30" s="10"/>
    </row>
    <row r="31" spans="1:6">
      <c r="A31" s="990"/>
      <c r="B31" s="642" t="s">
        <v>22</v>
      </c>
      <c r="C31" s="640"/>
      <c r="F31" s="10"/>
    </row>
    <row r="32" spans="1:6">
      <c r="A32" s="990"/>
      <c r="B32" s="642" t="s">
        <v>23</v>
      </c>
      <c r="C32" s="640"/>
      <c r="F32" s="10"/>
    </row>
    <row r="33" spans="1:6">
      <c r="A33" s="990"/>
      <c r="B33" s="642" t="s">
        <v>24</v>
      </c>
      <c r="C33" s="640"/>
    </row>
    <row r="34" spans="1:6">
      <c r="A34" s="661" t="s">
        <v>25</v>
      </c>
      <c r="B34" s="992" t="s">
        <v>26</v>
      </c>
      <c r="C34" s="992"/>
    </row>
    <row r="35" spans="1:6">
      <c r="A35" s="993">
        <v>7</v>
      </c>
      <c r="B35" s="658" t="s">
        <v>27</v>
      </c>
      <c r="C35" s="659"/>
      <c r="D35" s="10" t="str">
        <f>+IF(C35&gt;0,"","Утга нөхөх")</f>
        <v>Утга нөхөх</v>
      </c>
      <c r="E35" s="10"/>
    </row>
    <row r="36" spans="1:6">
      <c r="A36" s="993"/>
      <c r="B36" s="643" t="s">
        <v>28</v>
      </c>
      <c r="C36" s="644"/>
      <c r="D36" s="10" t="str">
        <f>+IF(C36&gt;0,IF(C36&lt;=C35,"","Зөвхөн эмэгтэй ажилтнуудын тоог оруулна уу!"),"Утга нөхөх")</f>
        <v>Утга нөхөх</v>
      </c>
      <c r="E36" s="10"/>
    </row>
    <row r="37" spans="1:6">
      <c r="A37" s="995">
        <v>9</v>
      </c>
      <c r="B37" s="656" t="s">
        <v>30</v>
      </c>
      <c r="C37" s="645"/>
      <c r="D37" s="10" t="str">
        <f>+IF(C37&gt;0,"","Сонгох")</f>
        <v>Сонгох</v>
      </c>
      <c r="E37" s="10"/>
    </row>
    <row r="38" spans="1:6">
      <c r="A38" s="995"/>
      <c r="B38" s="646" t="s">
        <v>35</v>
      </c>
      <c r="C38" s="647"/>
      <c r="D38" s="10" t="str">
        <f>+IF(C38&gt;0,"","Утга нөхөх")</f>
        <v>Утга нөхөх</v>
      </c>
      <c r="E38" s="10"/>
    </row>
    <row r="39" spans="1:6">
      <c r="A39" s="995"/>
      <c r="B39" s="646" t="s">
        <v>36</v>
      </c>
      <c r="C39" s="647"/>
      <c r="D39" s="10" t="str">
        <f>+IF(C39&gt;0,"","Утга нөхөх")</f>
        <v>Утга нөхөх</v>
      </c>
      <c r="E39" s="10"/>
    </row>
    <row r="40" spans="1:6">
      <c r="A40" s="995">
        <v>10</v>
      </c>
      <c r="B40" s="994" t="s">
        <v>594</v>
      </c>
      <c r="C40" s="994"/>
      <c r="D40" s="10"/>
      <c r="E40" s="10"/>
    </row>
    <row r="41" spans="1:6">
      <c r="A41" s="995"/>
      <c r="B41" s="481" t="s">
        <v>37</v>
      </c>
      <c r="C41" s="648"/>
      <c r="D41" s="10" t="str">
        <f>IF(C41&gt;200000,"","Заавал нөхнө үү!")</f>
        <v>Заавал нөхнө үү!</v>
      </c>
      <c r="E41" s="10"/>
    </row>
    <row r="42" spans="1:6" ht="15">
      <c r="A42" s="995"/>
      <c r="B42" s="481" t="s">
        <v>668</v>
      </c>
      <c r="C42" s="649"/>
      <c r="D42" s="10" t="str">
        <f>IF(C42&gt;0,"","Утга нөхөх")</f>
        <v>Утга нөхөх</v>
      </c>
      <c r="E42" s="10"/>
    </row>
    <row r="43" spans="1:6">
      <c r="A43" s="995"/>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1492</v>
      </c>
      <c r="C45" s="650"/>
      <c r="D45" s="10" t="str">
        <f>+IF(C45&gt;0,"","Утга нөхөх")</f>
        <v>Утга нөхөх</v>
      </c>
      <c r="E45" s="10"/>
      <c r="F45" s="20"/>
    </row>
    <row r="46" spans="1:6">
      <c r="A46" s="996">
        <v>17</v>
      </c>
      <c r="B46" s="997" t="s">
        <v>31</v>
      </c>
      <c r="C46" s="997"/>
    </row>
    <row r="47" spans="1:6">
      <c r="A47" s="996"/>
      <c r="B47" s="651" t="s">
        <v>583</v>
      </c>
      <c r="C47" s="652"/>
      <c r="D47" s="10" t="str">
        <f>IF(C47&gt;0,IF(C50&gt;0,"","C50 нүдэнд харгалзах дүнг оруулна уу"),"")</f>
        <v/>
      </c>
      <c r="E47" s="10"/>
    </row>
    <row r="48" spans="1:6">
      <c r="A48" s="996"/>
      <c r="B48" s="651" t="s">
        <v>584</v>
      </c>
      <c r="C48" s="652"/>
      <c r="D48" s="10" t="str">
        <f>IF(C48&gt;0,IF(C51&gt;0,"","C51 нүдэнд харгалзах дүнг оруулна уу"),"")</f>
        <v/>
      </c>
      <c r="E48" s="10"/>
    </row>
    <row r="49" spans="1:7">
      <c r="A49" s="996"/>
      <c r="B49" s="997" t="s">
        <v>32</v>
      </c>
      <c r="C49" s="997"/>
      <c r="D49" s="10"/>
      <c r="E49" s="10"/>
    </row>
    <row r="50" spans="1:7">
      <c r="A50" s="996"/>
      <c r="B50" s="651" t="s">
        <v>585</v>
      </c>
      <c r="C50" s="653"/>
      <c r="D50" s="10"/>
      <c r="E50" s="10"/>
    </row>
    <row r="51" spans="1:7">
      <c r="A51" s="996"/>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98" t="s">
        <v>33</v>
      </c>
      <c r="B56" s="998"/>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91" t="s">
        <v>1484</v>
      </c>
      <c r="C60" s="991"/>
    </row>
    <row r="61" spans="1:7">
      <c r="A61" s="27"/>
      <c r="B61" s="19"/>
      <c r="C61" s="19"/>
    </row>
    <row r="62" spans="1:7">
      <c r="A62" s="27"/>
      <c r="B62" s="991" t="s">
        <v>1485</v>
      </c>
      <c r="C62" s="991"/>
    </row>
    <row r="63" spans="1:7">
      <c r="A63" s="27"/>
      <c r="B63" s="19"/>
      <c r="C63" s="19"/>
    </row>
    <row r="64" spans="1:7">
      <c r="A64" s="27"/>
      <c r="B64" s="991"/>
      <c r="C64" s="991"/>
    </row>
  </sheetData>
  <sheetProtection algorithmName="SHA-512" hashValue="oyVGfyzx5PNgv8pH0y1CpHjdrKiLFHqFfklLRcNDT+peRURvQJLU2tOteGkfzuoUn9Hxhp39eYs4EchNtdU+IQ==" saltValue="z6RQdpgnVcdWVq03OKZOP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5" t="s">
        <v>449</v>
      </c>
      <c r="B2" s="985"/>
      <c r="C2" s="985"/>
      <c r="D2" s="985"/>
      <c r="E2" s="985"/>
      <c r="F2" s="985"/>
      <c r="G2" s="985"/>
      <c r="H2" s="985"/>
      <c r="I2" s="985"/>
    </row>
    <row r="3" spans="1:9">
      <c r="A3" s="1002" t="str">
        <f>+GB!A3</f>
        <v xml:space="preserve">БАНК БУС САНХҮҮГИЙН БАЙГУУЛЛАГЫН НЭР </v>
      </c>
      <c r="B3" s="1002"/>
      <c r="C3" s="1002"/>
      <c r="D3" s="1002"/>
      <c r="E3" s="1002"/>
      <c r="F3" s="1002"/>
      <c r="G3" s="1002"/>
      <c r="H3" s="1002"/>
      <c r="I3" s="1002"/>
    </row>
    <row r="4" spans="1:9">
      <c r="A4" s="985" t="str">
        <f>+GB!A4</f>
        <v>БАНК БУС САНХҮҮГИЙН БАЙГУУЛЛАГА</v>
      </c>
      <c r="B4" s="985"/>
      <c r="C4" s="985"/>
      <c r="D4" s="985"/>
      <c r="E4" s="985"/>
      <c r="F4" s="985"/>
      <c r="G4" s="985"/>
      <c r="H4" s="985"/>
      <c r="I4" s="985"/>
    </row>
    <row r="5" spans="1:9" ht="15.75" customHeight="1">
      <c r="A5" s="1140">
        <f>+GB!A6</f>
        <v>45473</v>
      </c>
      <c r="B5" s="1140"/>
      <c r="H5" s="1155" t="s">
        <v>41</v>
      </c>
      <c r="I5" s="1155"/>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99" t="s">
        <v>298</v>
      </c>
      <c r="B27" s="1199"/>
      <c r="C27" s="149">
        <f>+SUM(C7:C26)</f>
        <v>0</v>
      </c>
      <c r="D27" s="85"/>
      <c r="E27" s="85"/>
      <c r="F27" s="216">
        <f>+SUM(F7:F26)</f>
        <v>0</v>
      </c>
      <c r="G27" s="216">
        <f>+SUM(G7:G26)</f>
        <v>0</v>
      </c>
      <c r="H27" s="217">
        <f>SUM(H7:H26)</f>
        <v>0</v>
      </c>
      <c r="I27" s="922" t="e">
        <f>SUM(I7:I26)</f>
        <v>#DIV/0!</v>
      </c>
    </row>
    <row r="28" spans="1:9" ht="15.75" customHeight="1">
      <c r="A28" s="1200" t="s">
        <v>457</v>
      </c>
      <c r="B28" s="1200"/>
      <c r="C28" s="1200"/>
      <c r="D28" s="1200"/>
      <c r="E28" s="1200"/>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40" t="s">
        <v>122</v>
      </c>
      <c r="D32" s="1040"/>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5" t="s">
        <v>340</v>
      </c>
      <c r="B2" s="985"/>
      <c r="C2" s="985"/>
      <c r="D2" s="985"/>
      <c r="E2" s="985"/>
      <c r="F2" s="985"/>
      <c r="G2" s="985"/>
      <c r="H2" s="985"/>
      <c r="I2" s="985"/>
      <c r="J2" s="985"/>
      <c r="K2" s="985"/>
      <c r="L2" s="985"/>
    </row>
    <row r="3" spans="1:13">
      <c r="A3" s="1002" t="str">
        <f>GB!A3</f>
        <v xml:space="preserve">БАНК БУС САНХҮҮГИЙН БАЙГУУЛЛАГЫН НЭР </v>
      </c>
      <c r="B3" s="1002"/>
      <c r="C3" s="1002"/>
      <c r="D3" s="1002"/>
      <c r="E3" s="1002"/>
      <c r="F3" s="1002"/>
      <c r="G3" s="1002"/>
      <c r="H3" s="1002"/>
      <c r="I3" s="1002"/>
      <c r="J3" s="1002"/>
      <c r="K3" s="1002"/>
      <c r="L3" s="1002"/>
    </row>
    <row r="4" spans="1:13">
      <c r="A4" s="985" t="str">
        <f>+GB!A4</f>
        <v>БАНК БУС САНХҮҮГИЙН БАЙГУУЛЛАГА</v>
      </c>
      <c r="B4" s="985"/>
      <c r="C4" s="985"/>
      <c r="D4" s="985"/>
      <c r="E4" s="985"/>
      <c r="F4" s="985"/>
      <c r="G4" s="985"/>
      <c r="H4" s="985"/>
      <c r="I4" s="985"/>
      <c r="J4" s="985"/>
      <c r="K4" s="985"/>
      <c r="L4" s="985"/>
    </row>
    <row r="5" spans="1:13">
      <c r="A5" s="1140">
        <f>GB!A6</f>
        <v>45473</v>
      </c>
      <c r="B5" s="1140"/>
      <c r="C5" s="244"/>
      <c r="L5" s="1155" t="s">
        <v>41</v>
      </c>
      <c r="M5" s="1155"/>
    </row>
    <row r="6" spans="1:13">
      <c r="A6" s="1186" t="s">
        <v>2</v>
      </c>
      <c r="B6" s="1203" t="s">
        <v>705</v>
      </c>
      <c r="C6" s="1204"/>
      <c r="D6" s="1178" t="s">
        <v>341</v>
      </c>
      <c r="E6" s="1172" t="s">
        <v>533</v>
      </c>
      <c r="F6" s="1186" t="s">
        <v>342</v>
      </c>
      <c r="G6" s="1186" t="s">
        <v>290</v>
      </c>
      <c r="H6" s="1186" t="s">
        <v>343</v>
      </c>
      <c r="I6" s="1186" t="s">
        <v>344</v>
      </c>
      <c r="J6" s="1178" t="s">
        <v>345</v>
      </c>
      <c r="K6" s="1178" t="s">
        <v>346</v>
      </c>
      <c r="L6" s="1178" t="s">
        <v>347</v>
      </c>
      <c r="M6" s="1205" t="s">
        <v>297</v>
      </c>
    </row>
    <row r="7" spans="1:13">
      <c r="A7" s="1187"/>
      <c r="B7" s="247" t="s">
        <v>530</v>
      </c>
      <c r="C7" s="247" t="s">
        <v>531</v>
      </c>
      <c r="D7" s="1179"/>
      <c r="E7" s="1173"/>
      <c r="F7" s="1187"/>
      <c r="G7" s="1187"/>
      <c r="H7" s="1187"/>
      <c r="I7" s="1187"/>
      <c r="J7" s="1179"/>
      <c r="K7" s="1179"/>
      <c r="L7" s="1179"/>
      <c r="M7" s="1206"/>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41" t="s">
        <v>298</v>
      </c>
      <c r="B28" s="1141"/>
      <c r="C28" s="245"/>
      <c r="D28" s="294">
        <f>+SUM(D8:D27)</f>
        <v>0</v>
      </c>
      <c r="E28" s="207"/>
      <c r="F28" s="295"/>
      <c r="G28" s="295"/>
      <c r="H28" s="295"/>
      <c r="I28" s="295"/>
      <c r="J28" s="294"/>
      <c r="K28" s="294">
        <f>SUM(K8:K27)</f>
        <v>0</v>
      </c>
      <c r="L28" s="294">
        <f>+SUM(L8:L27)</f>
        <v>0</v>
      </c>
      <c r="M28" s="291"/>
    </row>
    <row r="29" spans="1:13" ht="15.75" customHeight="1">
      <c r="F29" s="1201" t="s">
        <v>348</v>
      </c>
      <c r="G29" s="1201"/>
      <c r="H29" s="1201"/>
      <c r="I29" s="1201"/>
      <c r="J29" s="1201"/>
      <c r="K29" s="1201"/>
      <c r="L29" s="1201"/>
      <c r="M29" s="210" t="e">
        <f>+MAX(M8:M27)</f>
        <v>#DIV/0!</v>
      </c>
    </row>
    <row r="30" spans="1:13" ht="12.75" customHeight="1">
      <c r="F30" s="1202" t="str">
        <f>IF(ROUND(SUM(GB!H64,GB!H220),2)=K28,"","Балансын дүнгээс зөрүүтэй тул зууны нарийвчлалтай шивнэ үү. зөв 200,265.23 | буруу 200,236.256")</f>
        <v/>
      </c>
      <c r="G30" s="1202"/>
      <c r="H30" s="1202"/>
      <c r="I30" s="1202"/>
      <c r="J30" s="1202"/>
      <c r="K30" s="1202"/>
      <c r="L30" s="1202"/>
      <c r="M30" s="1202"/>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5" t="s">
        <v>458</v>
      </c>
      <c r="B2" s="985"/>
      <c r="C2" s="985"/>
      <c r="D2" s="985"/>
      <c r="E2" s="985"/>
      <c r="F2" s="985"/>
      <c r="G2" s="985"/>
      <c r="H2" s="985"/>
      <c r="I2" s="985"/>
      <c r="J2" s="985"/>
    </row>
    <row r="3" spans="1:12">
      <c r="A3" s="1002" t="str">
        <f>GB!A3</f>
        <v xml:space="preserve">БАНК БУС САНХҮҮГИЙН БАЙГУУЛЛАГЫН НЭР </v>
      </c>
      <c r="B3" s="1002"/>
      <c r="C3" s="1002"/>
      <c r="D3" s="1002"/>
      <c r="E3" s="1002"/>
      <c r="F3" s="1002"/>
      <c r="G3" s="1002"/>
      <c r="H3" s="1002"/>
      <c r="I3" s="1002"/>
      <c r="J3" s="1002"/>
    </row>
    <row r="4" spans="1:12">
      <c r="A4" s="985" t="str">
        <f>GB!A4</f>
        <v>БАНК БУС САНХҮҮГИЙН БАЙГУУЛЛАГА</v>
      </c>
      <c r="B4" s="985"/>
      <c r="C4" s="985"/>
      <c r="D4" s="985"/>
      <c r="E4" s="985"/>
      <c r="F4" s="985"/>
      <c r="G4" s="985"/>
      <c r="H4" s="985"/>
      <c r="I4" s="985"/>
      <c r="J4" s="985"/>
    </row>
    <row r="5" spans="1:12">
      <c r="A5" s="1140">
        <f>GB!A6</f>
        <v>45473</v>
      </c>
      <c r="B5" s="1140"/>
      <c r="C5" s="244"/>
      <c r="I5" s="1197" t="s">
        <v>41</v>
      </c>
      <c r="J5" s="1197"/>
    </row>
    <row r="6" spans="1:12" ht="25.5" customHeight="1">
      <c r="A6" s="1180" t="s">
        <v>2</v>
      </c>
      <c r="B6" s="1174" t="s">
        <v>536</v>
      </c>
      <c r="C6" s="1175"/>
      <c r="D6" s="1178" t="s">
        <v>459</v>
      </c>
      <c r="E6" s="1172" t="s">
        <v>542</v>
      </c>
      <c r="F6" s="1186" t="s">
        <v>543</v>
      </c>
      <c r="G6" s="1180" t="s">
        <v>460</v>
      </c>
      <c r="H6" s="1180" t="s">
        <v>290</v>
      </c>
      <c r="I6" s="1207" t="s">
        <v>235</v>
      </c>
      <c r="J6" s="1172" t="s">
        <v>461</v>
      </c>
    </row>
    <row r="7" spans="1:12">
      <c r="A7" s="1181"/>
      <c r="B7" s="82" t="s">
        <v>530</v>
      </c>
      <c r="C7" s="82" t="s">
        <v>531</v>
      </c>
      <c r="D7" s="1179"/>
      <c r="E7" s="1173"/>
      <c r="F7" s="1187"/>
      <c r="G7" s="1181"/>
      <c r="H7" s="1181"/>
      <c r="I7" s="1208"/>
      <c r="J7" s="1173"/>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99" t="s">
        <v>298</v>
      </c>
      <c r="B28" s="1199"/>
      <c r="C28" s="300"/>
      <c r="D28" s="149">
        <f>+SUM(D8:D27)</f>
        <v>0</v>
      </c>
      <c r="E28" s="224"/>
      <c r="F28" s="300"/>
      <c r="G28" s="85"/>
      <c r="H28" s="85"/>
      <c r="I28" s="149">
        <f>SUM(I8:I27)</f>
        <v>0</v>
      </c>
      <c r="J28" s="224"/>
      <c r="K28" s="381"/>
    </row>
    <row r="29" spans="1:11">
      <c r="H29" s="1201" t="s">
        <v>462</v>
      </c>
      <c r="I29" s="1201"/>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40" t="s">
        <v>122</v>
      </c>
      <c r="C33" s="1040"/>
      <c r="D33" s="1040"/>
      <c r="E33" s="1040"/>
      <c r="F33" s="1040"/>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970" bestFit="1" customWidth="1"/>
    <col min="2" max="2" width="47" style="970" bestFit="1" customWidth="1"/>
    <col min="3" max="11" width="17.7109375" style="864" customWidth="1"/>
    <col min="12" max="12" width="15.85546875" style="969" customWidth="1"/>
    <col min="13" max="16384" width="9.140625" style="970"/>
  </cols>
  <sheetData>
    <row r="2" spans="1:11">
      <c r="A2" s="1210" t="s">
        <v>265</v>
      </c>
      <c r="B2" s="1210"/>
      <c r="C2" s="1210"/>
      <c r="D2" s="1210"/>
      <c r="E2" s="1210"/>
      <c r="F2" s="1210"/>
      <c r="G2" s="1210"/>
      <c r="H2" s="1210"/>
      <c r="I2" s="1210"/>
      <c r="J2" s="1210"/>
      <c r="K2" s="1210"/>
    </row>
    <row r="3" spans="1:11">
      <c r="A3" s="1211" t="str">
        <f>GB!A3</f>
        <v xml:space="preserve">БАНК БУС САНХҮҮГИЙН БАЙГУУЛЛАГЫН НЭР </v>
      </c>
      <c r="B3" s="1211"/>
      <c r="C3" s="1211"/>
      <c r="D3" s="1211"/>
      <c r="E3" s="1211"/>
      <c r="F3" s="1211"/>
      <c r="G3" s="1211"/>
      <c r="H3" s="1211"/>
      <c r="I3" s="1211"/>
      <c r="J3" s="1211"/>
      <c r="K3" s="1211"/>
    </row>
    <row r="4" spans="1:11">
      <c r="A4" s="1210" t="str">
        <f>+GB!A4</f>
        <v>БАНК БУС САНХҮҮГИЙН БАЙГУУЛЛАГА</v>
      </c>
      <c r="B4" s="1210"/>
      <c r="C4" s="1210"/>
      <c r="D4" s="1210"/>
      <c r="E4" s="1210"/>
      <c r="F4" s="1210"/>
      <c r="G4" s="1210"/>
      <c r="H4" s="1210"/>
      <c r="I4" s="1210"/>
      <c r="J4" s="1210"/>
      <c r="K4" s="1210"/>
    </row>
    <row r="5" spans="1:11">
      <c r="A5" s="971"/>
      <c r="B5" s="971"/>
      <c r="C5" s="971"/>
      <c r="D5" s="971"/>
      <c r="E5" s="971"/>
      <c r="F5" s="971"/>
      <c r="G5" s="971"/>
      <c r="H5" s="971"/>
      <c r="I5" s="971"/>
      <c r="J5" s="971"/>
      <c r="K5" s="971"/>
    </row>
    <row r="6" spans="1:11">
      <c r="A6" s="1212">
        <f>GB!A6</f>
        <v>45473</v>
      </c>
      <c r="B6" s="1212"/>
      <c r="J6" s="1213" t="s">
        <v>41</v>
      </c>
      <c r="K6" s="1213"/>
    </row>
    <row r="7" spans="1:11" ht="18.75" customHeight="1">
      <c r="A7" s="1209" t="s">
        <v>266</v>
      </c>
      <c r="B7" s="1209"/>
      <c r="C7" s="845" t="s">
        <v>267</v>
      </c>
      <c r="D7" s="845" t="s">
        <v>268</v>
      </c>
      <c r="E7" s="845" t="s">
        <v>269</v>
      </c>
      <c r="F7" s="845" t="s">
        <v>270</v>
      </c>
      <c r="G7" s="845" t="s">
        <v>271</v>
      </c>
      <c r="H7" s="845" t="s">
        <v>272</v>
      </c>
      <c r="I7" s="845" t="s">
        <v>273</v>
      </c>
      <c r="J7" s="845" t="s">
        <v>274</v>
      </c>
      <c r="K7" s="845" t="s">
        <v>275</v>
      </c>
    </row>
    <row r="8" spans="1:11">
      <c r="A8" s="972">
        <v>1</v>
      </c>
      <c r="B8" s="972" t="s">
        <v>45</v>
      </c>
      <c r="C8" s="161">
        <f>+BS!D9</f>
        <v>0</v>
      </c>
      <c r="D8" s="161"/>
      <c r="E8" s="161"/>
      <c r="F8" s="161"/>
      <c r="G8" s="161"/>
      <c r="H8" s="161"/>
      <c r="I8" s="161"/>
      <c r="J8" s="161"/>
      <c r="K8" s="161">
        <f t="shared" ref="K8:K15" si="0">+SUM(C8:J8)</f>
        <v>0</v>
      </c>
    </row>
    <row r="9" spans="1:11">
      <c r="A9" s="972">
        <v>2</v>
      </c>
      <c r="B9" s="972" t="s">
        <v>201</v>
      </c>
      <c r="C9" s="206"/>
      <c r="D9" s="206"/>
      <c r="E9" s="206"/>
      <c r="F9" s="206"/>
      <c r="G9" s="206"/>
      <c r="H9" s="206"/>
      <c r="I9" s="206"/>
      <c r="J9" s="206"/>
      <c r="K9" s="161">
        <f t="shared" si="0"/>
        <v>0</v>
      </c>
    </row>
    <row r="10" spans="1:11">
      <c r="A10" s="972">
        <v>3</v>
      </c>
      <c r="B10" s="972" t="s">
        <v>202</v>
      </c>
      <c r="C10" s="206"/>
      <c r="D10" s="206"/>
      <c r="E10" s="206"/>
      <c r="F10" s="206"/>
      <c r="G10" s="206"/>
      <c r="H10" s="206"/>
      <c r="I10" s="206"/>
      <c r="J10" s="206"/>
      <c r="K10" s="161">
        <f t="shared" si="0"/>
        <v>0</v>
      </c>
    </row>
    <row r="11" spans="1:11">
      <c r="A11" s="972">
        <v>4</v>
      </c>
      <c r="B11" s="972" t="s">
        <v>29</v>
      </c>
      <c r="C11" s="206"/>
      <c r="D11" s="206"/>
      <c r="E11" s="206"/>
      <c r="F11" s="206"/>
      <c r="G11" s="206"/>
      <c r="H11" s="206"/>
      <c r="I11" s="206"/>
      <c r="J11" s="206"/>
      <c r="K11" s="161">
        <f t="shared" si="0"/>
        <v>0</v>
      </c>
    </row>
    <row r="12" spans="1:11">
      <c r="A12" s="972">
        <v>5</v>
      </c>
      <c r="B12" s="972" t="s">
        <v>276</v>
      </c>
      <c r="C12" s="206"/>
      <c r="D12" s="206"/>
      <c r="E12" s="206"/>
      <c r="F12" s="206"/>
      <c r="G12" s="206"/>
      <c r="H12" s="206"/>
      <c r="I12" s="206"/>
      <c r="J12" s="206"/>
      <c r="K12" s="161">
        <f t="shared" si="0"/>
        <v>0</v>
      </c>
    </row>
    <row r="13" spans="1:11">
      <c r="A13" s="972">
        <v>6</v>
      </c>
      <c r="B13" s="972" t="s">
        <v>277</v>
      </c>
      <c r="C13" s="206"/>
      <c r="D13" s="206"/>
      <c r="E13" s="206"/>
      <c r="F13" s="206"/>
      <c r="G13" s="206"/>
      <c r="H13" s="206"/>
      <c r="I13" s="206"/>
      <c r="J13" s="206"/>
      <c r="K13" s="161">
        <f t="shared" si="0"/>
        <v>0</v>
      </c>
    </row>
    <row r="14" spans="1:11">
      <c r="A14" s="972">
        <v>7</v>
      </c>
      <c r="B14" s="972" t="s">
        <v>278</v>
      </c>
      <c r="C14" s="904"/>
      <c r="D14" s="206"/>
      <c r="E14" s="206"/>
      <c r="F14" s="206"/>
      <c r="G14" s="206"/>
      <c r="H14" s="206"/>
      <c r="I14" s="206"/>
      <c r="J14" s="206"/>
      <c r="K14" s="161">
        <f t="shared" si="0"/>
        <v>0</v>
      </c>
    </row>
    <row r="15" spans="1:11">
      <c r="A15" s="972">
        <v>8</v>
      </c>
      <c r="B15" s="973" t="s">
        <v>279</v>
      </c>
      <c r="C15" s="206"/>
      <c r="D15" s="323"/>
      <c r="E15" s="206"/>
      <c r="F15" s="206"/>
      <c r="G15" s="206"/>
      <c r="H15" s="206"/>
      <c r="I15" s="206"/>
      <c r="J15" s="206"/>
      <c r="K15" s="161">
        <f t="shared" si="0"/>
        <v>0</v>
      </c>
    </row>
    <row r="16" spans="1:11">
      <c r="A16" s="1215" t="s">
        <v>280</v>
      </c>
      <c r="B16" s="1215"/>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216" t="s">
        <v>281</v>
      </c>
      <c r="B17" s="1216"/>
      <c r="C17" s="906"/>
      <c r="D17" s="906"/>
      <c r="E17" s="906"/>
      <c r="F17" s="906"/>
      <c r="G17" s="906"/>
      <c r="H17" s="906"/>
      <c r="I17" s="906"/>
      <c r="J17" s="906"/>
      <c r="K17" s="906"/>
    </row>
    <row r="18" spans="1:11">
      <c r="A18" s="972">
        <v>1</v>
      </c>
      <c r="B18" s="972" t="s">
        <v>710</v>
      </c>
      <c r="C18" s="148"/>
      <c r="D18" s="148"/>
      <c r="E18" s="148"/>
      <c r="F18" s="148"/>
      <c r="G18" s="148"/>
      <c r="H18" s="148"/>
      <c r="I18" s="148"/>
      <c r="J18" s="148"/>
      <c r="K18" s="161">
        <f t="shared" ref="K18:K34" si="2">+SUM(C18:J18)</f>
        <v>0</v>
      </c>
    </row>
    <row r="19" spans="1:11">
      <c r="A19" s="972">
        <v>2</v>
      </c>
      <c r="B19" s="972"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972"/>
      <c r="B20" s="974" t="s">
        <v>714</v>
      </c>
      <c r="C20" s="148"/>
      <c r="D20" s="148"/>
      <c r="E20" s="148"/>
      <c r="F20" s="148"/>
      <c r="G20" s="148"/>
      <c r="H20" s="148"/>
      <c r="I20" s="148"/>
      <c r="J20" s="148"/>
      <c r="K20" s="161"/>
    </row>
    <row r="21" spans="1:11">
      <c r="A21" s="972"/>
      <c r="B21" s="974" t="s">
        <v>83</v>
      </c>
      <c r="C21" s="148"/>
      <c r="D21" s="148"/>
      <c r="E21" s="148"/>
      <c r="F21" s="148"/>
      <c r="G21" s="148"/>
      <c r="H21" s="148"/>
      <c r="I21" s="148"/>
      <c r="J21" s="148"/>
      <c r="K21" s="161"/>
    </row>
    <row r="22" spans="1:11">
      <c r="A22" s="972">
        <v>3</v>
      </c>
      <c r="B22" s="972"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972"/>
      <c r="B23" s="974" t="s">
        <v>1475</v>
      </c>
      <c r="C23" s="148"/>
      <c r="D23" s="148"/>
      <c r="E23" s="148"/>
      <c r="F23" s="148"/>
      <c r="G23" s="148"/>
      <c r="H23" s="148"/>
      <c r="I23" s="148"/>
      <c r="J23" s="148"/>
      <c r="K23" s="161">
        <f t="shared" si="2"/>
        <v>0</v>
      </c>
    </row>
    <row r="24" spans="1:11">
      <c r="A24" s="972"/>
      <c r="B24" s="974"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972"/>
      <c r="B25" s="975" t="s">
        <v>714</v>
      </c>
      <c r="C25" s="148"/>
      <c r="D25" s="148"/>
      <c r="E25" s="148"/>
      <c r="F25" s="148"/>
      <c r="G25" s="148"/>
      <c r="H25" s="148"/>
      <c r="I25" s="148"/>
      <c r="J25" s="148"/>
      <c r="K25" s="161"/>
    </row>
    <row r="26" spans="1:11">
      <c r="A26" s="972"/>
      <c r="B26" s="975" t="s">
        <v>83</v>
      </c>
      <c r="C26" s="148"/>
      <c r="D26" s="148"/>
      <c r="E26" s="148"/>
      <c r="F26" s="148"/>
      <c r="G26" s="148"/>
      <c r="H26" s="148"/>
      <c r="I26" s="148"/>
      <c r="J26" s="148"/>
      <c r="K26" s="161"/>
    </row>
    <row r="27" spans="1:11">
      <c r="A27" s="972"/>
      <c r="B27" s="974"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972"/>
      <c r="B28" s="975" t="s">
        <v>714</v>
      </c>
      <c r="C28" s="148"/>
      <c r="D28" s="148"/>
      <c r="E28" s="148"/>
      <c r="F28" s="148"/>
      <c r="G28" s="148"/>
      <c r="H28" s="148"/>
      <c r="I28" s="148"/>
      <c r="J28" s="148"/>
      <c r="K28" s="161"/>
    </row>
    <row r="29" spans="1:11">
      <c r="A29" s="972"/>
      <c r="B29" s="975" t="s">
        <v>83</v>
      </c>
      <c r="C29" s="148"/>
      <c r="D29" s="148"/>
      <c r="E29" s="148"/>
      <c r="F29" s="148"/>
      <c r="G29" s="148"/>
      <c r="H29" s="148"/>
      <c r="I29" s="148"/>
      <c r="J29" s="148"/>
      <c r="K29" s="161"/>
    </row>
    <row r="30" spans="1:11">
      <c r="A30" s="972">
        <v>4</v>
      </c>
      <c r="B30" s="972" t="s">
        <v>1161</v>
      </c>
      <c r="C30" s="148"/>
      <c r="D30" s="148"/>
      <c r="E30" s="148"/>
      <c r="F30" s="148"/>
      <c r="G30" s="148"/>
      <c r="H30" s="148"/>
      <c r="I30" s="148"/>
      <c r="J30" s="148"/>
      <c r="K30" s="161">
        <f t="shared" si="2"/>
        <v>0</v>
      </c>
    </row>
    <row r="31" spans="1:11">
      <c r="A31" s="972">
        <v>5</v>
      </c>
      <c r="B31" s="972" t="s">
        <v>832</v>
      </c>
      <c r="C31" s="148"/>
      <c r="D31" s="148"/>
      <c r="E31" s="148"/>
      <c r="F31" s="148"/>
      <c r="G31" s="148"/>
      <c r="H31" s="148"/>
      <c r="I31" s="148"/>
      <c r="J31" s="148"/>
      <c r="K31" s="161">
        <f t="shared" si="2"/>
        <v>0</v>
      </c>
    </row>
    <row r="32" spans="1:11">
      <c r="A32" s="972">
        <v>6</v>
      </c>
      <c r="B32" s="972" t="s">
        <v>66</v>
      </c>
      <c r="C32" s="148"/>
      <c r="D32" s="148"/>
      <c r="E32" s="148"/>
      <c r="F32" s="148"/>
      <c r="G32" s="148"/>
      <c r="H32" s="148"/>
      <c r="I32" s="148"/>
      <c r="J32" s="148"/>
      <c r="K32" s="161">
        <f>+SUM(C32:J32)</f>
        <v>0</v>
      </c>
    </row>
    <row r="33" spans="1:12">
      <c r="A33" s="972">
        <v>7</v>
      </c>
      <c r="B33" s="972" t="s">
        <v>855</v>
      </c>
      <c r="C33" s="148"/>
      <c r="D33" s="148"/>
      <c r="E33" s="148"/>
      <c r="F33" s="148"/>
      <c r="G33" s="148"/>
      <c r="H33" s="148"/>
      <c r="I33" s="148"/>
      <c r="J33" s="148"/>
      <c r="K33" s="161">
        <f t="shared" si="2"/>
        <v>0</v>
      </c>
    </row>
    <row r="34" spans="1:12">
      <c r="A34" s="972">
        <v>8</v>
      </c>
      <c r="B34" s="972" t="s">
        <v>1478</v>
      </c>
      <c r="C34" s="148"/>
      <c r="D34" s="148"/>
      <c r="E34" s="148"/>
      <c r="F34" s="148"/>
      <c r="G34" s="148"/>
      <c r="H34" s="148"/>
      <c r="I34" s="148"/>
      <c r="J34" s="148"/>
      <c r="K34" s="161">
        <f t="shared" si="2"/>
        <v>0</v>
      </c>
    </row>
    <row r="35" spans="1:12">
      <c r="A35" s="1215" t="s">
        <v>282</v>
      </c>
      <c r="B35" s="1215"/>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17" t="s">
        <v>283</v>
      </c>
      <c r="B36" s="1217"/>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17" t="s">
        <v>284</v>
      </c>
      <c r="B37" s="1217"/>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976" customFormat="1" ht="31.5" customHeight="1">
      <c r="A38" s="1214" t="s">
        <v>285</v>
      </c>
      <c r="B38" s="1214"/>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970" t="s">
        <v>592</v>
      </c>
    </row>
    <row r="40" spans="1:12">
      <c r="B40" s="970" t="s">
        <v>593</v>
      </c>
    </row>
    <row r="42" spans="1:12">
      <c r="B42" s="977" t="s">
        <v>33</v>
      </c>
      <c r="C42" s="252"/>
      <c r="D42" s="907"/>
      <c r="E42" s="976"/>
      <c r="F42" s="978"/>
    </row>
    <row r="43" spans="1:12">
      <c r="B43" s="977"/>
      <c r="C43" s="252"/>
      <c r="D43" s="907"/>
      <c r="E43" s="976"/>
      <c r="F43" s="978"/>
    </row>
    <row r="44" spans="1:12">
      <c r="B44" s="864"/>
      <c r="C44" s="979" t="s">
        <v>122</v>
      </c>
      <c r="D44" s="908"/>
      <c r="E44" s="979"/>
      <c r="F44" s="970"/>
    </row>
    <row r="45" spans="1:12">
      <c r="B45" s="980"/>
      <c r="C45" s="252"/>
      <c r="D45" s="907"/>
      <c r="E45" s="976"/>
      <c r="F45" s="978"/>
    </row>
    <row r="46" spans="1:12" ht="15" customHeight="1">
      <c r="B46" s="252"/>
      <c r="C46" s="252"/>
      <c r="D46" s="252" t="str">
        <f>+Statistic!B60</f>
        <v>ГҮЙЦЭТГЭХ ЗАХИРАЛ.......................//</v>
      </c>
      <c r="E46" s="252"/>
      <c r="F46" s="252"/>
      <c r="G46" s="252"/>
      <c r="H46" s="252"/>
    </row>
    <row r="47" spans="1:12">
      <c r="B47" s="909"/>
      <c r="C47" s="909"/>
      <c r="D47" s="966"/>
      <c r="E47" s="966"/>
      <c r="F47" s="966"/>
      <c r="G47" s="910"/>
      <c r="H47" s="910"/>
    </row>
    <row r="48" spans="1:12" ht="15" customHeight="1">
      <c r="B48" s="252"/>
      <c r="C48" s="252"/>
      <c r="D48" s="252" t="str">
        <f>+Statistic!B62</f>
        <v>ЕРӨНХИЙ НЯГТЛАН БОДОГЧ...................................................//</v>
      </c>
      <c r="E48" s="252"/>
      <c r="F48" s="252"/>
      <c r="G48" s="252"/>
      <c r="H48" s="252"/>
    </row>
    <row r="49" spans="2:8">
      <c r="B49" s="909"/>
      <c r="C49" s="909"/>
      <c r="D49" s="966"/>
      <c r="E49" s="966"/>
      <c r="F49" s="966"/>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38:B38"/>
    <mergeCell ref="A16:B16"/>
    <mergeCell ref="A17:B17"/>
    <mergeCell ref="A35:B35"/>
    <mergeCell ref="A36:B36"/>
    <mergeCell ref="A37:B37"/>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5" t="s">
        <v>467</v>
      </c>
      <c r="B2" s="985"/>
      <c r="C2" s="985"/>
      <c r="D2" s="985"/>
      <c r="E2" s="985"/>
      <c r="F2" s="985"/>
      <c r="G2" s="985"/>
      <c r="H2" s="985"/>
      <c r="I2" s="985"/>
      <c r="J2" s="985"/>
      <c r="K2" s="985"/>
      <c r="L2" s="985"/>
      <c r="M2" s="985"/>
      <c r="N2" s="985"/>
      <c r="O2" s="985"/>
    </row>
    <row r="3" spans="1:15">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row>
    <row r="4" spans="1:15">
      <c r="A4" s="985" t="str">
        <f>+GB!A4</f>
        <v>БАНК БУС САНХҮҮГИЙН БАЙГУУЛЛАГА</v>
      </c>
      <c r="B4" s="985"/>
      <c r="C4" s="985"/>
      <c r="D4" s="985"/>
      <c r="E4" s="985"/>
      <c r="F4" s="985"/>
      <c r="G4" s="985"/>
      <c r="H4" s="985"/>
      <c r="I4" s="985"/>
      <c r="J4" s="985"/>
      <c r="K4" s="985"/>
      <c r="L4" s="985"/>
      <c r="M4" s="985"/>
      <c r="N4" s="985"/>
      <c r="O4" s="985"/>
    </row>
    <row r="5" spans="1:15">
      <c r="A5" s="1"/>
      <c r="B5" s="1"/>
      <c r="C5" s="1"/>
      <c r="D5" s="1"/>
      <c r="E5" s="1"/>
      <c r="F5" s="1"/>
      <c r="G5" s="1"/>
      <c r="H5" s="1"/>
      <c r="I5" s="1"/>
      <c r="J5" s="1"/>
      <c r="K5" s="1"/>
      <c r="L5" s="1"/>
      <c r="M5" s="1"/>
      <c r="N5" s="1"/>
      <c r="O5" s="1"/>
    </row>
    <row r="6" spans="1:15">
      <c r="A6" s="1223">
        <f>+GB!A6</f>
        <v>45473</v>
      </c>
      <c r="B6" s="1223"/>
      <c r="N6" s="1197" t="s">
        <v>41</v>
      </c>
      <c r="O6" s="1197"/>
    </row>
    <row r="7" spans="1:15" ht="21" customHeight="1">
      <c r="A7" s="1219" t="s">
        <v>2</v>
      </c>
      <c r="B7" s="1222" t="s">
        <v>43</v>
      </c>
      <c r="C7" s="1219" t="s">
        <v>468</v>
      </c>
      <c r="D7" s="1219" t="s">
        <v>469</v>
      </c>
      <c r="E7" s="1219" t="s">
        <v>470</v>
      </c>
      <c r="F7" s="1222" t="s">
        <v>471</v>
      </c>
      <c r="G7" s="1219" t="s">
        <v>472</v>
      </c>
      <c r="H7" s="1219" t="s">
        <v>469</v>
      </c>
      <c r="I7" s="1222" t="s">
        <v>473</v>
      </c>
      <c r="J7" s="1219" t="s">
        <v>474</v>
      </c>
      <c r="K7" s="1219"/>
      <c r="L7" s="1219"/>
      <c r="M7" s="1221" t="s">
        <v>475</v>
      </c>
      <c r="N7" s="1221"/>
      <c r="O7" s="1218" t="s">
        <v>297</v>
      </c>
    </row>
    <row r="8" spans="1:15" ht="21" customHeight="1">
      <c r="A8" s="1219"/>
      <c r="B8" s="1222"/>
      <c r="C8" s="1219"/>
      <c r="D8" s="1219"/>
      <c r="E8" s="1219"/>
      <c r="F8" s="1222"/>
      <c r="G8" s="1219"/>
      <c r="H8" s="1219"/>
      <c r="I8" s="1222"/>
      <c r="J8" s="82" t="s">
        <v>476</v>
      </c>
      <c r="K8" s="82" t="s">
        <v>477</v>
      </c>
      <c r="L8" s="82" t="s">
        <v>478</v>
      </c>
      <c r="M8" s="214" t="s">
        <v>208</v>
      </c>
      <c r="N8" s="214" t="s">
        <v>313</v>
      </c>
      <c r="O8" s="1218"/>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20" t="s">
        <v>3</v>
      </c>
      <c r="B14" s="1220"/>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20" t="s">
        <v>3</v>
      </c>
      <c r="B20" s="1220"/>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20" t="s">
        <v>3</v>
      </c>
      <c r="B26" s="1220"/>
      <c r="C26" s="88"/>
      <c r="D26" s="88"/>
      <c r="E26" s="88"/>
      <c r="F26" s="88"/>
      <c r="G26" s="88"/>
      <c r="H26" s="88"/>
      <c r="I26" s="88"/>
      <c r="J26" s="88"/>
      <c r="K26" s="88"/>
      <c r="L26" s="88"/>
      <c r="M26" s="225">
        <f>+SUM(M21:M25)</f>
        <v>0</v>
      </c>
      <c r="N26" s="225">
        <f>+SUM(N21:N25)</f>
        <v>0</v>
      </c>
      <c r="O26" s="921"/>
    </row>
    <row r="27" spans="1:15">
      <c r="A27" s="1141" t="s">
        <v>298</v>
      </c>
      <c r="B27" s="1141"/>
      <c r="C27" s="85"/>
      <c r="D27" s="85"/>
      <c r="E27" s="85"/>
      <c r="F27" s="85"/>
      <c r="G27" s="85"/>
      <c r="H27" s="85"/>
      <c r="I27" s="85"/>
      <c r="J27" s="85"/>
      <c r="K27" s="85"/>
      <c r="L27" s="85"/>
      <c r="M27" s="226">
        <f>+SUM(M14,M20,M26)</f>
        <v>0</v>
      </c>
      <c r="N27" s="226">
        <f>+SUM(N14,N20,N26)</f>
        <v>0</v>
      </c>
      <c r="O27" s="224"/>
    </row>
    <row r="28" spans="1:15">
      <c r="M28" s="1224" t="s">
        <v>462</v>
      </c>
      <c r="N28" s="1224"/>
      <c r="O28" s="210" t="e">
        <f>+MAX(O9:O25)</f>
        <v>#DIV/0!</v>
      </c>
    </row>
    <row r="30" spans="1:15">
      <c r="C30" s="34" t="s">
        <v>33</v>
      </c>
      <c r="D30" s="93"/>
      <c r="E30" s="92"/>
      <c r="F30" s="13"/>
      <c r="G30" s="14"/>
    </row>
    <row r="31" spans="1:15">
      <c r="C31" s="34"/>
      <c r="D31" s="93"/>
      <c r="E31" s="92"/>
      <c r="F31" s="13"/>
      <c r="G31" s="14"/>
    </row>
    <row r="32" spans="1:15">
      <c r="C32" s="90"/>
      <c r="D32" s="1040" t="s">
        <v>122</v>
      </c>
      <c r="E32" s="1040"/>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5" t="s">
        <v>491</v>
      </c>
      <c r="B2" s="985"/>
      <c r="C2" s="985"/>
      <c r="D2" s="985"/>
      <c r="E2" s="985"/>
    </row>
    <row r="3" spans="1:5">
      <c r="A3" s="1002" t="str">
        <f>+GB!A3</f>
        <v xml:space="preserve">БАНК БУС САНХҮҮГИЙН БАЙГУУЛЛАГЫН НЭР </v>
      </c>
      <c r="B3" s="1002"/>
      <c r="C3" s="1002"/>
      <c r="D3" s="1002"/>
      <c r="E3" s="1002"/>
    </row>
    <row r="4" spans="1:5">
      <c r="A4" s="985" t="str">
        <f>+GB!A4</f>
        <v>БАНК БУС САНХҮҮГИЙН БАЙГУУЛЛАГА</v>
      </c>
      <c r="B4" s="985"/>
      <c r="C4" s="985"/>
      <c r="D4" s="985"/>
      <c r="E4" s="985"/>
    </row>
    <row r="5" spans="1:5">
      <c r="A5" s="1"/>
      <c r="B5" s="1"/>
      <c r="C5" s="1"/>
      <c r="D5" s="1"/>
      <c r="E5" s="18"/>
    </row>
    <row r="6" spans="1:5">
      <c r="A6" s="1140">
        <f>+GB!A6</f>
        <v>45473</v>
      </c>
      <c r="B6" s="1140"/>
    </row>
    <row r="7" spans="1:5">
      <c r="A7" s="233" t="s">
        <v>2</v>
      </c>
      <c r="B7" s="21" t="s">
        <v>492</v>
      </c>
      <c r="C7" s="233" t="s">
        <v>493</v>
      </c>
      <c r="D7" s="234" t="s">
        <v>494</v>
      </c>
      <c r="E7" s="233" t="s">
        <v>495</v>
      </c>
    </row>
    <row r="8" spans="1:5">
      <c r="A8" s="233" t="s">
        <v>239</v>
      </c>
      <c r="B8" s="1226" t="s">
        <v>496</v>
      </c>
      <c r="C8" s="1226"/>
      <c r="D8" s="1226"/>
      <c r="E8" s="1226"/>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26" t="s">
        <v>499</v>
      </c>
      <c r="C12" s="1226"/>
      <c r="D12" s="1226"/>
      <c r="E12" s="1226"/>
    </row>
    <row r="13" spans="1:5">
      <c r="A13" s="25">
        <v>4</v>
      </c>
      <c r="B13" s="23" t="s">
        <v>499</v>
      </c>
      <c r="C13" s="25" t="s">
        <v>500</v>
      </c>
      <c r="D13" s="239" t="str">
        <f>+Liquidity!E27</f>
        <v>-</v>
      </c>
      <c r="E13" s="250" t="str">
        <f>+Liquidity!E28</f>
        <v>-</v>
      </c>
    </row>
    <row r="14" spans="1:5">
      <c r="A14" s="233" t="s">
        <v>250</v>
      </c>
      <c r="B14" s="1226" t="s">
        <v>501</v>
      </c>
      <c r="C14" s="1226"/>
      <c r="D14" s="1226"/>
      <c r="E14" s="1226"/>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26" t="s">
        <v>515</v>
      </c>
      <c r="C25" s="1226"/>
      <c r="D25" s="1226"/>
      <c r="E25" s="1226"/>
    </row>
    <row r="26" spans="1:5" ht="25.5">
      <c r="A26" s="25">
        <v>15</v>
      </c>
      <c r="B26" s="238" t="s">
        <v>516</v>
      </c>
      <c r="C26" s="25" t="s">
        <v>517</v>
      </c>
      <c r="D26" s="867" t="e">
        <f>Forex!M30</f>
        <v>#DIV/0!</v>
      </c>
      <c r="E26" s="250" t="e">
        <f>IF(AND(D26&lt;0.4,D26&gt;-0.4),"Хангасан","Хангаагүй")</f>
        <v>#DIV/0!</v>
      </c>
    </row>
    <row r="27" spans="1:5">
      <c r="A27" s="233" t="s">
        <v>195</v>
      </c>
      <c r="B27" s="1226" t="s">
        <v>544</v>
      </c>
      <c r="C27" s="1226"/>
      <c r="D27" s="1226"/>
      <c r="E27" s="1226"/>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26" t="s">
        <v>520</v>
      </c>
      <c r="C30" s="1226"/>
      <c r="D30" s="1226"/>
      <c r="E30" s="1226"/>
    </row>
    <row r="31" spans="1:5">
      <c r="A31" s="25">
        <v>17</v>
      </c>
      <c r="B31" s="23" t="s">
        <v>521</v>
      </c>
      <c r="C31" s="25" t="s">
        <v>522</v>
      </c>
      <c r="D31" s="867" t="e">
        <f>+BS!D83/BS!D102</f>
        <v>#DIV/0!</v>
      </c>
      <c r="E31" s="250" t="e">
        <f>+IF(D31&gt;0.15,"Хангаагүй","Хангасан")</f>
        <v>#DIV/0!</v>
      </c>
    </row>
    <row r="32" spans="1:5">
      <c r="A32" s="233" t="s">
        <v>524</v>
      </c>
      <c r="B32" s="1226" t="s">
        <v>525</v>
      </c>
      <c r="C32" s="1226"/>
      <c r="D32" s="1226"/>
      <c r="E32" s="1226"/>
    </row>
    <row r="33" spans="1:5" ht="15.75" customHeight="1">
      <c r="A33" s="25">
        <v>19</v>
      </c>
      <c r="B33" s="23" t="s">
        <v>526</v>
      </c>
      <c r="C33" s="1225" t="e">
        <f>+IS!D208/((Statistic!C44+BS!D102)/2)</f>
        <v>#DIV/0!</v>
      </c>
      <c r="D33" s="1225"/>
      <c r="E33" s="1225"/>
    </row>
    <row r="34" spans="1:5" ht="15.75" customHeight="1">
      <c r="A34" s="25">
        <v>20</v>
      </c>
      <c r="B34" s="23" t="s">
        <v>527</v>
      </c>
      <c r="C34" s="1225" t="e">
        <f>+IS!D208/((Statistic!C45+BS!I96)/2)</f>
        <v>#DIV/0!</v>
      </c>
      <c r="D34" s="1225"/>
      <c r="E34" s="1225"/>
    </row>
    <row r="37" spans="1:5">
      <c r="A37" s="998" t="s">
        <v>33</v>
      </c>
      <c r="B37" s="998"/>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D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48" t="s">
        <v>349</v>
      </c>
      <c r="B2" s="1248"/>
      <c r="C2" s="1248"/>
      <c r="D2" s="1248"/>
      <c r="E2" s="1248"/>
      <c r="F2" s="1248"/>
      <c r="G2" s="1248"/>
      <c r="H2" s="1248"/>
      <c r="I2" s="1248"/>
      <c r="J2" s="1248"/>
      <c r="K2" s="1248"/>
      <c r="L2" s="1248"/>
      <c r="M2" s="1248"/>
      <c r="N2" s="1248"/>
      <c r="O2" s="1248"/>
      <c r="P2" s="1248"/>
    </row>
    <row r="3" spans="1:18">
      <c r="A3" s="1249" t="str">
        <f>+GB!A3</f>
        <v xml:space="preserve">БАНК БУС САНХҮҮГИЙН БАЙГУУЛЛАГЫН НЭР </v>
      </c>
      <c r="B3" s="1249"/>
      <c r="C3" s="1249"/>
      <c r="D3" s="1249"/>
      <c r="E3" s="1249"/>
      <c r="F3" s="1249"/>
      <c r="G3" s="1249"/>
      <c r="H3" s="1249"/>
      <c r="I3" s="1249"/>
      <c r="J3" s="1249"/>
      <c r="K3" s="1249"/>
      <c r="L3" s="1249"/>
      <c r="M3" s="1249"/>
      <c r="N3" s="1249"/>
      <c r="O3" s="1249"/>
      <c r="P3" s="1249"/>
    </row>
    <row r="4" spans="1:18">
      <c r="A4" s="1250" t="str">
        <f>+GB!A4</f>
        <v>БАНК БУС САНХҮҮГИЙН БАЙГУУЛЛАГА</v>
      </c>
      <c r="B4" s="1250"/>
      <c r="C4" s="1250"/>
      <c r="D4" s="1250"/>
      <c r="E4" s="1250"/>
      <c r="F4" s="1250"/>
      <c r="G4" s="1250"/>
      <c r="H4" s="1250"/>
      <c r="I4" s="1250"/>
      <c r="J4" s="1250"/>
      <c r="K4" s="1250"/>
      <c r="L4" s="1250"/>
      <c r="M4" s="1250"/>
      <c r="N4" s="1250"/>
      <c r="O4" s="1250"/>
      <c r="P4" s="1250"/>
    </row>
    <row r="5" spans="1:18">
      <c r="A5" s="334"/>
      <c r="B5" s="334"/>
      <c r="C5" s="936"/>
      <c r="D5" s="334"/>
      <c r="E5" s="335"/>
      <c r="F5" s="336"/>
      <c r="G5" s="334"/>
      <c r="H5" s="335"/>
      <c r="I5" s="335"/>
      <c r="J5" s="334"/>
      <c r="K5" s="936"/>
      <c r="L5" s="334"/>
      <c r="M5" s="334"/>
      <c r="N5" s="335"/>
      <c r="O5" s="336"/>
      <c r="P5" s="336"/>
    </row>
    <row r="6" spans="1:18">
      <c r="A6" s="919">
        <f>+GB!A6</f>
        <v>45473</v>
      </c>
      <c r="B6" s="380"/>
      <c r="C6" s="937"/>
      <c r="D6" s="337"/>
      <c r="E6" s="338"/>
      <c r="F6" s="339"/>
      <c r="G6" s="340"/>
      <c r="H6" s="1251"/>
      <c r="I6" s="1251"/>
      <c r="J6" s="1251"/>
      <c r="K6" s="940"/>
      <c r="L6" s="341"/>
      <c r="M6" s="341"/>
      <c r="O6" s="1252" t="s">
        <v>41</v>
      </c>
      <c r="P6" s="1252"/>
    </row>
    <row r="7" spans="1:18" ht="12.75" customHeight="1">
      <c r="A7" s="1245" t="s">
        <v>350</v>
      </c>
      <c r="B7" s="1234" t="s">
        <v>341</v>
      </c>
      <c r="C7" s="1234"/>
      <c r="D7" s="1234" t="s">
        <v>351</v>
      </c>
      <c r="E7" s="1234"/>
      <c r="F7" s="1246" t="s">
        <v>541</v>
      </c>
      <c r="G7" s="1234" t="s">
        <v>352</v>
      </c>
      <c r="H7" s="1234"/>
      <c r="I7" s="1241" t="s">
        <v>568</v>
      </c>
      <c r="J7" s="1234" t="s">
        <v>353</v>
      </c>
      <c r="K7" s="1234"/>
      <c r="L7" s="1234"/>
      <c r="M7" s="1234"/>
      <c r="N7" s="1234"/>
      <c r="O7" s="1243" t="s">
        <v>354</v>
      </c>
      <c r="P7" s="1243"/>
    </row>
    <row r="8" spans="1:18" ht="23.25" customHeight="1">
      <c r="A8" s="1245"/>
      <c r="B8" s="343" t="s">
        <v>355</v>
      </c>
      <c r="C8" s="344" t="s">
        <v>356</v>
      </c>
      <c r="D8" s="343" t="s">
        <v>355</v>
      </c>
      <c r="E8" s="344" t="s">
        <v>356</v>
      </c>
      <c r="F8" s="1246"/>
      <c r="G8" s="343" t="s">
        <v>355</v>
      </c>
      <c r="H8" s="344" t="s">
        <v>356</v>
      </c>
      <c r="I8" s="1242"/>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28" t="s">
        <v>549</v>
      </c>
      <c r="C51" s="1229"/>
      <c r="D51" s="383">
        <f>SUM(D52:D58)</f>
        <v>0</v>
      </c>
      <c r="E51" s="272">
        <f>SUM(E52:E58)</f>
        <v>0</v>
      </c>
      <c r="F51" s="366" t="e">
        <f>(D52*F52+D53*F53+D54*F54+D55*F55+D56*F56+D57*F57+D58*F58)/D51</f>
        <v>#DIV/0!</v>
      </c>
      <c r="G51" s="383">
        <f>SUM(G52:G58)</f>
        <v>0</v>
      </c>
      <c r="H51" s="272">
        <f>SUM(H52:H58)</f>
        <v>0</v>
      </c>
      <c r="I51" s="1228" t="s">
        <v>549</v>
      </c>
      <c r="J51" s="1229"/>
      <c r="K51" s="1229"/>
      <c r="L51" s="1229"/>
      <c r="M51" s="1229"/>
      <c r="N51" s="1229"/>
      <c r="O51" s="1229"/>
      <c r="P51" s="1238"/>
      <c r="Q51" s="332"/>
      <c r="R51" s="417"/>
    </row>
    <row r="52" spans="1:18">
      <c r="A52" s="348" t="s">
        <v>572</v>
      </c>
      <c r="B52" s="1230"/>
      <c r="C52" s="1231"/>
      <c r="D52" s="387"/>
      <c r="E52" s="278"/>
      <c r="F52" s="286"/>
      <c r="G52" s="387"/>
      <c r="H52" s="278"/>
      <c r="I52" s="1230"/>
      <c r="J52" s="1231"/>
      <c r="K52" s="1231"/>
      <c r="L52" s="1231"/>
      <c r="M52" s="1231"/>
      <c r="N52" s="1231"/>
      <c r="O52" s="1231"/>
      <c r="P52" s="1239"/>
      <c r="Q52" s="332" t="str">
        <f t="shared" ref="Q52:Q58" si="7">+IF(D52&gt;0,IF(AND(F52&gt;0,F52&lt;0.15),"","ЗЖДХ-г сараар шивнэ үү."),"")</f>
        <v/>
      </c>
      <c r="R52" s="417"/>
    </row>
    <row r="53" spans="1:18">
      <c r="A53" s="348" t="s">
        <v>573</v>
      </c>
      <c r="B53" s="1230"/>
      <c r="C53" s="1231"/>
      <c r="D53" s="387"/>
      <c r="E53" s="278"/>
      <c r="F53" s="286"/>
      <c r="G53" s="387"/>
      <c r="H53" s="278"/>
      <c r="I53" s="1230"/>
      <c r="J53" s="1231"/>
      <c r="K53" s="1231"/>
      <c r="L53" s="1231"/>
      <c r="M53" s="1231"/>
      <c r="N53" s="1231"/>
      <c r="O53" s="1231"/>
      <c r="P53" s="1239"/>
      <c r="Q53" s="332" t="str">
        <f t="shared" si="7"/>
        <v/>
      </c>
      <c r="R53" s="417"/>
    </row>
    <row r="54" spans="1:18">
      <c r="A54" s="348" t="s">
        <v>574</v>
      </c>
      <c r="B54" s="1230"/>
      <c r="C54" s="1231"/>
      <c r="D54" s="387"/>
      <c r="E54" s="278"/>
      <c r="F54" s="286"/>
      <c r="G54" s="387"/>
      <c r="H54" s="278"/>
      <c r="I54" s="1230"/>
      <c r="J54" s="1231"/>
      <c r="K54" s="1231"/>
      <c r="L54" s="1231"/>
      <c r="M54" s="1231"/>
      <c r="N54" s="1231"/>
      <c r="O54" s="1231"/>
      <c r="P54" s="1239"/>
      <c r="Q54" s="332" t="str">
        <f t="shared" si="7"/>
        <v/>
      </c>
      <c r="R54" s="417"/>
    </row>
    <row r="55" spans="1:18">
      <c r="A55" s="348" t="s">
        <v>575</v>
      </c>
      <c r="B55" s="1230"/>
      <c r="C55" s="1231"/>
      <c r="D55" s="387"/>
      <c r="E55" s="278"/>
      <c r="F55" s="286"/>
      <c r="G55" s="387"/>
      <c r="H55" s="278"/>
      <c r="I55" s="1230"/>
      <c r="J55" s="1231"/>
      <c r="K55" s="1231"/>
      <c r="L55" s="1231"/>
      <c r="M55" s="1231"/>
      <c r="N55" s="1231"/>
      <c r="O55" s="1231"/>
      <c r="P55" s="1239"/>
      <c r="Q55" s="332" t="str">
        <f t="shared" si="7"/>
        <v/>
      </c>
      <c r="R55" s="417"/>
    </row>
    <row r="56" spans="1:18">
      <c r="A56" s="348" t="s">
        <v>576</v>
      </c>
      <c r="B56" s="1230"/>
      <c r="C56" s="1231"/>
      <c r="D56" s="387"/>
      <c r="E56" s="278"/>
      <c r="F56" s="286"/>
      <c r="G56" s="387"/>
      <c r="H56" s="278"/>
      <c r="I56" s="1230"/>
      <c r="J56" s="1231"/>
      <c r="K56" s="1231"/>
      <c r="L56" s="1231"/>
      <c r="M56" s="1231"/>
      <c r="N56" s="1231"/>
      <c r="O56" s="1231"/>
      <c r="P56" s="1239"/>
      <c r="Q56" s="332" t="str">
        <f t="shared" si="7"/>
        <v/>
      </c>
      <c r="R56" s="417"/>
    </row>
    <row r="57" spans="1:18">
      <c r="A57" s="348" t="s">
        <v>577</v>
      </c>
      <c r="B57" s="1230"/>
      <c r="C57" s="1231"/>
      <c r="D57" s="387"/>
      <c r="E57" s="278"/>
      <c r="F57" s="286"/>
      <c r="G57" s="387"/>
      <c r="H57" s="278"/>
      <c r="I57" s="1230"/>
      <c r="J57" s="1231"/>
      <c r="K57" s="1231"/>
      <c r="L57" s="1231"/>
      <c r="M57" s="1231"/>
      <c r="N57" s="1231"/>
      <c r="O57" s="1231"/>
      <c r="P57" s="1239"/>
      <c r="Q57" s="332" t="str">
        <f t="shared" si="7"/>
        <v/>
      </c>
      <c r="R57" s="417"/>
    </row>
    <row r="58" spans="1:18">
      <c r="A58" s="348" t="s">
        <v>578</v>
      </c>
      <c r="B58" s="1232"/>
      <c r="C58" s="1233"/>
      <c r="D58" s="387"/>
      <c r="E58" s="278"/>
      <c r="F58" s="286"/>
      <c r="G58" s="387"/>
      <c r="H58" s="278"/>
      <c r="I58" s="1232"/>
      <c r="J58" s="1233"/>
      <c r="K58" s="1233"/>
      <c r="L58" s="1233"/>
      <c r="M58" s="1233"/>
      <c r="N58" s="1233"/>
      <c r="O58" s="1233"/>
      <c r="P58" s="1240"/>
      <c r="Q58" s="332" t="str">
        <f t="shared" si="7"/>
        <v/>
      </c>
      <c r="R58" s="417"/>
    </row>
    <row r="59" spans="1:18" s="346" customFormat="1">
      <c r="A59" s="1235" t="s">
        <v>596</v>
      </c>
      <c r="B59" s="1236"/>
      <c r="C59" s="1236"/>
      <c r="D59" s="1236"/>
      <c r="E59" s="1236"/>
      <c r="F59" s="1236"/>
      <c r="G59" s="1236"/>
      <c r="H59" s="1236"/>
      <c r="I59" s="1236"/>
      <c r="J59" s="1236"/>
      <c r="K59" s="1236"/>
      <c r="L59" s="1236"/>
      <c r="M59" s="1236"/>
      <c r="N59" s="1236"/>
      <c r="O59" s="1236"/>
      <c r="P59" s="1237"/>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4"/>
      <c r="D75" s="364"/>
      <c r="E75" s="934"/>
      <c r="F75" s="364"/>
      <c r="G75" s="364"/>
      <c r="H75" s="934"/>
      <c r="I75" s="364"/>
      <c r="J75" s="364"/>
      <c r="K75" s="934"/>
      <c r="L75" s="364"/>
      <c r="M75" s="364"/>
      <c r="N75" s="364"/>
      <c r="O75" s="364"/>
      <c r="P75" s="364"/>
      <c r="Q75" s="361"/>
      <c r="R75" s="361"/>
    </row>
    <row r="76" spans="1:18" ht="39" customHeight="1">
      <c r="A76" s="1167" t="s">
        <v>590</v>
      </c>
      <c r="B76" s="1167"/>
      <c r="C76" s="1167"/>
      <c r="D76" s="1167"/>
      <c r="E76" s="1167"/>
      <c r="F76" s="1167"/>
      <c r="G76" s="1167"/>
      <c r="H76" s="1167"/>
      <c r="I76" s="1167"/>
      <c r="J76" s="1167"/>
      <c r="K76" s="1167"/>
      <c r="L76" s="1167"/>
      <c r="M76" s="1167"/>
      <c r="N76" s="1167"/>
      <c r="O76" s="1167"/>
      <c r="P76" s="1167"/>
    </row>
    <row r="77" spans="1:18">
      <c r="A77" s="1167" t="s">
        <v>591</v>
      </c>
      <c r="B77" s="1167"/>
      <c r="C77" s="1167"/>
      <c r="D77" s="1167"/>
      <c r="E77" s="1167"/>
      <c r="F77" s="1167"/>
      <c r="G77" s="1167"/>
      <c r="H77" s="1167"/>
      <c r="I77" s="1167"/>
      <c r="J77" s="1167"/>
      <c r="K77" s="1167"/>
      <c r="L77" s="1167"/>
      <c r="M77" s="1167"/>
      <c r="N77" s="1167"/>
      <c r="O77" s="1167"/>
      <c r="P77" s="1167"/>
    </row>
    <row r="78" spans="1:18">
      <c r="A78" s="1247" t="s">
        <v>402</v>
      </c>
      <c r="B78" s="1247"/>
      <c r="C78" s="1247"/>
      <c r="D78" s="351"/>
      <c r="E78" s="935"/>
      <c r="F78" s="367"/>
      <c r="G78" s="351"/>
      <c r="H78" s="935"/>
      <c r="I78" s="351"/>
      <c r="J78" s="351"/>
      <c r="K78" s="935"/>
      <c r="L78" s="351"/>
      <c r="M78" s="351"/>
      <c r="N78" s="351"/>
      <c r="O78" s="351"/>
      <c r="P78" s="351"/>
    </row>
    <row r="79" spans="1:18">
      <c r="A79" s="333" t="s">
        <v>569</v>
      </c>
    </row>
    <row r="80" spans="1:18">
      <c r="B80" s="1244" t="s">
        <v>33</v>
      </c>
      <c r="C80" s="1244"/>
      <c r="D80" s="354"/>
      <c r="E80" s="355"/>
      <c r="F80" s="356"/>
      <c r="H80" s="284"/>
      <c r="I80" s="284"/>
    </row>
    <row r="81" spans="2:13">
      <c r="B81" s="357"/>
      <c r="C81" s="939"/>
      <c r="D81" s="354"/>
      <c r="E81" s="355"/>
      <c r="F81" s="356"/>
    </row>
    <row r="82" spans="2:13">
      <c r="B82" s="1227" t="s">
        <v>122</v>
      </c>
      <c r="C82" s="1227"/>
      <c r="D82" s="1227"/>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x39zO8V4mFmbC+3KYTL9Q7Sp8NIwaR0jDosPnEY63gPCL+EefgMxdev11T1mQ3kiVKQFkExBbfJgog5fLOQWCQ==" saltValue="jBzM7Xh+w79lfk063JlZz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5" t="s">
        <v>463</v>
      </c>
      <c r="B2" s="985"/>
      <c r="C2" s="985"/>
      <c r="D2" s="985"/>
      <c r="E2" s="985"/>
      <c r="F2" s="985"/>
      <c r="G2" s="985"/>
      <c r="H2" s="985"/>
      <c r="I2" s="985"/>
      <c r="J2" s="985"/>
      <c r="K2" s="985"/>
      <c r="L2" s="2"/>
    </row>
    <row r="3" spans="1:12">
      <c r="A3" s="1002" t="str">
        <f>+GB!A3</f>
        <v xml:space="preserve">БАНК БУС САНХҮҮГИЙН БАЙГУУЛЛАГЫН НЭР </v>
      </c>
      <c r="B3" s="1002"/>
      <c r="C3" s="1002"/>
      <c r="D3" s="1002"/>
      <c r="E3" s="1002"/>
      <c r="F3" s="1002"/>
      <c r="G3" s="1002"/>
      <c r="H3" s="1002"/>
      <c r="I3" s="1002"/>
      <c r="J3" s="1002"/>
      <c r="K3" s="1002"/>
      <c r="L3" s="9"/>
    </row>
    <row r="4" spans="1:12">
      <c r="A4" s="985" t="str">
        <f>+GB!A4</f>
        <v>БАНК БУС САНХҮҮГИЙН БАЙГУУЛЛАГА</v>
      </c>
      <c r="B4" s="985"/>
      <c r="C4" s="985"/>
      <c r="D4" s="985"/>
      <c r="E4" s="985"/>
      <c r="F4" s="985"/>
      <c r="G4" s="985"/>
      <c r="H4" s="985"/>
      <c r="I4" s="985"/>
      <c r="J4" s="985"/>
      <c r="K4" s="985"/>
      <c r="L4" s="2"/>
    </row>
    <row r="5" spans="1:12" ht="15" customHeight="1">
      <c r="A5" s="1140">
        <f>+GB!A6</f>
        <v>45473</v>
      </c>
      <c r="B5" s="1140"/>
      <c r="C5" s="244"/>
      <c r="J5" s="1197" t="s">
        <v>41</v>
      </c>
      <c r="K5" s="1197"/>
      <c r="L5" s="2"/>
    </row>
    <row r="6" spans="1:12" ht="38.25" customHeight="1">
      <c r="A6" s="1186" t="s">
        <v>2</v>
      </c>
      <c r="B6" s="1203" t="s">
        <v>538</v>
      </c>
      <c r="C6" s="1204"/>
      <c r="D6" s="1178" t="s">
        <v>464</v>
      </c>
      <c r="E6" s="1186" t="s">
        <v>465</v>
      </c>
      <c r="F6" s="1186" t="s">
        <v>539</v>
      </c>
      <c r="G6" s="1186" t="s">
        <v>466</v>
      </c>
      <c r="H6" s="1186" t="s">
        <v>290</v>
      </c>
      <c r="I6" s="1186" t="s">
        <v>343</v>
      </c>
      <c r="J6" s="1178" t="s">
        <v>570</v>
      </c>
      <c r="K6" s="1172" t="s">
        <v>297</v>
      </c>
      <c r="L6" s="27"/>
    </row>
    <row r="7" spans="1:12">
      <c r="A7" s="1187"/>
      <c r="B7" s="247" t="s">
        <v>530</v>
      </c>
      <c r="C7" s="247" t="s">
        <v>531</v>
      </c>
      <c r="D7" s="1179"/>
      <c r="E7" s="1187"/>
      <c r="F7" s="1187"/>
      <c r="G7" s="1187"/>
      <c r="H7" s="1187"/>
      <c r="I7" s="1187"/>
      <c r="J7" s="1179"/>
      <c r="K7" s="1173"/>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41" t="s">
        <v>298</v>
      </c>
      <c r="B28" s="1141"/>
      <c r="C28" s="245"/>
      <c r="D28" s="149">
        <f>+SUM(D8:D27)</f>
        <v>0</v>
      </c>
      <c r="E28" s="85"/>
      <c r="F28" s="85"/>
      <c r="G28" s="85"/>
      <c r="H28" s="85"/>
      <c r="I28" s="85"/>
      <c r="J28" s="149">
        <f>SUM(J8:J27)</f>
        <v>0</v>
      </c>
      <c r="K28" s="224"/>
    </row>
    <row r="29" spans="1:12">
      <c r="I29" s="1201" t="s">
        <v>462</v>
      </c>
      <c r="J29" s="1201"/>
      <c r="K29" s="223" t="e">
        <f>+MAX(K8:K27)</f>
        <v>#DIV/0!</v>
      </c>
    </row>
    <row r="30" spans="1:12">
      <c r="J30" s="369"/>
    </row>
    <row r="32" spans="1:12">
      <c r="A32" s="1160" t="s">
        <v>33</v>
      </c>
      <c r="B32" s="1160"/>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5" t="s">
        <v>479</v>
      </c>
      <c r="B2" s="985"/>
      <c r="C2" s="985"/>
      <c r="D2" s="985"/>
      <c r="E2" s="985"/>
      <c r="F2" s="985"/>
      <c r="G2" s="985"/>
      <c r="H2" s="985"/>
      <c r="I2" s="228"/>
      <c r="J2" s="2"/>
      <c r="K2" s="2"/>
      <c r="L2" s="2"/>
      <c r="M2" s="2"/>
      <c r="N2" s="2"/>
      <c r="O2" s="2"/>
      <c r="P2" s="2"/>
      <c r="Q2" s="2"/>
      <c r="R2" s="2"/>
      <c r="S2" s="2"/>
      <c r="T2" s="2"/>
      <c r="U2" s="2"/>
      <c r="V2" s="2"/>
      <c r="W2" s="2"/>
      <c r="X2" s="2"/>
      <c r="Y2" s="2"/>
      <c r="Z2" s="2"/>
    </row>
    <row r="3" spans="1:26">
      <c r="A3" s="1002" t="str">
        <f>+GB!A3</f>
        <v xml:space="preserve">БАНК БУС САНХҮҮГИЙН БАЙГУУЛЛАГЫН НЭР </v>
      </c>
      <c r="B3" s="1002"/>
      <c r="C3" s="1002"/>
      <c r="D3" s="1002"/>
      <c r="E3" s="1002"/>
      <c r="F3" s="1002"/>
      <c r="G3" s="1002"/>
      <c r="H3" s="1002"/>
      <c r="I3" s="229"/>
      <c r="J3" s="9"/>
      <c r="K3" s="9"/>
      <c r="L3" s="9"/>
      <c r="M3" s="9"/>
      <c r="N3" s="9"/>
      <c r="O3" s="9"/>
      <c r="P3" s="9"/>
      <c r="Q3" s="9"/>
      <c r="R3" s="9"/>
      <c r="S3" s="9"/>
      <c r="T3" s="9"/>
      <c r="U3" s="9"/>
      <c r="V3" s="9"/>
      <c r="W3" s="9"/>
      <c r="X3" s="9"/>
      <c r="Y3" s="9"/>
      <c r="Z3" s="9"/>
    </row>
    <row r="4" spans="1:26">
      <c r="A4" s="985" t="str">
        <f>+GB!A4</f>
        <v>БАНК БУС САНХҮҮГИЙН БАЙГУУЛЛАГА</v>
      </c>
      <c r="B4" s="985"/>
      <c r="C4" s="985"/>
      <c r="D4" s="985"/>
      <c r="E4" s="985"/>
      <c r="F4" s="985"/>
      <c r="G4" s="985"/>
      <c r="H4" s="985"/>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40">
        <f>+GB!A6</f>
        <v>45473</v>
      </c>
      <c r="B6" s="1140"/>
      <c r="H6" s="1155" t="s">
        <v>41</v>
      </c>
      <c r="I6" s="1155"/>
    </row>
    <row r="7" spans="1:26" ht="14.25" customHeight="1">
      <c r="A7" s="1222" t="s">
        <v>2</v>
      </c>
      <c r="B7" s="1222" t="s">
        <v>480</v>
      </c>
      <c r="C7" s="1254" t="s">
        <v>481</v>
      </c>
      <c r="D7" s="1254"/>
      <c r="E7" s="1254"/>
      <c r="F7" s="1254"/>
      <c r="G7" s="1254"/>
      <c r="H7" s="1254"/>
      <c r="I7" s="1254"/>
    </row>
    <row r="8" spans="1:26">
      <c r="A8" s="1222"/>
      <c r="B8" s="1222"/>
      <c r="C8" s="1253" t="s">
        <v>482</v>
      </c>
      <c r="D8" s="1253"/>
      <c r="E8" s="1253"/>
      <c r="F8" s="1254" t="s">
        <v>483</v>
      </c>
      <c r="G8" s="1254"/>
      <c r="H8" s="1254"/>
      <c r="I8" s="1257" t="s">
        <v>138</v>
      </c>
    </row>
    <row r="9" spans="1:26" s="16" customFormat="1">
      <c r="A9" s="1222"/>
      <c r="B9" s="1222"/>
      <c r="C9" s="1255" t="s">
        <v>484</v>
      </c>
      <c r="D9" s="1170" t="s">
        <v>485</v>
      </c>
      <c r="E9" s="1170" t="s">
        <v>486</v>
      </c>
      <c r="F9" s="1255" t="s">
        <v>484</v>
      </c>
      <c r="G9" s="1170" t="s">
        <v>485</v>
      </c>
      <c r="H9" s="1170" t="s">
        <v>486</v>
      </c>
      <c r="I9" s="1257"/>
    </row>
    <row r="10" spans="1:26" s="16" customFormat="1" ht="15.75" customHeight="1">
      <c r="A10" s="1222"/>
      <c r="B10" s="1222"/>
      <c r="C10" s="1255"/>
      <c r="D10" s="1170"/>
      <c r="E10" s="1170"/>
      <c r="F10" s="1255"/>
      <c r="G10" s="1170"/>
      <c r="H10" s="1170"/>
      <c r="I10" s="1257"/>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56" t="s">
        <v>298</v>
      </c>
      <c r="B20" s="1256"/>
      <c r="C20" s="289">
        <f t="shared" ref="C20:H20" si="1">+SUM(C11:C19)</f>
        <v>0</v>
      </c>
      <c r="D20" s="289">
        <f t="shared" si="1"/>
        <v>0</v>
      </c>
      <c r="E20" s="290">
        <f>+SUM(E11:E19)</f>
        <v>0</v>
      </c>
      <c r="F20" s="290">
        <f t="shared" si="1"/>
        <v>0</v>
      </c>
      <c r="G20" s="290">
        <f t="shared" si="1"/>
        <v>0</v>
      </c>
      <c r="H20" s="290">
        <f t="shared" si="1"/>
        <v>0</v>
      </c>
      <c r="I20" s="291"/>
    </row>
    <row r="21" spans="1:9">
      <c r="G21" s="1224" t="s">
        <v>462</v>
      </c>
      <c r="H21" s="1224"/>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5" t="s">
        <v>621</v>
      </c>
      <c r="B2" s="985"/>
      <c r="C2" s="985"/>
    </row>
    <row r="3" spans="1:3">
      <c r="A3" s="1002" t="str">
        <f>+Statistic!A3</f>
        <v xml:space="preserve">БАНК БУС САНХҮҮГИЙН БАЙГУУЛЛАГЫН НЭР </v>
      </c>
      <c r="B3" s="1002"/>
      <c r="C3" s="1002"/>
    </row>
    <row r="4" spans="1:3">
      <c r="A4" s="987" t="str">
        <f>+Statistic!A4</f>
        <v>БАНК БУС САНХҮҮГИЙН БАЙГУУЛЛАГА</v>
      </c>
      <c r="B4" s="987"/>
      <c r="C4" s="987"/>
    </row>
    <row r="5" spans="1:3">
      <c r="A5" s="447"/>
      <c r="B5" s="5"/>
      <c r="C5" s="5"/>
    </row>
    <row r="6" spans="1:3">
      <c r="A6" s="447"/>
      <c r="B6" s="5"/>
      <c r="C6" s="5"/>
    </row>
    <row r="7" spans="1:3">
      <c r="A7" s="1000">
        <f>+Statistic!A7</f>
        <v>45473</v>
      </c>
      <c r="B7" s="1000"/>
      <c r="C7" s="421"/>
    </row>
    <row r="8" spans="1:3">
      <c r="A8" s="448" t="s">
        <v>2</v>
      </c>
      <c r="B8" s="1001" t="s">
        <v>691</v>
      </c>
      <c r="C8" s="1001"/>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98" t="s">
        <v>33</v>
      </c>
      <c r="B19" s="998"/>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99" t="str">
        <f>+Statistic!B60</f>
        <v>ГҮЙЦЭТГЭХ ЗАХИРАЛ.......................//</v>
      </c>
      <c r="C23" s="999"/>
    </row>
    <row r="24" spans="1:3">
      <c r="A24" s="27"/>
      <c r="B24" s="305"/>
      <c r="C24" s="305"/>
    </row>
    <row r="25" spans="1:3">
      <c r="A25" s="27"/>
      <c r="B25" s="999" t="str">
        <f>+Statistic!B62</f>
        <v>ЕРӨНХИЙ НЯГТЛАН БОДОГЧ...................................................//</v>
      </c>
      <c r="C25" s="999"/>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5" t="s">
        <v>688</v>
      </c>
      <c r="C2" s="985"/>
      <c r="D2" s="985"/>
      <c r="E2" s="985"/>
      <c r="F2" s="985"/>
      <c r="G2" s="985"/>
      <c r="H2" s="985"/>
      <c r="I2" s="985"/>
      <c r="J2" s="985"/>
      <c r="K2" s="2"/>
      <c r="L2" s="2"/>
      <c r="M2" s="2"/>
      <c r="N2" s="2"/>
    </row>
    <row r="3" spans="2:19">
      <c r="B3" s="1002" t="str">
        <f>+Statistic!A3</f>
        <v xml:space="preserve">БАНК БУС САНХҮҮГИЙН БАЙГУУЛЛАГЫН НЭР </v>
      </c>
      <c r="C3" s="1002"/>
      <c r="D3" s="1002"/>
      <c r="E3" s="1002"/>
      <c r="F3" s="1002"/>
      <c r="G3" s="1002"/>
      <c r="H3" s="1002"/>
      <c r="I3" s="1002"/>
      <c r="J3" s="1002"/>
      <c r="K3" s="9"/>
      <c r="L3" s="9"/>
      <c r="M3" s="9"/>
      <c r="N3" s="9"/>
    </row>
    <row r="4" spans="2:19">
      <c r="B4" s="987" t="str">
        <f>+Statistic!A4</f>
        <v>БАНК БУС САНХҮҮГИЙН БАЙГУУЛЛАГА</v>
      </c>
      <c r="C4" s="987"/>
      <c r="D4" s="987"/>
      <c r="E4" s="987"/>
      <c r="F4" s="987"/>
      <c r="G4" s="987"/>
      <c r="H4" s="987"/>
      <c r="I4" s="987"/>
      <c r="J4" s="987"/>
      <c r="K4" s="6"/>
      <c r="L4" s="6"/>
      <c r="M4" s="6"/>
      <c r="N4" s="6"/>
    </row>
    <row r="5" spans="2:19">
      <c r="D5" s="5"/>
      <c r="E5" s="5"/>
      <c r="F5" s="5"/>
    </row>
    <row r="6" spans="2:19">
      <c r="D6" s="5"/>
      <c r="E6" s="5"/>
      <c r="F6" s="5"/>
    </row>
    <row r="7" spans="2:19">
      <c r="B7" s="1003">
        <f>+Statistic!A7</f>
        <v>45473</v>
      </c>
      <c r="C7" s="1003"/>
      <c r="D7" s="1003"/>
      <c r="E7" s="422"/>
      <c r="F7" s="421"/>
      <c r="J7" s="449" t="s">
        <v>704</v>
      </c>
    </row>
    <row r="8" spans="2:19">
      <c r="B8" s="1005" t="s">
        <v>703</v>
      </c>
      <c r="C8" s="1005"/>
      <c r="D8" s="1005"/>
      <c r="E8" s="1004" t="s">
        <v>29</v>
      </c>
      <c r="F8" s="1004"/>
      <c r="G8" s="1004"/>
      <c r="H8" s="1004"/>
      <c r="I8" s="1005" t="s">
        <v>675</v>
      </c>
      <c r="J8" s="1005"/>
      <c r="K8" s="2"/>
      <c r="L8" s="2"/>
      <c r="M8" s="2"/>
      <c r="N8" s="2"/>
    </row>
    <row r="9" spans="2:19">
      <c r="B9" s="1005"/>
      <c r="C9" s="1005"/>
      <c r="D9" s="1005"/>
      <c r="E9" s="1004" t="s">
        <v>674</v>
      </c>
      <c r="F9" s="1004"/>
      <c r="G9" s="1004" t="s">
        <v>673</v>
      </c>
      <c r="H9" s="1004"/>
      <c r="I9" s="1005" t="s">
        <v>676</v>
      </c>
      <c r="J9" s="1005" t="s">
        <v>677</v>
      </c>
      <c r="K9" s="2"/>
      <c r="L9" s="2"/>
      <c r="M9" s="2"/>
      <c r="N9" s="2"/>
    </row>
    <row r="10" spans="2:19">
      <c r="B10" s="1005"/>
      <c r="C10" s="1005"/>
      <c r="D10" s="1005"/>
      <c r="E10" s="423" t="s">
        <v>676</v>
      </c>
      <c r="F10" s="423" t="s">
        <v>677</v>
      </c>
      <c r="G10" s="423" t="s">
        <v>676</v>
      </c>
      <c r="H10" s="423" t="s">
        <v>677</v>
      </c>
      <c r="I10" s="1005"/>
      <c r="J10" s="1005"/>
      <c r="K10" s="1"/>
      <c r="L10" s="1"/>
      <c r="M10" s="1"/>
      <c r="N10" s="1"/>
    </row>
    <row r="11" spans="2:19">
      <c r="B11" s="154">
        <v>1</v>
      </c>
      <c r="C11" s="1006" t="s">
        <v>699</v>
      </c>
      <c r="D11" s="23" t="s">
        <v>696</v>
      </c>
      <c r="E11" s="258"/>
      <c r="F11" s="258"/>
      <c r="G11" s="258"/>
      <c r="H11" s="258"/>
      <c r="I11" s="258"/>
      <c r="J11" s="258"/>
      <c r="K11" s="669"/>
      <c r="L11" s="669"/>
      <c r="M11" s="669"/>
      <c r="N11" s="669"/>
      <c r="O11" s="669"/>
      <c r="P11" s="669"/>
      <c r="Q11" s="669"/>
      <c r="R11" s="669"/>
      <c r="S11" s="669"/>
    </row>
    <row r="12" spans="2:19">
      <c r="B12" s="154">
        <v>2</v>
      </c>
      <c r="C12" s="1006"/>
      <c r="D12" s="424" t="s">
        <v>697</v>
      </c>
      <c r="E12" s="258"/>
      <c r="F12" s="258"/>
      <c r="G12" s="258"/>
      <c r="H12" s="258"/>
      <c r="I12" s="258"/>
      <c r="J12" s="258"/>
      <c r="K12" s="669"/>
      <c r="L12" s="669"/>
      <c r="M12" s="669"/>
      <c r="N12" s="669"/>
      <c r="O12" s="669"/>
      <c r="P12" s="669"/>
      <c r="Q12" s="669"/>
      <c r="R12" s="669"/>
      <c r="S12" s="669"/>
    </row>
    <row r="13" spans="2:19">
      <c r="B13" s="154">
        <v>3</v>
      </c>
      <c r="C13" s="1006" t="s">
        <v>700</v>
      </c>
      <c r="D13" s="23" t="s">
        <v>695</v>
      </c>
      <c r="E13" s="398"/>
      <c r="F13" s="398"/>
      <c r="G13" s="398"/>
      <c r="H13" s="398"/>
      <c r="I13" s="398"/>
      <c r="J13" s="398"/>
      <c r="K13" s="669"/>
      <c r="L13" s="669"/>
      <c r="M13" s="669"/>
      <c r="N13" s="669"/>
      <c r="O13" s="669"/>
      <c r="P13" s="669"/>
      <c r="Q13" s="669"/>
      <c r="R13" s="669"/>
      <c r="S13" s="669"/>
    </row>
    <row r="14" spans="2:19">
      <c r="B14" s="154">
        <v>4</v>
      </c>
      <c r="C14" s="1006"/>
      <c r="D14" s="424" t="s">
        <v>698</v>
      </c>
      <c r="E14" s="398"/>
      <c r="F14" s="398"/>
      <c r="G14" s="398"/>
      <c r="H14" s="398"/>
      <c r="I14" s="398"/>
      <c r="J14" s="398"/>
      <c r="K14" s="669"/>
      <c r="L14" s="669"/>
      <c r="M14" s="669"/>
      <c r="N14" s="669"/>
      <c r="O14" s="669"/>
      <c r="P14" s="669"/>
      <c r="Q14" s="669"/>
      <c r="R14" s="669"/>
      <c r="S14" s="669"/>
    </row>
    <row r="15" spans="2:19">
      <c r="B15" s="154">
        <v>5</v>
      </c>
      <c r="C15" s="1006" t="s">
        <v>701</v>
      </c>
      <c r="D15" s="23" t="s">
        <v>696</v>
      </c>
      <c r="E15" s="258"/>
      <c r="F15" s="258"/>
      <c r="G15" s="258"/>
      <c r="H15" s="258"/>
      <c r="I15" s="258"/>
      <c r="J15" s="258"/>
      <c r="K15" s="669"/>
      <c r="L15" s="669"/>
      <c r="M15" s="669"/>
      <c r="N15" s="669"/>
      <c r="O15" s="669"/>
      <c r="P15" s="669"/>
      <c r="Q15" s="669"/>
      <c r="R15" s="669"/>
      <c r="S15" s="669"/>
    </row>
    <row r="16" spans="2:19">
      <c r="B16" s="154">
        <v>6</v>
      </c>
      <c r="C16" s="1006"/>
      <c r="D16" s="424" t="s">
        <v>697</v>
      </c>
      <c r="E16" s="258"/>
      <c r="F16" s="258"/>
      <c r="G16" s="258"/>
      <c r="H16" s="258"/>
      <c r="I16" s="258"/>
      <c r="J16" s="258"/>
      <c r="K16" s="669"/>
      <c r="L16" s="669"/>
      <c r="M16" s="669"/>
      <c r="N16" s="669"/>
      <c r="O16" s="669"/>
      <c r="P16" s="669"/>
      <c r="Q16" s="669"/>
      <c r="R16" s="669"/>
      <c r="S16" s="669"/>
    </row>
    <row r="17" spans="2:19">
      <c r="B17" s="154">
        <v>7</v>
      </c>
      <c r="C17" s="1006" t="s">
        <v>702</v>
      </c>
      <c r="D17" s="23" t="s">
        <v>696</v>
      </c>
      <c r="E17" s="258"/>
      <c r="F17" s="258"/>
      <c r="G17" s="258"/>
      <c r="H17" s="258"/>
      <c r="I17" s="258"/>
      <c r="J17" s="258"/>
      <c r="K17" s="669"/>
      <c r="L17" s="669"/>
      <c r="M17" s="669"/>
      <c r="N17" s="669"/>
      <c r="O17" s="669"/>
      <c r="P17" s="669"/>
      <c r="Q17" s="669"/>
      <c r="R17" s="669"/>
      <c r="S17" s="669"/>
    </row>
    <row r="18" spans="2:19">
      <c r="B18" s="154">
        <v>8</v>
      </c>
      <c r="C18" s="1006"/>
      <c r="D18" s="424" t="s">
        <v>697</v>
      </c>
      <c r="E18" s="258"/>
      <c r="F18" s="258"/>
      <c r="G18" s="258"/>
      <c r="H18" s="258"/>
      <c r="I18" s="258"/>
      <c r="J18" s="258"/>
      <c r="K18" s="669"/>
      <c r="L18" s="669"/>
      <c r="M18" s="669"/>
      <c r="N18" s="669"/>
      <c r="O18" s="669"/>
      <c r="P18" s="669"/>
      <c r="Q18" s="669"/>
      <c r="R18" s="669"/>
      <c r="S18" s="669"/>
    </row>
    <row r="22" spans="2:19">
      <c r="D22" s="998" t="s">
        <v>33</v>
      </c>
      <c r="E22" s="998"/>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5" t="s">
        <v>669</v>
      </c>
      <c r="B2" s="985"/>
      <c r="C2" s="985"/>
    </row>
    <row r="3" spans="1:3">
      <c r="A3" s="1002" t="str">
        <f>+Statistic!A3</f>
        <v xml:space="preserve">БАНК БУС САНХҮҮГИЙН БАЙГУУЛЛАГЫН НЭР </v>
      </c>
      <c r="B3" s="1002"/>
      <c r="C3" s="1002"/>
    </row>
    <row r="4" spans="1:3">
      <c r="A4" s="987" t="str">
        <f>+GB!A4</f>
        <v>БАНК БУС САНХҮҮГИЙН БАЙГУУЛЛАГА</v>
      </c>
      <c r="B4" s="987"/>
      <c r="C4" s="987"/>
    </row>
    <row r="5" spans="1:3">
      <c r="A5" s="5"/>
      <c r="B5" s="5"/>
      <c r="C5" s="5"/>
    </row>
    <row r="6" spans="1:3">
      <c r="A6" s="5"/>
      <c r="B6" s="5"/>
      <c r="C6" s="5"/>
    </row>
    <row r="7" spans="1:3">
      <c r="A7" s="1000">
        <f>+Statistic!A7</f>
        <v>45473</v>
      </c>
      <c r="B7" s="1000"/>
      <c r="C7" s="446" t="s">
        <v>704</v>
      </c>
    </row>
    <row r="8" spans="1:3">
      <c r="A8" s="301" t="s">
        <v>622</v>
      </c>
      <c r="B8" s="301" t="s">
        <v>485</v>
      </c>
      <c r="C8" s="301" t="s">
        <v>631</v>
      </c>
    </row>
    <row r="9" spans="1:3">
      <c r="A9" s="1008" t="s">
        <v>632</v>
      </c>
      <c r="B9" s="1009"/>
      <c r="C9" s="1010"/>
    </row>
    <row r="10" spans="1:3">
      <c r="A10" s="302" t="s">
        <v>633</v>
      </c>
      <c r="B10" s="929"/>
      <c r="C10" s="431"/>
    </row>
    <row r="11" spans="1:3">
      <c r="A11" s="1008" t="s">
        <v>629</v>
      </c>
      <c r="B11" s="1009"/>
      <c r="C11" s="1010"/>
    </row>
    <row r="12" spans="1:3">
      <c r="A12" s="302" t="s">
        <v>634</v>
      </c>
      <c r="B12" s="929"/>
      <c r="C12" s="431"/>
    </row>
    <row r="13" spans="1:3">
      <c r="A13" s="302" t="s">
        <v>635</v>
      </c>
      <c r="B13" s="929"/>
      <c r="C13" s="431"/>
    </row>
    <row r="14" spans="1:3">
      <c r="A14" s="302" t="s">
        <v>636</v>
      </c>
      <c r="B14" s="929"/>
      <c r="C14" s="431"/>
    </row>
    <row r="15" spans="1:3">
      <c r="A15" s="1008" t="s">
        <v>637</v>
      </c>
      <c r="B15" s="1009"/>
      <c r="C15" s="1010"/>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98" t="s">
        <v>33</v>
      </c>
      <c r="B38" s="998"/>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1007" t="str">
        <f>+Statistic!B60</f>
        <v>ГҮЙЦЭТГЭХ ЗАХИРАЛ.......................//</v>
      </c>
      <c r="C42" s="1007"/>
    </row>
    <row r="43" spans="1:3">
      <c r="A43" s="27"/>
      <c r="B43" s="425"/>
      <c r="C43" s="425"/>
    </row>
    <row r="44" spans="1:3">
      <c r="A44" s="27"/>
      <c r="B44" s="1007" t="str">
        <f>+Statistic!B62</f>
        <v>ЕРӨНХИЙ НЯГТЛАН БОДОГЧ...................................................//</v>
      </c>
      <c r="C44" s="1007"/>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5" t="s">
        <v>666</v>
      </c>
      <c r="B2" s="985"/>
      <c r="C2" s="985"/>
      <c r="D2" s="985"/>
      <c r="E2" s="985"/>
      <c r="F2" s="985"/>
      <c r="G2" s="985"/>
      <c r="H2" s="985"/>
      <c r="I2" s="985"/>
      <c r="J2" s="985"/>
    </row>
    <row r="3" spans="1:12">
      <c r="A3" s="1002" t="str">
        <f>+Statistic!A3</f>
        <v xml:space="preserve">БАНК БУС САНХҮҮГИЙН БАЙГУУЛЛАГЫН НЭР </v>
      </c>
      <c r="B3" s="1002"/>
      <c r="C3" s="1002"/>
      <c r="D3" s="1002"/>
      <c r="E3" s="1002"/>
      <c r="F3" s="1002"/>
      <c r="G3" s="1002"/>
      <c r="H3" s="1002"/>
      <c r="I3" s="1002"/>
      <c r="J3" s="1002"/>
    </row>
    <row r="4" spans="1:12">
      <c r="A4" s="987" t="str">
        <f>+Statistic!A4</f>
        <v>БАНК БУС САНХҮҮГИЙН БАЙГУУЛЛАГА</v>
      </c>
      <c r="B4" s="987"/>
      <c r="C4" s="987"/>
      <c r="D4" s="987"/>
      <c r="E4" s="987"/>
      <c r="F4" s="987"/>
      <c r="G4" s="987"/>
      <c r="H4" s="987"/>
      <c r="I4" s="987"/>
      <c r="J4" s="987"/>
    </row>
    <row r="5" spans="1:12">
      <c r="A5" s="5"/>
      <c r="B5" s="887"/>
      <c r="C5" s="893"/>
    </row>
    <row r="6" spans="1:12">
      <c r="A6" s="5"/>
      <c r="B6" s="887"/>
      <c r="C6" s="893"/>
    </row>
    <row r="7" spans="1:12">
      <c r="A7" s="433">
        <f>+Statistic!A7</f>
        <v>45473</v>
      </c>
      <c r="B7" s="900"/>
      <c r="C7" s="421"/>
      <c r="K7" s="898" t="s">
        <v>704</v>
      </c>
    </row>
    <row r="8" spans="1:12">
      <c r="A8" s="1033" t="s">
        <v>645</v>
      </c>
      <c r="B8" s="1025" t="s">
        <v>646</v>
      </c>
      <c r="C8" s="1026"/>
      <c r="D8" s="1025" t="s">
        <v>647</v>
      </c>
      <c r="E8" s="1026"/>
      <c r="F8" s="1025" t="s">
        <v>648</v>
      </c>
      <c r="G8" s="1026"/>
      <c r="H8" s="1005" t="s">
        <v>566</v>
      </c>
      <c r="I8" s="1005"/>
      <c r="J8" s="1005"/>
      <c r="K8" s="1005"/>
    </row>
    <row r="9" spans="1:12" ht="29.25" customHeight="1">
      <c r="A9" s="1034"/>
      <c r="B9" s="1029" t="s">
        <v>475</v>
      </c>
      <c r="C9" s="1030" t="s">
        <v>623</v>
      </c>
      <c r="D9" s="1029" t="s">
        <v>475</v>
      </c>
      <c r="E9" s="1030" t="s">
        <v>623</v>
      </c>
      <c r="F9" s="1029" t="s">
        <v>475</v>
      </c>
      <c r="G9" s="1030" t="s">
        <v>623</v>
      </c>
      <c r="H9" s="1029" t="s">
        <v>475</v>
      </c>
      <c r="I9" s="1030" t="s">
        <v>623</v>
      </c>
      <c r="J9" s="1027" t="s">
        <v>671</v>
      </c>
      <c r="K9" s="1028"/>
    </row>
    <row r="10" spans="1:12">
      <c r="A10" s="1035"/>
      <c r="B10" s="1029"/>
      <c r="C10" s="1030"/>
      <c r="D10" s="1029"/>
      <c r="E10" s="1030"/>
      <c r="F10" s="1029"/>
      <c r="G10" s="1030"/>
      <c r="H10" s="1029"/>
      <c r="I10" s="1030"/>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11" t="s">
        <v>709</v>
      </c>
      <c r="I15" s="1012"/>
      <c r="J15" s="1012"/>
      <c r="K15" s="1013"/>
      <c r="L15" s="2" t="str">
        <f>IF(C15=E15+G15,"","Ангилалын дүн нийт дүнгээс зөрүүтэй")</f>
        <v/>
      </c>
    </row>
    <row r="16" spans="1:12">
      <c r="A16" s="434" t="s">
        <v>650</v>
      </c>
      <c r="B16" s="428">
        <f>SUM(D16+F16)</f>
        <v>0</v>
      </c>
      <c r="C16" s="435">
        <f>+Statistic!C24</f>
        <v>0</v>
      </c>
      <c r="D16" s="255"/>
      <c r="E16" s="890"/>
      <c r="F16" s="255"/>
      <c r="G16" s="890"/>
      <c r="H16" s="1014"/>
      <c r="I16" s="1015"/>
      <c r="J16" s="1015"/>
      <c r="K16" s="1016"/>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14"/>
      <c r="I17" s="1015"/>
      <c r="J17" s="1015"/>
      <c r="K17" s="1016"/>
      <c r="L17" s="3" t="str">
        <f t="shared" si="1"/>
        <v/>
      </c>
    </row>
    <row r="18" spans="1:12">
      <c r="A18" s="434" t="s">
        <v>652</v>
      </c>
      <c r="B18" s="428">
        <f>SUM(D18+F18)</f>
        <v>0</v>
      </c>
      <c r="C18" s="435">
        <f>+Statistic!C26</f>
        <v>0</v>
      </c>
      <c r="D18" s="255"/>
      <c r="E18" s="890"/>
      <c r="F18" s="255"/>
      <c r="G18" s="890"/>
      <c r="H18" s="1014"/>
      <c r="I18" s="1015"/>
      <c r="J18" s="1015"/>
      <c r="K18" s="1016"/>
      <c r="L18" s="3" t="str">
        <f t="shared" si="1"/>
        <v/>
      </c>
    </row>
    <row r="19" spans="1:12">
      <c r="A19" s="434" t="s">
        <v>653</v>
      </c>
      <c r="B19" s="428">
        <f>SUM(D19+F19)</f>
        <v>0</v>
      </c>
      <c r="C19" s="435">
        <f>+Statistic!C27</f>
        <v>0</v>
      </c>
      <c r="D19" s="255"/>
      <c r="E19" s="890"/>
      <c r="F19" s="255"/>
      <c r="G19" s="890"/>
      <c r="H19" s="1014"/>
      <c r="I19" s="1015"/>
      <c r="J19" s="1015"/>
      <c r="K19" s="1016"/>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17"/>
      <c r="I20" s="1018"/>
      <c r="J20" s="1018"/>
      <c r="K20" s="1019"/>
      <c r="L20" s="2" t="str">
        <f t="shared" si="1"/>
        <v/>
      </c>
    </row>
    <row r="21" spans="1:12">
      <c r="A21" s="436" t="s">
        <v>433</v>
      </c>
      <c r="B21" s="428">
        <f>SUM(D21+F21)</f>
        <v>0</v>
      </c>
      <c r="C21" s="435">
        <f>+Statistic!C29</f>
        <v>0</v>
      </c>
      <c r="D21" s="255"/>
      <c r="E21" s="890"/>
      <c r="F21" s="255"/>
      <c r="G21" s="890"/>
      <c r="H21" s="1014"/>
      <c r="I21" s="1015"/>
      <c r="J21" s="1015"/>
      <c r="K21" s="1016"/>
      <c r="L21" s="3" t="str">
        <f t="shared" si="1"/>
        <v/>
      </c>
    </row>
    <row r="22" spans="1:12">
      <c r="A22" s="436" t="s">
        <v>654</v>
      </c>
      <c r="B22" s="428">
        <f>SUM(D22+F22)</f>
        <v>0</v>
      </c>
      <c r="C22" s="435">
        <f>+Statistic!C30</f>
        <v>0</v>
      </c>
      <c r="D22" s="255"/>
      <c r="E22" s="890"/>
      <c r="F22" s="255"/>
      <c r="G22" s="890"/>
      <c r="H22" s="1014"/>
      <c r="I22" s="1015"/>
      <c r="J22" s="1015"/>
      <c r="K22" s="1016"/>
      <c r="L22" s="3" t="str">
        <f t="shared" si="1"/>
        <v/>
      </c>
    </row>
    <row r="23" spans="1:12">
      <c r="A23" s="436" t="s">
        <v>655</v>
      </c>
      <c r="B23" s="428">
        <f>SUM(D23+F23)</f>
        <v>0</v>
      </c>
      <c r="C23" s="435">
        <f>+Statistic!C31</f>
        <v>0</v>
      </c>
      <c r="D23" s="255"/>
      <c r="E23" s="890"/>
      <c r="F23" s="255"/>
      <c r="G23" s="890"/>
      <c r="H23" s="1014"/>
      <c r="I23" s="1015"/>
      <c r="J23" s="1015"/>
      <c r="K23" s="1016"/>
      <c r="L23" s="3" t="str">
        <f t="shared" si="1"/>
        <v/>
      </c>
    </row>
    <row r="24" spans="1:12">
      <c r="A24" s="436" t="s">
        <v>656</v>
      </c>
      <c r="B24" s="428">
        <f>SUM(D24+F24)</f>
        <v>0</v>
      </c>
      <c r="C24" s="435">
        <f>+Statistic!C32</f>
        <v>0</v>
      </c>
      <c r="D24" s="255"/>
      <c r="E24" s="890"/>
      <c r="F24" s="255"/>
      <c r="G24" s="890"/>
      <c r="H24" s="1014"/>
      <c r="I24" s="1015"/>
      <c r="J24" s="1015"/>
      <c r="K24" s="1016"/>
      <c r="L24" s="3" t="str">
        <f t="shared" si="1"/>
        <v/>
      </c>
    </row>
    <row r="25" spans="1:12">
      <c r="A25" s="436" t="s">
        <v>657</v>
      </c>
      <c r="B25" s="428">
        <f>SUM(D25+F25)</f>
        <v>0</v>
      </c>
      <c r="C25" s="435">
        <f>+Statistic!C33</f>
        <v>0</v>
      </c>
      <c r="D25" s="255"/>
      <c r="E25" s="890"/>
      <c r="F25" s="255"/>
      <c r="G25" s="890"/>
      <c r="H25" s="1020"/>
      <c r="I25" s="1021"/>
      <c r="J25" s="1021"/>
      <c r="K25" s="1022"/>
      <c r="L25" s="3" t="str">
        <f t="shared" si="1"/>
        <v/>
      </c>
    </row>
    <row r="26" spans="1:12" s="2" customFormat="1">
      <c r="A26" s="24" t="s">
        <v>678</v>
      </c>
      <c r="B26" s="1031" t="s">
        <v>667</v>
      </c>
      <c r="C26" s="443">
        <f>+Statistic!C10</f>
        <v>0</v>
      </c>
      <c r="D26" s="1023" t="s">
        <v>667</v>
      </c>
      <c r="E26" s="443">
        <f>+Statistic!C12</f>
        <v>0</v>
      </c>
      <c r="F26" s="1023" t="s">
        <v>667</v>
      </c>
      <c r="G26" s="443">
        <f>+Statistic!C11</f>
        <v>0</v>
      </c>
      <c r="H26" s="1023" t="s">
        <v>667</v>
      </c>
      <c r="I26" s="443">
        <f>+Statistic!C13</f>
        <v>0</v>
      </c>
      <c r="J26" s="1023" t="s">
        <v>667</v>
      </c>
      <c r="K26" s="444"/>
      <c r="L26" s="2" t="str">
        <f t="shared" ref="L26:L35" si="2">IF(C26=E26+G26+I26,"","Ангилсан дүн Нийт дүнгээс зөрүүтэй")</f>
        <v/>
      </c>
    </row>
    <row r="27" spans="1:12">
      <c r="A27" s="424" t="s">
        <v>679</v>
      </c>
      <c r="B27" s="1032"/>
      <c r="C27" s="435">
        <f>SUM(E27+G27+I27)</f>
        <v>0</v>
      </c>
      <c r="D27" s="1024"/>
      <c r="E27" s="890"/>
      <c r="F27" s="1024"/>
      <c r="G27" s="890"/>
      <c r="H27" s="1024"/>
      <c r="I27" s="890"/>
      <c r="J27" s="1024"/>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98" t="s">
        <v>33</v>
      </c>
      <c r="C40" s="998"/>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5" t="s">
        <v>665</v>
      </c>
      <c r="B2" s="985"/>
      <c r="C2" s="985"/>
      <c r="D2" s="985"/>
      <c r="E2" s="985"/>
      <c r="F2" s="985"/>
      <c r="G2" s="985"/>
      <c r="H2" s="985"/>
      <c r="I2" s="985"/>
      <c r="J2" s="985"/>
      <c r="K2" s="985"/>
      <c r="L2" s="985"/>
      <c r="M2" s="985"/>
      <c r="N2" s="985"/>
    </row>
    <row r="3" spans="1:15">
      <c r="A3" s="1002" t="str">
        <f>+Statistic!A3</f>
        <v xml:space="preserve">БАНК БУС САНХҮҮГИЙН БАЙГУУЛЛАГЫН НЭР </v>
      </c>
      <c r="B3" s="1002"/>
      <c r="C3" s="1002"/>
      <c r="D3" s="1002"/>
      <c r="E3" s="1002"/>
      <c r="F3" s="1002"/>
      <c r="G3" s="1002"/>
      <c r="H3" s="1002"/>
      <c r="I3" s="1002"/>
      <c r="J3" s="1002"/>
      <c r="K3" s="1002"/>
      <c r="L3" s="1002"/>
      <c r="M3" s="1002"/>
      <c r="N3" s="1002"/>
    </row>
    <row r="4" spans="1:15">
      <c r="A4" s="987" t="str">
        <f>+Statistic!A4</f>
        <v>БАНК БУС САНХҮҮГИЙН БАЙГУУЛЛАГА</v>
      </c>
      <c r="B4" s="987"/>
      <c r="C4" s="987"/>
      <c r="D4" s="987"/>
      <c r="E4" s="987"/>
      <c r="F4" s="987"/>
      <c r="G4" s="987"/>
      <c r="H4" s="987"/>
      <c r="I4" s="987"/>
      <c r="J4" s="987"/>
      <c r="K4" s="987"/>
      <c r="L4" s="987"/>
      <c r="M4" s="987"/>
      <c r="N4" s="987"/>
    </row>
    <row r="5" spans="1:15">
      <c r="A5" s="5"/>
      <c r="B5" s="5"/>
      <c r="C5" s="5"/>
    </row>
    <row r="6" spans="1:15">
      <c r="A6" s="5"/>
      <c r="B6" s="5"/>
      <c r="C6" s="5"/>
    </row>
    <row r="7" spans="1:15">
      <c r="A7" s="1000">
        <f>+Statistic!A7</f>
        <v>45473</v>
      </c>
      <c r="B7" s="1000"/>
      <c r="C7" s="421"/>
      <c r="N7" s="445" t="s">
        <v>704</v>
      </c>
    </row>
    <row r="8" spans="1:15" ht="12.75" customHeight="1">
      <c r="A8" s="1036" t="s">
        <v>1481</v>
      </c>
      <c r="B8" s="1039" t="s">
        <v>660</v>
      </c>
      <c r="C8" s="1039"/>
      <c r="D8" s="1039" t="s">
        <v>662</v>
      </c>
      <c r="E8" s="1039"/>
      <c r="F8" s="1036" t="s">
        <v>541</v>
      </c>
      <c r="G8" s="1039" t="s">
        <v>663</v>
      </c>
      <c r="H8" s="1039"/>
      <c r="I8" s="1036" t="s">
        <v>568</v>
      </c>
      <c r="J8" s="1039" t="s">
        <v>664</v>
      </c>
      <c r="K8" s="1039"/>
      <c r="L8" s="1039"/>
      <c r="M8" s="1039"/>
      <c r="N8" s="1039"/>
    </row>
    <row r="9" spans="1:15" ht="12.75" customHeight="1">
      <c r="A9" s="1037"/>
      <c r="B9" s="1039" t="s">
        <v>649</v>
      </c>
      <c r="C9" s="1039" t="s">
        <v>661</v>
      </c>
      <c r="D9" s="1039" t="s">
        <v>649</v>
      </c>
      <c r="E9" s="1039" t="s">
        <v>661</v>
      </c>
      <c r="F9" s="1037"/>
      <c r="G9" s="1039" t="s">
        <v>649</v>
      </c>
      <c r="H9" s="1039" t="s">
        <v>661</v>
      </c>
      <c r="I9" s="1037"/>
      <c r="J9" s="1039" t="s">
        <v>649</v>
      </c>
      <c r="K9" s="1039" t="s">
        <v>661</v>
      </c>
      <c r="L9" s="1039"/>
      <c r="M9" s="1039"/>
      <c r="N9" s="1039"/>
    </row>
    <row r="10" spans="1:15" ht="15" customHeight="1">
      <c r="A10" s="1038"/>
      <c r="B10" s="1039"/>
      <c r="C10" s="1039"/>
      <c r="D10" s="1039"/>
      <c r="E10" s="1039"/>
      <c r="F10" s="1038"/>
      <c r="G10" s="1039"/>
      <c r="H10" s="1039"/>
      <c r="I10" s="1038"/>
      <c r="J10" s="1039"/>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98" t="s">
        <v>33</v>
      </c>
      <c r="C33" s="998"/>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1660" activePane="bottomRight" state="frozen"/>
      <selection pane="topRight" activeCell="E1" sqref="E1"/>
      <selection pane="bottomLeft" activeCell="A14" sqref="A14"/>
      <selection pane="bottomRight"/>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40" t="s">
        <v>40</v>
      </c>
      <c r="B2" s="1040"/>
      <c r="C2" s="1040"/>
      <c r="D2" s="1040"/>
      <c r="E2" s="1040"/>
      <c r="F2" s="1040"/>
      <c r="G2" s="1040"/>
      <c r="H2" s="1040"/>
      <c r="I2" s="127"/>
    </row>
    <row r="3" spans="1:9" s="36" customFormat="1">
      <c r="A3" s="1041" t="str">
        <f>+Statistic!A3</f>
        <v xml:space="preserve">БАНК БУС САНХҮҮГИЙН БАЙГУУЛЛАГЫН НЭР </v>
      </c>
      <c r="B3" s="1041"/>
      <c r="C3" s="1041"/>
      <c r="D3" s="1041"/>
      <c r="E3" s="1041"/>
      <c r="F3" s="1041"/>
      <c r="G3" s="1041"/>
      <c r="H3" s="1041"/>
      <c r="I3" s="127"/>
    </row>
    <row r="4" spans="1:9" s="36" customFormat="1">
      <c r="A4" s="1042" t="s">
        <v>1</v>
      </c>
      <c r="B4" s="1042"/>
      <c r="C4" s="1042"/>
      <c r="D4" s="1042"/>
      <c r="E4" s="1042"/>
      <c r="F4" s="1042"/>
      <c r="G4" s="1042"/>
      <c r="H4" s="1042"/>
      <c r="I4" s="127"/>
    </row>
    <row r="5" spans="1:9">
      <c r="A5" s="675"/>
      <c r="B5" s="675"/>
      <c r="C5" s="675"/>
      <c r="D5" s="676"/>
      <c r="E5" s="675"/>
      <c r="F5" s="675"/>
      <c r="G5" s="675"/>
      <c r="H5" s="675"/>
    </row>
    <row r="6" spans="1:9">
      <c r="A6" s="1043">
        <f>+Statistic!A7</f>
        <v>45473</v>
      </c>
      <c r="B6" s="1043"/>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1493</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1495</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83"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83"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81" t="str">
        <f>+IF(D1671=H1671,"","ТЭНЦЛИЙН ДҮН ЗӨРҮҮТЭЙ")</f>
        <v/>
      </c>
      <c r="H1672" s="982">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3381.05</v>
      </c>
    </row>
    <row r="1680" spans="1:8">
      <c r="A1680" s="457"/>
      <c r="B1680" s="480" t="s">
        <v>1109</v>
      </c>
      <c r="C1680" s="774">
        <v>61060000</v>
      </c>
      <c r="D1680" s="827"/>
      <c r="E1680" s="693"/>
      <c r="G1680" s="822" t="s">
        <v>113</v>
      </c>
      <c r="H1680" s="486">
        <v>3614.34</v>
      </c>
    </row>
    <row r="1681" spans="1:8">
      <c r="A1681" s="457"/>
      <c r="B1681" s="480" t="s">
        <v>1110</v>
      </c>
      <c r="C1681" s="774">
        <v>61070000</v>
      </c>
      <c r="D1681" s="827"/>
      <c r="E1681" s="693"/>
      <c r="G1681" s="822" t="s">
        <v>115</v>
      </c>
      <c r="H1681" s="486">
        <v>21.06</v>
      </c>
    </row>
    <row r="1682" spans="1:8">
      <c r="A1682" s="457"/>
      <c r="B1682" s="480" t="s">
        <v>109</v>
      </c>
      <c r="C1682" s="774">
        <v>61080000</v>
      </c>
      <c r="D1682" s="827"/>
      <c r="E1682" s="693"/>
      <c r="G1682" s="822" t="s">
        <v>116</v>
      </c>
      <c r="H1682" s="487">
        <v>3767.4</v>
      </c>
    </row>
    <row r="1683" spans="1:8">
      <c r="A1683" s="457"/>
      <c r="B1683" s="480" t="s">
        <v>1111</v>
      </c>
      <c r="C1683" s="774">
        <v>61090000</v>
      </c>
      <c r="D1683" s="827"/>
      <c r="E1683" s="693"/>
      <c r="G1683" s="822" t="s">
        <v>117</v>
      </c>
      <c r="H1683" s="486">
        <v>4271.1099999999997</v>
      </c>
    </row>
    <row r="1684" spans="1:8">
      <c r="A1684" s="473"/>
      <c r="B1684" s="793" t="s">
        <v>1112</v>
      </c>
      <c r="C1684" s="774">
        <v>61100000</v>
      </c>
      <c r="D1684" s="829"/>
      <c r="E1684" s="823"/>
      <c r="G1684" s="822" t="s">
        <v>119</v>
      </c>
      <c r="H1684" s="486">
        <v>465.14</v>
      </c>
    </row>
    <row r="1685" spans="1:8">
      <c r="A1685" s="473"/>
      <c r="B1685" s="793" t="s">
        <v>1113</v>
      </c>
      <c r="C1685" s="774">
        <v>61110000</v>
      </c>
      <c r="D1685" s="829"/>
      <c r="E1685" s="823"/>
      <c r="G1685" s="822" t="s">
        <v>120</v>
      </c>
      <c r="H1685" s="486">
        <v>39.909999999999997</v>
      </c>
    </row>
    <row r="1686" spans="1:8">
      <c r="A1686" s="769"/>
      <c r="B1686" s="769" t="s">
        <v>1114</v>
      </c>
      <c r="C1686" s="770">
        <v>62000000</v>
      </c>
      <c r="D1686" s="805">
        <f>SUM(D1687:D1691)</f>
        <v>0</v>
      </c>
      <c r="E1686" s="693"/>
      <c r="G1686" s="822" t="s">
        <v>121</v>
      </c>
      <c r="H1686" s="486">
        <v>2.44</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C5D89KThC5IRJZeNt1DhT3frQ/UxFQl2HZ8+zOA0luK0R6KbZs3lvkIf8w92bvs+AoGckHZSjOn+jJ+MlLz4ig==" saltValue="ugi3fFsGV6fXezVsDUIMd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40" t="s">
        <v>1215</v>
      </c>
      <c r="B2" s="1040"/>
      <c r="C2" s="1040"/>
      <c r="D2" s="1040"/>
      <c r="E2" s="1040"/>
      <c r="F2" s="1040"/>
      <c r="G2" s="1040"/>
      <c r="H2" s="1040"/>
      <c r="I2" s="1040"/>
      <c r="J2" s="1040"/>
      <c r="K2" s="36"/>
      <c r="L2" s="36"/>
      <c r="M2" s="36"/>
    </row>
    <row r="3" spans="1:13">
      <c r="A3" s="1041" t="str">
        <f>+Statistic!A3</f>
        <v xml:space="preserve">БАНК БУС САНХҮҮГИЙН БАЙГУУЛЛАГЫН НЭР </v>
      </c>
      <c r="B3" s="1041"/>
      <c r="C3" s="1041"/>
      <c r="D3" s="1041"/>
      <c r="E3" s="1041"/>
      <c r="F3" s="1041"/>
      <c r="G3" s="1041"/>
      <c r="H3" s="1041"/>
      <c r="I3" s="1041"/>
      <c r="J3" s="1041"/>
      <c r="K3" s="127"/>
      <c r="L3" s="127"/>
      <c r="M3" s="127"/>
    </row>
    <row r="4" spans="1:13">
      <c r="A4" s="1042" t="s">
        <v>1</v>
      </c>
      <c r="B4" s="1042"/>
      <c r="C4" s="1042"/>
      <c r="D4" s="1042"/>
      <c r="E4" s="1042"/>
      <c r="F4" s="1042"/>
      <c r="G4" s="1042"/>
      <c r="H4" s="1042"/>
      <c r="I4" s="1042"/>
      <c r="J4" s="1042"/>
      <c r="K4" s="447"/>
      <c r="L4" s="447"/>
      <c r="M4" s="447"/>
    </row>
    <row r="5" spans="1:13" ht="13.5" thickBot="1">
      <c r="A5" s="533">
        <f>+Statistic!A7</f>
        <v>45473</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+GB!H433+GB!H421+GB!H422</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44" t="s">
        <v>135</v>
      </c>
      <c r="B102" s="1045"/>
      <c r="C102" s="1045"/>
      <c r="D102" s="614">
        <f>+D71+D101</f>
        <v>0</v>
      </c>
      <c r="E102" s="615" t="e">
        <f>+D102/$D$102</f>
        <v>#DIV/0!</v>
      </c>
      <c r="F102" s="1044" t="s">
        <v>135</v>
      </c>
      <c r="G102" s="1045"/>
      <c r="H102" s="1045"/>
      <c r="I102" s="614">
        <f>+I88+I96</f>
        <v>0</v>
      </c>
      <c r="J102" s="615" t="e">
        <f>+I102/$D$102</f>
        <v>#DIV/0!</v>
      </c>
    </row>
    <row r="105" spans="1:10">
      <c r="C105" s="998" t="s">
        <v>33</v>
      </c>
      <c r="D105" s="998"/>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2024-07-19T02:25:41Z</dcterms:modified>
</cp:coreProperties>
</file>