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defaultThemeVersion="166925"/>
  <mc:AlternateContent xmlns:mc="http://schemas.openxmlformats.org/markup-compatibility/2006">
    <mc:Choice Requires="x15">
      <x15ac:absPath xmlns:x15ac="http://schemas.microsoft.com/office/spreadsheetml/2010/11/ac" url="D:\2024\Мастерфайл\"/>
    </mc:Choice>
  </mc:AlternateContent>
  <xr:revisionPtr revIDLastSave="0" documentId="13_ncr:1_{59681502-A76F-4F0C-BED9-6E50B0390ADE}" xr6:coauthVersionLast="36"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xWindow="0" yWindow="0" windowWidth="28800" windowHeight="11625" tabRatio="601" firstSheet="1" activeTab="2"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S60" i="7"/>
  <c r="S47" i="7"/>
  <c r="AC17" i="6"/>
  <c r="S68" i="7"/>
  <c r="M17" i="6"/>
  <c r="M15" i="6"/>
  <c r="S101" i="7"/>
  <c r="AC15" i="6"/>
  <c r="AC16" i="6"/>
  <c r="S76" i="7"/>
  <c r="M16" i="6"/>
  <c r="S19" i="7"/>
  <c r="S87" i="7"/>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68" i="7"/>
  <c r="AC14" i="6"/>
  <c r="H19" i="7"/>
  <c r="H76" i="7"/>
  <c r="H87" i="7"/>
  <c r="H36" i="7"/>
  <c r="M14" i="6"/>
  <c r="H60" i="7"/>
  <c r="H101" i="7"/>
  <c r="H47"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C30" i="2" s="1"/>
  <c r="AH30" i="6" s="1"/>
  <c r="D47" i="1"/>
  <c r="C29" i="2" s="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J17" i="13" l="1"/>
  <c r="I17" i="13"/>
  <c r="H17" i="13"/>
  <c r="G17" i="13"/>
  <c r="AB18" i="6" l="1"/>
  <c r="Z18" i="6"/>
  <c r="D17" i="13"/>
  <c r="H173" i="6"/>
  <c r="H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17" i="13"/>
  <c r="F20" i="13" s="1"/>
  <c r="AD20" i="6"/>
  <c r="AD19" i="6"/>
  <c r="E17" i="13"/>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<sst xmlns="http://schemas.openxmlformats.org/spreadsheetml/2006/main" count="1860" uniqueCount="1100">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</sst>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sz val="11"/>
      <name val="Times New Roman"/>
      <family val="1"/>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sz val="9"/>
      <color rgb="FFFF0000"/>
      <name val="Times New Roman"/>
      <family val="2"/>
    </font>
    <font>
      <i/>
      <sz val="9"/>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6" fillId="0" borderId="0"/>
    <xf numFmtId="9" fontId="26" fillId="0" borderId="0" applyFont="0" applyFill="0" applyBorder="0" applyAlignment="0" applyProtection="0"/>
    <xf numFmtId="0" fontId="30" fillId="0" borderId="0"/>
    <xf numFmtId="0" fontId="37" fillId="0" borderId="0"/>
    <xf numFmtId="0" fontId="46" fillId="0" borderId="0" applyNumberFormat="0" applyFill="0" applyBorder="0" applyAlignment="0" applyProtection="0"/>
  </cellStyleXfs>
  <cellXfs count="1677">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2"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3"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5"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4"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7"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6"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4"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8" fillId="0" borderId="0" xfId="3" applyFont="1" applyAlignment="1">
      <alignment horizontal="center" vertical="center"/>
    </xf>
    <xf numFmtId="0" fontId="29"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5"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6"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9"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8"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2" fillId="0" borderId="0" xfId="0" applyFont="1" applyAlignment="1">
      <alignment vertical="center"/>
    </xf>
    <xf numFmtId="43" fontId="32" fillId="0" borderId="0" xfId="0" applyNumberFormat="1" applyFont="1" applyAlignment="1">
      <alignment horizontal="right" vertical="center"/>
    </xf>
    <xf numFmtId="43" fontId="40" fillId="0" borderId="0" xfId="0" applyNumberFormat="1" applyFont="1" applyAlignment="1">
      <alignment horizontal="right" vertical="center"/>
    </xf>
    <xf numFmtId="43" fontId="41" fillId="0" borderId="0" xfId="0" applyNumberFormat="1" applyFont="1" applyAlignment="1">
      <alignment vertical="center"/>
    </xf>
    <xf numFmtId="173" fontId="32" fillId="0" borderId="0" xfId="0" applyNumberFormat="1" applyFont="1" applyAlignment="1">
      <alignment vertical="center"/>
    </xf>
    <xf numFmtId="0" fontId="34"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8" fillId="0" borderId="0" xfId="0" applyFont="1" applyAlignment="1">
      <alignment vertical="center"/>
    </xf>
    <xf numFmtId="0" fontId="1" fillId="0" borderId="0" xfId="0" applyFont="1" applyAlignment="1">
      <alignment horizontal="left" vertical="center"/>
    </xf>
    <xf numFmtId="0" fontId="44" fillId="0" borderId="0" xfId="0" applyFont="1" applyAlignment="1">
      <alignment vertical="center"/>
    </xf>
    <xf numFmtId="0" fontId="45"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8"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8" fillId="0" borderId="97" xfId="0" applyFont="1" applyBorder="1" applyAlignment="1">
      <alignment vertical="center" wrapText="1"/>
    </xf>
    <xf numFmtId="164" fontId="33"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3" fillId="0" borderId="98" xfId="0" applyNumberFormat="1" applyFont="1" applyBorder="1" applyAlignment="1">
      <alignment horizontal="center" vertical="center"/>
    </xf>
    <xf numFmtId="164" fontId="33"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3" fillId="6" borderId="99" xfId="0" applyNumberFormat="1" applyFont="1" applyFill="1" applyBorder="1" applyAlignment="1">
      <alignment horizontal="center" vertical="center"/>
    </xf>
    <xf numFmtId="164" fontId="33"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3"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9" fillId="0" borderId="5" xfId="0" applyFont="1" applyBorder="1"/>
    <xf numFmtId="0" fontId="50" fillId="0" borderId="0" xfId="0" applyFont="1"/>
    <xf numFmtId="0" fontId="51" fillId="0" borderId="0" xfId="0" applyFont="1"/>
    <xf numFmtId="0" fontId="52" fillId="0" borderId="0" xfId="0" applyFont="1" applyAlignment="1">
      <alignment horizontal="justify" vertical="center" wrapText="1"/>
    </xf>
    <xf numFmtId="0" fontId="53" fillId="0" borderId="0" xfId="7" applyFont="1"/>
    <xf numFmtId="0" fontId="54"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5"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4"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43" fontId="1" fillId="19" borderId="97" xfId="0" applyNumberFormat="1" applyFont="1" applyFill="1" applyBorder="1" applyAlignment="1">
      <alignment horizontal="center" vertical="center"/>
    </xf>
    <xf numFmtId="10" fontId="1" fillId="19" borderId="97" xfId="0" applyNumberFormat="1" applyFont="1" applyFill="1" applyBorder="1" applyAlignment="1">
      <alignment horizontal="center" vertical="center"/>
    </xf>
    <xf numFmtId="10" fontId="28" fillId="6" borderId="97" xfId="0" applyNumberFormat="1" applyFont="1" applyFill="1" applyBorder="1" applyAlignment="1">
      <alignment horizontal="center"/>
    </xf>
    <xf numFmtId="10" fontId="28" fillId="6" borderId="98" xfId="0" applyNumberFormat="1" applyFont="1" applyFill="1" applyBorder="1" applyAlignment="1">
      <alignment horizontal="center"/>
    </xf>
    <xf numFmtId="10" fontId="1" fillId="0" borderId="232" xfId="0" applyNumberFormat="1" applyFont="1" applyBorder="1" applyAlignment="1" applyProtection="1">
      <alignment horizontal="center" vertical="center"/>
      <protection locked="0"/>
    </xf>
    <xf numFmtId="0" fontId="1" fillId="0" borderId="231" xfId="0" applyFont="1" applyBorder="1" applyAlignment="1">
      <alignment horizontal="center" vertical="center"/>
    </xf>
    <xf numFmtId="10" fontId="1" fillId="0" borderId="235" xfId="0" applyNumberFormat="1" applyFont="1" applyBorder="1" applyAlignment="1" applyProtection="1">
      <alignment horizontal="center" vertical="center"/>
      <protection locked="0"/>
    </xf>
    <xf numFmtId="10" fontId="1" fillId="0" borderId="238" xfId="0" applyNumberFormat="1" applyFont="1" applyBorder="1" applyAlignment="1" applyProtection="1">
      <alignment horizontal="center" vertical="center"/>
      <protection locked="0"/>
    </xf>
    <xf numFmtId="0" fontId="1" fillId="0" borderId="234" xfId="0" applyFont="1" applyBorder="1" applyAlignment="1">
      <alignment horizontal="center" vertical="center"/>
    </xf>
    <xf numFmtId="0" fontId="1" fillId="0" borderId="237" xfId="0" applyFont="1" applyBorder="1" applyAlignment="1">
      <alignment horizontal="center" vertical="center"/>
    </xf>
    <xf numFmtId="43" fontId="1" fillId="0" borderId="239" xfId="0" applyNumberFormat="1" applyFont="1" applyBorder="1" applyAlignment="1" applyProtection="1">
      <alignment horizontal="center" vertical="center"/>
      <protection locked="0"/>
    </xf>
    <xf numFmtId="43" fontId="1" fillId="0" borderId="240" xfId="0" applyNumberFormat="1" applyFont="1" applyBorder="1" applyAlignment="1" applyProtection="1">
      <alignment horizontal="center" vertical="center"/>
      <protection locked="0"/>
    </xf>
    <xf numFmtId="43" fontId="1" fillId="0" borderId="236" xfId="0" applyNumberFormat="1" applyFont="1" applyBorder="1" applyAlignment="1" applyProtection="1">
      <alignment horizontal="center" vertical="center"/>
      <protection locked="0"/>
    </xf>
    <xf numFmtId="41" fontId="1" fillId="0" borderId="245" xfId="1" applyNumberFormat="1" applyFont="1" applyBorder="1" applyAlignment="1" applyProtection="1">
      <alignment horizontal="center" vertical="center"/>
      <protection locked="0"/>
    </xf>
    <xf numFmtId="41" fontId="1" fillId="0" borderId="243" xfId="1" applyNumberFormat="1" applyFont="1" applyBorder="1" applyAlignment="1" applyProtection="1">
      <alignment horizontal="center" vertical="center"/>
      <protection locked="0"/>
    </xf>
    <xf numFmtId="41" fontId="1" fillId="0" borderId="241" xfId="1" applyNumberFormat="1" applyFont="1" applyBorder="1" applyAlignment="1" applyProtection="1">
      <alignment horizontal="center" vertical="center"/>
      <protection locked="0"/>
    </xf>
    <xf numFmtId="41" fontId="1" fillId="0" borderId="243" xfId="1" applyNumberFormat="1" applyFont="1" applyFill="1" applyBorder="1" applyAlignment="1" applyProtection="1">
      <alignment horizontal="center" vertical="center"/>
      <protection locked="0"/>
    </xf>
    <xf numFmtId="41" fontId="1" fillId="0" borderId="241" xfId="1" applyNumberFormat="1" applyFont="1" applyFill="1" applyBorder="1" applyAlignment="1" applyProtection="1">
      <alignment horizontal="center" vertical="center"/>
      <protection locked="0"/>
    </xf>
    <xf numFmtId="43" fontId="1" fillId="0" borderId="240" xfId="0" applyNumberFormat="1" applyFont="1" applyBorder="1" applyAlignment="1">
      <alignment horizontal="center" vertical="center"/>
    </xf>
    <xf numFmtId="43" fontId="1" fillId="0" borderId="236" xfId="0" applyNumberFormat="1" applyFont="1" applyBorder="1" applyAlignment="1">
      <alignment horizontal="center" vertical="center"/>
    </xf>
    <xf numFmtId="43" fontId="1" fillId="0" borderId="239" xfId="0" applyNumberFormat="1" applyFont="1" applyBorder="1" applyAlignment="1">
      <alignment horizontal="center" vertical="center"/>
    </xf>
    <xf numFmtId="10" fontId="1" fillId="0" borderId="244" xfId="0" applyNumberFormat="1" applyFont="1" applyBorder="1" applyAlignment="1" applyProtection="1">
      <alignment horizontal="center" vertical="center"/>
      <protection locked="0"/>
    </xf>
    <xf numFmtId="10" fontId="1" fillId="0" borderId="246" xfId="0" applyNumberFormat="1" applyFont="1" applyBorder="1" applyAlignment="1" applyProtection="1">
      <alignment horizontal="center" vertical="center"/>
      <protection locked="0"/>
    </xf>
    <xf numFmtId="10" fontId="1" fillId="0" borderId="247" xfId="0" applyNumberFormat="1" applyFont="1" applyBorder="1" applyAlignment="1" applyProtection="1">
      <alignment horizontal="center" vertical="center"/>
      <protection locked="0"/>
    </xf>
    <xf numFmtId="43" fontId="1" fillId="0" borderId="244" xfId="0" applyNumberFormat="1" applyFont="1" applyBorder="1" applyAlignment="1">
      <alignment horizontal="center" vertical="center"/>
    </xf>
    <xf numFmtId="43" fontId="1" fillId="0" borderId="246" xfId="0" applyNumberFormat="1" applyFont="1" applyBorder="1" applyAlignment="1">
      <alignment horizontal="center" vertical="center"/>
    </xf>
    <xf numFmtId="43" fontId="1" fillId="0" borderId="248" xfId="0" applyNumberFormat="1" applyFont="1" applyBorder="1" applyAlignment="1">
      <alignment horizontal="center" vertical="center"/>
    </xf>
    <xf numFmtId="41" fontId="1" fillId="0" borderId="249" xfId="1" applyNumberFormat="1" applyFont="1" applyBorder="1" applyAlignment="1" applyProtection="1">
      <alignment horizontal="center" vertical="center"/>
      <protection locked="0"/>
    </xf>
    <xf numFmtId="10" fontId="1" fillId="0" borderId="240" xfId="0" applyNumberFormat="1" applyFont="1" applyBorder="1" applyAlignment="1" applyProtection="1">
      <alignment horizontal="center" vertical="center"/>
      <protection locked="0"/>
    </xf>
    <xf numFmtId="10" fontId="1" fillId="0" borderId="236" xfId="0" applyNumberFormat="1" applyFont="1" applyBorder="1" applyAlignment="1" applyProtection="1">
      <alignment horizontal="center" vertical="center"/>
      <protection locked="0"/>
    </xf>
    <xf numFmtId="10" fontId="1" fillId="0" borderId="239" xfId="0" applyNumberFormat="1" applyFont="1" applyBorder="1" applyAlignment="1" applyProtection="1">
      <alignment horizontal="center" vertical="center"/>
      <protection locked="0"/>
    </xf>
    <xf numFmtId="41" fontId="1" fillId="0" borderId="245" xfId="1" applyNumberFormat="1" applyFont="1" applyFill="1" applyBorder="1" applyAlignment="1" applyProtection="1">
      <alignment horizontal="center" vertical="center"/>
    </xf>
    <xf numFmtId="41" fontId="1" fillId="0" borderId="243" xfId="1" applyNumberFormat="1" applyFont="1" applyFill="1" applyBorder="1" applyAlignment="1" applyProtection="1">
      <alignment horizontal="center" vertical="center"/>
    </xf>
    <xf numFmtId="41" fontId="1" fillId="0" borderId="241" xfId="1" applyNumberFormat="1" applyFont="1" applyFill="1" applyBorder="1" applyAlignment="1" applyProtection="1">
      <alignment horizontal="center" vertical="center"/>
    </xf>
    <xf numFmtId="0" fontId="1" fillId="0" borderId="253" xfId="0" applyFont="1" applyBorder="1" applyAlignment="1">
      <alignment horizontal="center" vertical="center"/>
    </xf>
    <xf numFmtId="0" fontId="1" fillId="0" borderId="254" xfId="0" applyFont="1" applyBorder="1" applyAlignment="1">
      <alignment horizontal="center" vertical="center"/>
    </xf>
    <xf numFmtId="0" fontId="1" fillId="0" borderId="255" xfId="0" applyFont="1" applyBorder="1" applyAlignment="1">
      <alignment horizontal="center" vertical="center"/>
    </xf>
    <xf numFmtId="43" fontId="1" fillId="0" borderId="257" xfId="0" applyNumberFormat="1" applyFont="1" applyBorder="1" applyAlignment="1">
      <alignment horizontal="center" vertical="center"/>
    </xf>
    <xf numFmtId="43" fontId="1" fillId="0" borderId="251" xfId="0" applyNumberFormat="1" applyFont="1" applyBorder="1" applyAlignment="1">
      <alignment horizontal="center" vertical="center"/>
    </xf>
    <xf numFmtId="43" fontId="1" fillId="0" borderId="252" xfId="0" applyNumberFormat="1" applyFont="1" applyBorder="1" applyAlignment="1">
      <alignment horizontal="center" vertical="center"/>
    </xf>
    <xf numFmtId="10" fontId="1" fillId="0" borderId="257" xfId="0" applyNumberFormat="1" applyFont="1" applyBorder="1" applyAlignment="1" applyProtection="1">
      <alignment horizontal="center" vertical="center"/>
      <protection locked="0"/>
    </xf>
    <xf numFmtId="10" fontId="1" fillId="0" borderId="251" xfId="0" applyNumberFormat="1" applyFont="1" applyBorder="1" applyAlignment="1" applyProtection="1">
      <alignment horizontal="center" vertical="center"/>
      <protection locked="0"/>
    </xf>
    <xf numFmtId="10" fontId="1" fillId="0" borderId="252" xfId="0" applyNumberFormat="1" applyFont="1" applyBorder="1" applyAlignment="1" applyProtection="1">
      <alignment horizontal="center" vertical="center"/>
      <protection locked="0"/>
    </xf>
    <xf numFmtId="41" fontId="1" fillId="0" borderId="249" xfId="1" applyNumberFormat="1" applyFont="1" applyFill="1" applyBorder="1" applyAlignment="1" applyProtection="1">
      <alignment horizontal="center" vertical="center"/>
      <protection locked="0"/>
    </xf>
    <xf numFmtId="172" fontId="1" fillId="0" borderId="245" xfId="1" applyNumberFormat="1" applyFont="1" applyFill="1" applyBorder="1" applyAlignment="1" applyProtection="1">
      <alignment horizontal="center" vertical="center"/>
      <protection locked="0"/>
    </xf>
    <xf numFmtId="172" fontId="1" fillId="0" borderId="243" xfId="1" applyNumberFormat="1" applyFont="1" applyFill="1" applyBorder="1" applyAlignment="1" applyProtection="1">
      <alignment horizontal="center" vertical="center"/>
      <protection locked="0"/>
    </xf>
    <xf numFmtId="172" fontId="1" fillId="0" borderId="249" xfId="1" applyNumberFormat="1" applyFont="1" applyFill="1" applyBorder="1" applyAlignment="1" applyProtection="1">
      <alignment horizontal="center" vertical="center"/>
      <protection locked="0"/>
    </xf>
    <xf numFmtId="10" fontId="1" fillId="0" borderId="248" xfId="0" applyNumberFormat="1" applyFont="1" applyBorder="1" applyAlignment="1" applyProtection="1">
      <alignment horizontal="center" vertical="center"/>
      <protection locked="0"/>
    </xf>
    <xf numFmtId="10" fontId="1" fillId="0" borderId="258" xfId="0" applyNumberFormat="1" applyFont="1" applyBorder="1" applyAlignment="1" applyProtection="1">
      <alignment horizontal="center" vertical="center"/>
      <protection locked="0"/>
    </xf>
    <xf numFmtId="43" fontId="1" fillId="0" borderId="247" xfId="0" applyNumberFormat="1" applyFont="1" applyBorder="1" applyAlignment="1">
      <alignment horizontal="center" vertical="center"/>
    </xf>
    <xf numFmtId="43" fontId="1" fillId="19" borderId="127" xfId="0" applyNumberFormat="1" applyFont="1" applyFill="1" applyBorder="1" applyAlignment="1">
      <alignment horizontal="center" vertical="center"/>
    </xf>
    <xf numFmtId="41" fontId="1" fillId="19" borderId="230" xfId="1" applyNumberFormat="1" applyFont="1" applyFill="1" applyBorder="1" applyAlignment="1" applyProtection="1">
      <alignment horizontal="center" vertical="center"/>
    </xf>
    <xf numFmtId="41" fontId="1" fillId="19" borderId="101" xfId="1" applyNumberFormat="1" applyFont="1" applyFill="1" applyBorder="1" applyAlignment="1" applyProtection="1">
      <alignment horizontal="center" vertical="center"/>
    </xf>
    <xf numFmtId="43" fontId="1" fillId="19" borderId="259" xfId="0" applyNumberFormat="1" applyFont="1" applyFill="1" applyBorder="1" applyAlignment="1">
      <alignment horizontal="center" vertical="center"/>
    </xf>
    <xf numFmtId="164" fontId="1" fillId="19" borderId="127" xfId="0" applyNumberFormat="1" applyFont="1" applyFill="1" applyBorder="1" applyAlignment="1">
      <alignment horizontal="center" vertical="center"/>
    </xf>
    <xf numFmtId="164" fontId="1" fillId="19" borderId="259" xfId="0" applyNumberFormat="1" applyFont="1" applyFill="1" applyBorder="1" applyAlignment="1">
      <alignment horizontal="center" vertical="center"/>
    </xf>
    <xf numFmtId="0" fontId="1" fillId="24" borderId="97" xfId="0" applyFont="1" applyFill="1" applyBorder="1" applyAlignment="1">
      <alignment horizontal="center" vertical="center" wrapText="1"/>
    </xf>
    <xf numFmtId="171" fontId="1" fillId="24" borderId="101" xfId="0" applyNumberFormat="1" applyFont="1" applyFill="1" applyBorder="1" applyAlignment="1">
      <alignment horizontal="center" vertical="center" wrapText="1"/>
    </xf>
    <xf numFmtId="0" fontId="1" fillId="24" borderId="259" xfId="0" applyFont="1" applyFill="1" applyBorder="1" applyAlignment="1">
      <alignment horizontal="center" vertical="center" wrapText="1"/>
    </xf>
    <xf numFmtId="170" fontId="1" fillId="24" borderId="127" xfId="0" applyNumberFormat="1" applyFont="1" applyFill="1" applyBorder="1" applyAlignment="1">
      <alignment horizontal="center" vertical="center" wrapText="1"/>
    </xf>
    <xf numFmtId="171" fontId="1" fillId="24" borderId="230" xfId="0" applyNumberFormat="1" applyFont="1" applyFill="1" applyBorder="1" applyAlignment="1">
      <alignment horizontal="center" vertical="center" wrapText="1"/>
    </xf>
    <xf numFmtId="43" fontId="1" fillId="25" borderId="127" xfId="0" applyNumberFormat="1" applyFont="1" applyFill="1" applyBorder="1" applyAlignment="1">
      <alignment horizontal="center" vertical="center"/>
    </xf>
    <xf numFmtId="41" fontId="1" fillId="25" borderId="230" xfId="1" applyNumberFormat="1" applyFont="1" applyFill="1" applyBorder="1" applyAlignment="1" applyProtection="1">
      <alignment horizontal="center" vertical="center"/>
    </xf>
    <xf numFmtId="43" fontId="1" fillId="25" borderId="259" xfId="0" applyNumberFormat="1" applyFont="1" applyFill="1" applyBorder="1" applyAlignment="1">
      <alignment horizontal="center" vertical="center"/>
    </xf>
    <xf numFmtId="41" fontId="1" fillId="25" borderId="101" xfId="1" applyNumberFormat="1" applyFont="1" applyFill="1" applyBorder="1" applyAlignment="1" applyProtection="1">
      <alignment horizontal="center" vertical="center"/>
    </xf>
    <xf numFmtId="10" fontId="1" fillId="25" borderId="97" xfId="0" applyNumberFormat="1" applyFont="1" applyFill="1" applyBorder="1" applyAlignment="1">
      <alignment horizontal="center" vertical="center"/>
    </xf>
    <xf numFmtId="43" fontId="1" fillId="25" borderId="101" xfId="0" applyNumberFormat="1" applyFont="1" applyFill="1" applyBorder="1" applyAlignment="1">
      <alignment horizontal="center" vertical="center"/>
    </xf>
    <xf numFmtId="10" fontId="28" fillId="2" borderId="101" xfId="0" applyNumberFormat="1" applyFont="1" applyFill="1" applyBorder="1" applyAlignment="1">
      <alignment horizontal="center" vertical="center"/>
    </xf>
    <xf numFmtId="10" fontId="1" fillId="25" borderId="101" xfId="0" applyNumberFormat="1" applyFont="1" applyFill="1" applyBorder="1" applyAlignment="1">
      <alignment horizontal="center" vertical="center"/>
    </xf>
    <xf numFmtId="43" fontId="1" fillId="25" borderId="117" xfId="0" applyNumberFormat="1" applyFont="1" applyFill="1" applyBorder="1" applyAlignment="1">
      <alignment horizontal="center" vertical="center"/>
    </xf>
    <xf numFmtId="10" fontId="28" fillId="2" borderId="101" xfId="0" applyNumberFormat="1" applyFont="1" applyFill="1" applyBorder="1" applyAlignment="1">
      <alignment horizontal="center"/>
    </xf>
    <xf numFmtId="43" fontId="1" fillId="25" borderId="97" xfId="0" applyNumberFormat="1" applyFont="1" applyFill="1" applyBorder="1" applyAlignment="1">
      <alignment horizontal="center" vertical="center"/>
    </xf>
    <xf numFmtId="43" fontId="1" fillId="0" borderId="240" xfId="0" applyNumberFormat="1" applyFont="1" applyBorder="1" applyProtection="1">
      <protection locked="0"/>
    </xf>
    <xf numFmtId="0" fontId="1" fillId="0" borderId="245" xfId="0" applyFont="1" applyBorder="1" applyProtection="1">
      <protection locked="0"/>
    </xf>
    <xf numFmtId="43" fontId="1" fillId="0" borderId="236" xfId="0" applyNumberFormat="1" applyFont="1" applyBorder="1" applyProtection="1">
      <protection locked="0"/>
    </xf>
    <xf numFmtId="0" fontId="1" fillId="0" borderId="243" xfId="0" applyFont="1" applyBorder="1" applyProtection="1">
      <protection locked="0"/>
    </xf>
    <xf numFmtId="43" fontId="1" fillId="0" borderId="239" xfId="0" applyNumberFormat="1" applyFont="1" applyBorder="1" applyProtection="1">
      <protection locked="0"/>
    </xf>
    <xf numFmtId="0" fontId="1" fillId="0" borderId="249" xfId="0" applyFont="1" applyBorder="1" applyProtection="1">
      <protection locked="0"/>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 fillId="24" borderId="93" xfId="0" applyFont="1" applyFill="1" applyBorder="1" applyAlignment="1">
      <alignment horizontal="center" vertical="center" wrapText="1"/>
    </xf>
    <xf numFmtId="0" fontId="1" fillId="24" borderId="94" xfId="0" applyFont="1" applyFill="1" applyBorder="1" applyAlignment="1">
      <alignment horizontal="center" vertical="center" wrapText="1"/>
    </xf>
    <xf numFmtId="170" fontId="1" fillId="24" borderId="260" xfId="0" applyNumberFormat="1" applyFont="1" applyFill="1" applyBorder="1" applyAlignment="1">
      <alignment horizontal="center" vertical="center" wrapText="1"/>
    </xf>
    <xf numFmtId="171" fontId="1" fillId="24" borderId="116" xfId="0" applyNumberFormat="1" applyFont="1" applyFill="1" applyBorder="1" applyAlignment="1">
      <alignment horizontal="center" vertical="center" wrapText="1"/>
    </xf>
    <xf numFmtId="0" fontId="1" fillId="24" borderId="260" xfId="0" applyFont="1" applyFill="1" applyBorder="1" applyAlignment="1">
      <alignment horizontal="center" vertical="center" wrapText="1"/>
    </xf>
    <xf numFmtId="170" fontId="1" fillId="24" borderId="228" xfId="0" applyNumberFormat="1" applyFont="1" applyFill="1" applyBorder="1" applyAlignment="1">
      <alignment horizontal="center" vertical="center" wrapText="1"/>
    </xf>
    <xf numFmtId="0" fontId="1" fillId="24" borderId="95" xfId="0" applyFont="1" applyFill="1" applyBorder="1" applyAlignment="1">
      <alignment horizontal="center" vertical="center" wrapText="1"/>
    </xf>
    <xf numFmtId="10" fontId="28" fillId="2" borderId="98" xfId="0" applyNumberFormat="1" applyFont="1" applyFill="1" applyBorder="1" applyAlignment="1">
      <alignment horizontal="center" vertical="center"/>
    </xf>
    <xf numFmtId="0" fontId="1" fillId="24" borderId="96" xfId="0" applyFont="1" applyFill="1" applyBorder="1" applyAlignment="1">
      <alignment horizontal="center" vertical="center" wrapText="1"/>
    </xf>
    <xf numFmtId="0" fontId="1" fillId="24" borderId="98" xfId="0" applyFont="1" applyFill="1" applyBorder="1" applyAlignment="1">
      <alignment horizontal="center" vertical="center" wrapText="1"/>
    </xf>
    <xf numFmtId="43" fontId="0" fillId="2" borderId="128" xfId="0" applyNumberFormat="1" applyFill="1" applyBorder="1" applyAlignment="1">
      <alignment horizontal="center" vertical="center"/>
    </xf>
    <xf numFmtId="172" fontId="0" fillId="2" borderId="261" xfId="1" applyNumberFormat="1" applyFont="1" applyFill="1" applyBorder="1" applyAlignment="1" applyProtection="1">
      <alignment horizontal="center" vertical="center"/>
    </xf>
    <xf numFmtId="43" fontId="0" fillId="2" borderId="262" xfId="0" applyNumberFormat="1" applyFill="1" applyBorder="1" applyAlignment="1">
      <alignment horizontal="center" vertical="center"/>
    </xf>
    <xf numFmtId="172" fontId="0" fillId="2" borderId="108" xfId="1" applyNumberFormat="1" applyFont="1" applyFill="1" applyBorder="1" applyAlignment="1" applyProtection="1">
      <alignment horizontal="center" vertical="center"/>
    </xf>
    <xf numFmtId="0" fontId="1" fillId="2" borderId="104" xfId="0" applyFont="1" applyFill="1" applyBorder="1" applyAlignment="1">
      <alignment vertical="center"/>
    </xf>
    <xf numFmtId="43" fontId="0" fillId="2" borderId="104" xfId="0" applyNumberFormat="1" applyFill="1" applyBorder="1" applyAlignment="1">
      <alignment horizontal="center" vertical="center"/>
    </xf>
    <xf numFmtId="10" fontId="28" fillId="2" borderId="108" xfId="0" applyNumberFormat="1" applyFont="1" applyFill="1" applyBorder="1" applyAlignment="1">
      <alignment horizontal="center"/>
    </xf>
    <xf numFmtId="10" fontId="28" fillId="2" borderId="105" xfId="0" applyNumberFormat="1" applyFont="1" applyFill="1" applyBorder="1" applyAlignment="1">
      <alignment horizontal="center" vertical="center"/>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6"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9"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57" fillId="0" borderId="0" xfId="0" applyFont="1"/>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28" fillId="2" borderId="97" xfId="0" applyNumberFormat="1" applyFont="1" applyFill="1" applyBorder="1" applyAlignment="1">
      <alignment horizontal="center" vertical="center"/>
    </xf>
    <xf numFmtId="10" fontId="28" fillId="2" borderId="97" xfId="0" applyNumberFormat="1" applyFont="1" applyFill="1" applyBorder="1" applyAlignment="1">
      <alignment horizontal="center"/>
    </xf>
    <xf numFmtId="10" fontId="1" fillId="2" borderId="104" xfId="0" applyNumberFormat="1" applyFont="1" applyFill="1" applyBorder="1" applyAlignment="1">
      <alignment vertical="center"/>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59" fillId="0" borderId="0" xfId="0" applyFont="1" applyAlignment="1">
      <alignment vertical="center"/>
    </xf>
    <xf numFmtId="171" fontId="1" fillId="24" borderId="222" xfId="0" applyNumberFormat="1" applyFont="1" applyFill="1" applyBorder="1" applyAlignment="1">
      <alignment horizontal="center" vertical="center" wrapText="1"/>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1" fillId="0" borderId="274" xfId="0" applyFont="1" applyBorder="1"/>
    <xf numFmtId="0" fontId="1" fillId="0" borderId="60" xfId="0" applyFont="1" applyBorder="1"/>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9" fontId="32" fillId="0" borderId="60" xfId="0" applyNumberFormat="1" applyFont="1" applyBorder="1" applyAlignment="1">
      <alignment horizontal="right" vertical="center"/>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8"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43" fontId="0" fillId="2" borderId="108" xfId="1" applyFont="1" applyFill="1" applyBorder="1" applyAlignment="1" applyProtection="1">
      <alignment horizontal="center" vertical="center"/>
    </xf>
    <xf numFmtId="0" fontId="27"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4" fontId="1" fillId="0" borderId="97" xfId="0" applyNumberFormat="1" applyFont="1" applyBorder="1" applyAlignment="1">
      <alignment vertical="center"/>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10" fontId="28" fillId="2" borderId="101" xfId="2" applyNumberFormat="1" applyFont="1" applyFill="1" applyBorder="1" applyAlignment="1" applyProtection="1">
      <alignment horizontal="center"/>
    </xf>
    <xf numFmtId="10" fontId="28" fillId="6" borderId="97"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60"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5"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49" fontId="1" fillId="0" borderId="250" xfId="0" applyNumberFormat="1" applyFont="1" applyBorder="1" applyAlignment="1" applyProtection="1">
      <alignment horizontal="left" vertical="center" wrapText="1"/>
      <protection locked="0"/>
    </xf>
    <xf numFmtId="49" fontId="1" fillId="0" borderId="251" xfId="0" applyNumberFormat="1" applyFont="1" applyBorder="1" applyAlignment="1" applyProtection="1">
      <alignment horizontal="left" vertical="center" wrapText="1"/>
      <protection locked="0"/>
    </xf>
    <xf numFmtId="49" fontId="1" fillId="0" borderId="252" xfId="0" applyNumberFormat="1" applyFont="1" applyBorder="1" applyAlignment="1" applyProtection="1">
      <alignment horizontal="left" vertical="center" wrapText="1"/>
      <protection locked="0"/>
    </xf>
    <xf numFmtId="49" fontId="1" fillId="0" borderId="256" xfId="0" applyNumberFormat="1" applyFont="1" applyBorder="1" applyAlignment="1" applyProtection="1">
      <alignment horizontal="left" vertical="center" wrapText="1"/>
      <protection locked="0"/>
    </xf>
    <xf numFmtId="49" fontId="1" fillId="0" borderId="246" xfId="0" applyNumberFormat="1" applyFont="1" applyBorder="1" applyAlignment="1" applyProtection="1">
      <alignment horizontal="left" vertical="center" wrapText="1"/>
      <protection locked="0"/>
    </xf>
    <xf numFmtId="49" fontId="1" fillId="0" borderId="247" xfId="0" applyNumberFormat="1" applyFont="1" applyBorder="1" applyAlignment="1" applyProtection="1">
      <alignment horizontal="left" vertical="center" wrapText="1"/>
      <protection locked="0"/>
    </xf>
    <xf numFmtId="49" fontId="1" fillId="0" borderId="242" xfId="0" applyNumberFormat="1" applyFont="1" applyBorder="1" applyAlignment="1" applyProtection="1">
      <alignment horizontal="left" vertical="center" wrapText="1"/>
      <protection locked="0"/>
    </xf>
    <xf numFmtId="49" fontId="1" fillId="0" borderId="243" xfId="0" applyNumberFormat="1" applyFont="1" applyBorder="1" applyAlignment="1" applyProtection="1">
      <alignment horizontal="left" vertical="center" wrapText="1"/>
      <protection locked="0"/>
    </xf>
    <xf numFmtId="49" fontId="1" fillId="0" borderId="241" xfId="0" applyNumberFormat="1" applyFont="1" applyBorder="1" applyAlignment="1" applyProtection="1">
      <alignment horizontal="left" vertical="center" wrapText="1"/>
      <protection locked="0"/>
    </xf>
    <xf numFmtId="49" fontId="1" fillId="0" borderId="245" xfId="0" applyNumberFormat="1" applyFont="1" applyBorder="1" applyAlignment="1" applyProtection="1">
      <alignment horizontal="left" vertical="center" wrapText="1"/>
      <protection locked="0"/>
    </xf>
    <xf numFmtId="49" fontId="1" fillId="0" borderId="249" xfId="0" applyNumberFormat="1" applyFont="1" applyBorder="1" applyAlignment="1" applyProtection="1">
      <alignment horizontal="left" vertical="center" wrapText="1"/>
      <protection locked="0"/>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5"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0" fontId="10" fillId="11" borderId="142"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1" fontId="10" fillId="0" borderId="136"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1" fontId="10" fillId="10" borderId="14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 fontId="10" fillId="10" borderId="136" xfId="1"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40"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6"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39"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40"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6"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39"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184"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159" xfId="1" applyNumberFormat="1" applyFont="1" applyFill="1" applyBorder="1" applyAlignment="1" applyProtection="1">
      <alignment horizontal="right" wrapText="1"/>
      <protection locked="0"/>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6"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5"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47"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27" fillId="0" borderId="0" xfId="7" applyFont="1" applyBorder="1" applyAlignment="1" applyProtection="1">
      <alignment wrapText="1"/>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0" fillId="0" borderId="0" xfId="0" applyAlignment="1"/>
    <xf numFmtId="0" fontId="57" fillId="0" borderId="0" xfId="0" applyFont="1" applyAlignment="1"/>
    <xf numFmtId="0" fontId="34" fillId="0" borderId="0" xfId="0" applyFont="1" applyAlignment="1"/>
    <xf numFmtId="0" fontId="58" fillId="0" borderId="0" xfId="0" applyFont="1" applyAlignment="1"/>
    <xf numFmtId="0" fontId="10" fillId="0" borderId="60"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26" xfId="0" applyFont="1" applyBorder="1" applyAlignment="1">
      <alignment horizontal="center" vertical="center" wrapText="1"/>
    </xf>
    <xf numFmtId="0" fontId="47" fillId="0" borderId="6" xfId="0" applyFont="1" applyBorder="1" applyAlignment="1">
      <alignment horizontal="center" vertical="center" wrapText="1"/>
    </xf>
    <xf numFmtId="0" fontId="10" fillId="0" borderId="0" xfId="0" applyFont="1" applyAlignment="1">
      <alignment horizont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4" fillId="6" borderId="26" xfId="3" applyFont="1" applyFill="1" applyBorder="1" applyAlignment="1">
      <alignment horizontal="center"/>
    </xf>
    <xf numFmtId="0" fontId="24" fillId="6" borderId="6" xfId="3" applyFont="1" applyFill="1" applyBorder="1" applyAlignment="1">
      <alignment horizontal="center"/>
    </xf>
    <xf numFmtId="0" fontId="9" fillId="7" borderId="2" xfId="3" applyFont="1" applyFill="1" applyBorder="1" applyAlignment="1">
      <alignment horizontal="center" vertical="center"/>
    </xf>
    <xf numFmtId="0" fontId="14" fillId="0" borderId="24" xfId="3" applyFont="1" applyBorder="1" applyAlignment="1"/>
    <xf numFmtId="0" fontId="14" fillId="0" borderId="14" xfId="3" applyFont="1" applyBorder="1" applyAlignment="1"/>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14" fillId="0" borderId="68" xfId="3" applyFont="1" applyBorder="1" applyAlignment="1"/>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0" fontId="10" fillId="0" borderId="43" xfId="0" applyFont="1" applyBorder="1" applyAlignment="1">
      <alignment horizontal="center" vertical="center"/>
    </xf>
    <xf numFmtId="0" fontId="21" fillId="0" borderId="43" xfId="0" applyFont="1" applyBorder="1" applyAlignment="1"/>
    <xf numFmtId="0" fontId="21" fillId="0" borderId="42" xfId="0" applyFont="1" applyBorder="1" applyAlignment="1"/>
    <xf numFmtId="0" fontId="10" fillId="0" borderId="2" xfId="0" applyFont="1" applyBorder="1" applyAlignment="1">
      <alignment horizontal="center" vertical="center" wrapText="1"/>
    </xf>
    <xf numFmtId="0" fontId="21" fillId="0" borderId="45" xfId="0" applyFont="1" applyBorder="1" applyAlignment="1"/>
    <xf numFmtId="165" fontId="10" fillId="0" borderId="44" xfId="2" applyNumberFormat="1" applyFont="1" applyBorder="1" applyAlignment="1" applyProtection="1">
      <alignment horizontal="center" vertical="center"/>
    </xf>
    <xf numFmtId="165" fontId="21" fillId="0" borderId="46" xfId="2" applyNumberFormat="1" applyFont="1" applyBorder="1" applyAlignment="1" applyProtection="1"/>
    <xf numFmtId="0" fontId="10" fillId="0" borderId="0" xfId="0" applyFont="1" applyAlignment="1">
      <alignment horizontal="center" vertical="center"/>
    </xf>
    <xf numFmtId="0" fontId="2" fillId="0" borderId="0" xfId="0" applyFont="1" applyAlignment="1">
      <alignment horizontal="center" vertical="center" wrapText="1"/>
    </xf>
    <xf numFmtId="0" fontId="14" fillId="0" borderId="0" xfId="7" applyFont="1" applyAlignment="1">
      <alignment wrapText="1"/>
    </xf>
    <xf numFmtId="0" fontId="4"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211" xfId="0" applyNumberFormat="1" applyFont="1" applyBorder="1" applyAlignment="1">
      <alignment horizontal="center" vertical="top" wrapText="1"/>
    </xf>
    <xf numFmtId="0" fontId="5" fillId="0" borderId="0" xfId="0" applyFont="1" applyAlignment="1">
      <alignment horizontal="center"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10" fillId="6" borderId="138" xfId="0" applyFont="1" applyFill="1" applyBorder="1" applyAlignment="1">
      <alignment horizontal="center" vertical="center" wrapText="1"/>
    </xf>
    <xf numFmtId="0" fontId="10" fillId="6" borderId="136" xfId="0" applyFont="1" applyFill="1" applyBorder="1" applyAlignment="1">
      <alignment horizontal="center" vertic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0" fontId="10" fillId="6" borderId="180" xfId="0" applyFont="1" applyFill="1" applyBorder="1" applyAlignment="1">
      <alignment horizontal="center" vertic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41"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64" xfId="0" applyFont="1" applyFill="1" applyBorder="1" applyAlignment="1">
      <alignment horizontal="center" vertical="center" wrapText="1"/>
    </xf>
    <xf numFmtId="0" fontId="10" fillId="6" borderId="179" xfId="0" applyFont="1" applyFill="1" applyBorder="1" applyAlignment="1">
      <alignment horizontal="center" vertical="center" wrapText="1"/>
    </xf>
    <xf numFmtId="0" fontId="10" fillId="6" borderId="183"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94" xfId="1" applyNumberFormat="1"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1" fillId="0" borderId="281" xfId="0" applyFont="1" applyBorder="1" applyAlignment="1">
      <alignment horizontal="left" wrapText="1"/>
    </xf>
    <xf numFmtId="0" fontId="1" fillId="0" borderId="251" xfId="0" applyFont="1" applyBorder="1" applyAlignment="1">
      <alignment horizontal="left" wrapText="1"/>
    </xf>
    <xf numFmtId="0" fontId="1" fillId="0" borderId="282" xfId="0" applyFont="1" applyBorder="1" applyAlignment="1">
      <alignment horizontal="left" wrapText="1"/>
    </xf>
    <xf numFmtId="0" fontId="1" fillId="0" borderId="258" xfId="0" applyFont="1" applyBorder="1" applyAlignment="1">
      <alignment horizontal="left" wrapText="1"/>
    </xf>
    <xf numFmtId="0" fontId="10" fillId="0" borderId="0" xfId="0" applyFont="1" applyAlignment="1">
      <alignment horizontal="left" vertical="center"/>
    </xf>
    <xf numFmtId="0" fontId="1" fillId="0" borderId="0" xfId="0" applyFont="1" applyAlignment="1">
      <alignment horizontal="left"/>
    </xf>
    <xf numFmtId="10" fontId="34" fillId="0" borderId="257" xfId="0" applyNumberFormat="1" applyFont="1" applyBorder="1" applyAlignment="1">
      <alignment horizontal="center" vertical="center"/>
    </xf>
    <xf numFmtId="10" fontId="34" fillId="0" borderId="251" xfId="0" applyNumberFormat="1" applyFont="1" applyBorder="1" applyAlignment="1">
      <alignment horizontal="center" vertical="center"/>
    </xf>
    <xf numFmtId="10" fontId="34" fillId="0" borderId="258" xfId="0" applyNumberFormat="1" applyFont="1" applyBorder="1" applyAlignment="1">
      <alignment horizontal="center" vertical="center"/>
    </xf>
    <xf numFmtId="0" fontId="1" fillId="25" borderId="96" xfId="0" applyFont="1" applyFill="1" applyBorder="1" applyAlignment="1">
      <alignment horizontal="center" vertical="center"/>
    </xf>
    <xf numFmtId="0" fontId="1" fillId="25" borderId="97" xfId="0" applyFont="1" applyFill="1" applyBorder="1" applyAlignment="1">
      <alignment horizontal="center" vertical="center"/>
    </xf>
    <xf numFmtId="0" fontId="33" fillId="18" borderId="96" xfId="0" applyFont="1" applyFill="1" applyBorder="1" applyAlignment="1">
      <alignment horizontal="left" vertical="center" wrapText="1"/>
    </xf>
    <xf numFmtId="0" fontId="33" fillId="18" borderId="97" xfId="0" applyFont="1" applyFill="1" applyBorder="1" applyAlignment="1">
      <alignment horizontal="left" vertical="center" wrapText="1"/>
    </xf>
    <xf numFmtId="0" fontId="33" fillId="18" borderId="98" xfId="0" applyFont="1" applyFill="1" applyBorder="1" applyAlignment="1">
      <alignment horizontal="left" vertical="center" wrapText="1"/>
    </xf>
    <xf numFmtId="0" fontId="33" fillId="19" borderId="96" xfId="0" applyFont="1" applyFill="1" applyBorder="1" applyAlignment="1">
      <alignment horizontal="center" vertical="center"/>
    </xf>
    <xf numFmtId="0" fontId="33" fillId="19" borderId="97" xfId="0" applyFont="1" applyFill="1" applyBorder="1" applyAlignment="1">
      <alignment horizontal="center" vertical="center"/>
    </xf>
    <xf numFmtId="0" fontId="33" fillId="6" borderId="96" xfId="0" applyFont="1" applyFill="1" applyBorder="1" applyAlignment="1">
      <alignment horizontal="center"/>
    </xf>
    <xf numFmtId="0" fontId="33" fillId="6" borderId="97" xfId="0" applyFont="1" applyFill="1" applyBorder="1" applyAlignment="1">
      <alignment horizontal="center"/>
    </xf>
    <xf numFmtId="0" fontId="33" fillId="6" borderId="98" xfId="0" applyFont="1" applyFill="1" applyBorder="1" applyAlignment="1">
      <alignment horizontal="center"/>
    </xf>
    <xf numFmtId="0" fontId="10" fillId="0" borderId="0" xfId="0" applyFont="1" applyAlignment="1">
      <alignment horizontal="left" vertical="center" wrapText="1"/>
    </xf>
    <xf numFmtId="0" fontId="24" fillId="2" borderId="103" xfId="0" applyFont="1" applyFill="1" applyBorder="1" applyAlignment="1">
      <alignment horizontal="center"/>
    </xf>
    <xf numFmtId="0" fontId="24" fillId="2" borderId="104" xfId="0" applyFont="1" applyFill="1" applyBorder="1" applyAlignment="1">
      <alignment horizontal="center"/>
    </xf>
    <xf numFmtId="10" fontId="34" fillId="0" borderId="244" xfId="2" applyNumberFormat="1" applyFont="1" applyFill="1" applyBorder="1" applyAlignment="1" applyProtection="1">
      <alignment horizontal="center" vertical="center"/>
    </xf>
    <xf numFmtId="10" fontId="34" fillId="0" borderId="246" xfId="2" applyNumberFormat="1" applyFont="1" applyFill="1" applyBorder="1" applyAlignment="1" applyProtection="1">
      <alignment horizontal="center" vertical="center"/>
    </xf>
    <xf numFmtId="10" fontId="34" fillId="0" borderId="248" xfId="2" applyNumberFormat="1" applyFont="1" applyFill="1" applyBorder="1" applyAlignment="1" applyProtection="1">
      <alignment horizontal="center" vertical="center"/>
    </xf>
    <xf numFmtId="0" fontId="1" fillId="0" borderId="280" xfId="0" applyFont="1" applyBorder="1" applyAlignment="1">
      <alignment horizontal="left" wrapText="1"/>
    </xf>
    <xf numFmtId="0" fontId="1" fillId="0" borderId="257" xfId="0" applyFont="1" applyBorder="1" applyAlignment="1">
      <alignment horizontal="left"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1" fillId="0" borderId="272" xfId="0" applyFont="1" applyBorder="1" applyAlignment="1">
      <alignment horizontal="center"/>
    </xf>
    <xf numFmtId="0" fontId="31" fillId="0" borderId="274" xfId="0" applyFont="1" applyBorder="1" applyAlignment="1">
      <alignment horizontal="center"/>
    </xf>
    <xf numFmtId="14" fontId="1" fillId="0" borderId="272" xfId="0" applyNumberFormat="1" applyFont="1" applyBorder="1" applyAlignment="1">
      <alignment horizontal="center"/>
    </xf>
    <xf numFmtId="10" fontId="34" fillId="0" borderId="244" xfId="0" applyNumberFormat="1" applyFont="1" applyBorder="1" applyAlignment="1">
      <alignment horizontal="center" vertical="center"/>
    </xf>
    <xf numFmtId="10" fontId="34" fillId="0" borderId="246" xfId="0" applyNumberFormat="1" applyFont="1" applyBorder="1" applyAlignment="1">
      <alignment horizontal="center" vertical="center"/>
    </xf>
    <xf numFmtId="10" fontId="34" fillId="0" borderId="248" xfId="0" applyNumberFormat="1" applyFont="1" applyBorder="1" applyAlignment="1">
      <alignment horizontal="center" vertic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0" fontId="10" fillId="6" borderId="94" xfId="0" applyFont="1" applyFill="1" applyBorder="1" applyAlignment="1">
      <alignment horizontal="center" vertical="center" wrapText="1"/>
    </xf>
    <xf numFmtId="0" fontId="14" fillId="6" borderId="104" xfId="0" applyFont="1" applyFill="1" applyBorder="1" applyAlignment="1"/>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4" fillId="6" borderId="104" xfId="0" applyFont="1" applyFill="1" applyBorder="1" applyAlignment="1">
      <alignment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0" fillId="6" borderId="228" xfId="0" applyFont="1" applyFill="1" applyBorder="1" applyAlignment="1">
      <alignment horizontal="center" vertical="center" wrapText="1"/>
    </xf>
    <xf numFmtId="0" fontId="14" fillId="6" borderId="128" xfId="0" applyFont="1" applyFill="1" applyBorder="1" applyAlignment="1"/>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0" fontId="10" fillId="0" borderId="0" xfId="0" applyFont="1" applyAlignment="1">
      <alignment horizontal="center" vertical="center" wrapText="1"/>
    </xf>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3" fillId="6" borderId="130" xfId="0" applyFont="1" applyFill="1" applyBorder="1" applyAlignment="1">
      <alignment horizontal="center" vertical="center" wrapText="1"/>
    </xf>
    <xf numFmtId="0" fontId="43" fillId="6" borderId="99" xfId="0" applyFont="1" applyFill="1" applyBorder="1" applyAlignment="1">
      <alignment horizontal="center" vertical="center" wrapText="1"/>
    </xf>
    <xf numFmtId="0" fontId="33" fillId="6" borderId="109" xfId="0" applyFont="1" applyFill="1" applyBorder="1" applyAlignment="1">
      <alignment horizontal="center" vertical="center"/>
    </xf>
    <xf numFmtId="0" fontId="33" fillId="6" borderId="110" xfId="0" applyFont="1" applyFill="1" applyBorder="1" applyAlignment="1">
      <alignment horizontal="center" vertical="center"/>
    </xf>
    <xf numFmtId="0" fontId="33" fillId="6" borderId="111" xfId="0" applyFont="1" applyFill="1" applyBorder="1" applyAlignment="1">
      <alignment horizontal="center" vertical="center"/>
    </xf>
    <xf numFmtId="0" fontId="43" fillId="6" borderId="96" xfId="0" applyFont="1" applyFill="1" applyBorder="1" applyAlignment="1">
      <alignment horizontal="center" vertical="center" wrapText="1"/>
    </xf>
    <xf numFmtId="0" fontId="43" fillId="6" borderId="97" xfId="0" applyFont="1" applyFill="1" applyBorder="1" applyAlignment="1">
      <alignment horizontal="center" vertical="center" wrapText="1"/>
    </xf>
    <xf numFmtId="0" fontId="33" fillId="0" borderId="96" xfId="0" applyFont="1" applyBorder="1" applyAlignment="1">
      <alignment vertical="center"/>
    </xf>
    <xf numFmtId="0" fontId="28" fillId="0" borderId="97" xfId="0" applyFont="1" applyBorder="1" applyAlignment="1"/>
    <xf numFmtId="0" fontId="33" fillId="0" borderId="130" xfId="0" applyFont="1" applyBorder="1" applyAlignment="1">
      <alignment vertical="center"/>
    </xf>
    <xf numFmtId="0" fontId="28" fillId="0" borderId="99" xfId="0" applyFont="1" applyBorder="1" applyAlignment="1"/>
    <xf numFmtId="0" fontId="33" fillId="0" borderId="109" xfId="0" applyFont="1" applyBorder="1" applyAlignment="1">
      <alignment horizontal="left" vertical="center" wrapText="1"/>
    </xf>
    <xf numFmtId="0" fontId="28"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1" fillId="0" borderId="0" xfId="0" applyFont="1" applyAlignment="1"/>
    <xf numFmtId="164" fontId="1" fillId="10" borderId="97" xfId="0" applyNumberFormat="1" applyFont="1" applyFill="1" applyBorder="1" applyAlignment="1">
      <alignment horizontal="center" vertical="center"/>
    </xf>
    <xf numFmtId="0" fontId="33" fillId="6" borderId="126" xfId="0" applyFont="1" applyFill="1" applyBorder="1" applyAlignment="1">
      <alignment horizontal="center" vertical="center" wrapText="1"/>
    </xf>
    <xf numFmtId="0" fontId="33" fillId="6" borderId="119" xfId="0" applyFont="1" applyFill="1" applyBorder="1" applyAlignment="1">
      <alignment horizontal="center" vertical="center" wrapText="1"/>
    </xf>
    <xf numFmtId="0" fontId="33" fillId="6" borderId="120" xfId="0" applyFont="1" applyFill="1" applyBorder="1" applyAlignment="1">
      <alignment horizontal="center" vertical="center" wrapText="1"/>
    </xf>
    <xf numFmtId="0" fontId="33" fillId="0" borderId="0" xfId="0" applyFont="1" applyAlignment="1">
      <alignment horizontal="center" vertical="center"/>
    </xf>
    <xf numFmtId="0" fontId="42" fillId="0" borderId="0" xfId="0" applyFont="1" applyAlignment="1">
      <alignment horizontal="center" vertical="center"/>
    </xf>
    <xf numFmtId="14" fontId="32" fillId="0" borderId="0" xfId="0" applyNumberFormat="1" applyFont="1" applyAlignment="1">
      <alignment horizontal="left" vertical="center"/>
    </xf>
    <xf numFmtId="0" fontId="28" fillId="0" borderId="0" xfId="0" applyFont="1" applyAlignment="1"/>
    <xf numFmtId="0" fontId="33" fillId="6" borderId="109" xfId="0" applyFont="1" applyFill="1" applyBorder="1" applyAlignment="1">
      <alignment horizontal="center" vertical="center" wrapText="1"/>
    </xf>
    <xf numFmtId="0" fontId="28" fillId="6" borderId="110" xfId="0" applyFont="1" applyFill="1" applyBorder="1" applyAlignment="1"/>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60" fillId="0" borderId="279" xfId="0" applyFont="1" applyBorder="1" applyAlignment="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371" t="s">
        <v>0</v>
      </c>
      <c r="B1" s="1371"/>
      <c r="C1" s="1371"/>
      <c r="D1" s="1371"/>
      <c r="E1" s="1371"/>
      <c r="F1" s="1371"/>
      <c r="G1" s="1371"/>
      <c r="H1" s="1371"/>
    </row>
    <row r="2" spans="1:8" ht="73.5" customHeight="1" thickBot="1">
      <c r="A2" s="1372" t="s">
        <v>1</v>
      </c>
      <c r="B2" s="1373"/>
      <c r="C2" s="1373"/>
      <c r="D2" s="1373"/>
      <c r="E2" s="1373"/>
      <c r="F2" s="1373"/>
      <c r="G2" s="1373"/>
      <c r="H2" s="1374"/>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902" t="s">
        <v>16</v>
      </c>
    </row>
    <row r="19" spans="1:2" ht="89.25">
      <c r="A19" s="7">
        <v>16</v>
      </c>
      <c r="B19" s="903"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375" customFormat="1">
      <c r="A37" s="1375">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topLeftCell="A19" zoomScale="85" zoomScaleNormal="85" workbookViewId="0">
      <selection activeCell="O49" sqref="O49"/>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6">
      <c r="A1" s="7"/>
      <c r="B1" s="7"/>
      <c r="C1" s="7"/>
      <c r="D1" s="7"/>
      <c r="E1" s="7"/>
      <c r="F1" s="29"/>
      <c r="G1" s="7"/>
      <c r="H1" s="6"/>
      <c r="L1" s="58"/>
      <c r="M1" s="58"/>
      <c r="N1" s="58"/>
      <c r="P1" s="58" t="s">
        <v>34</v>
      </c>
    </row>
    <row r="2" spans="1:16">
      <c r="A2" s="7"/>
      <c r="B2" s="7"/>
      <c r="C2" s="7"/>
      <c r="D2" s="7"/>
      <c r="E2" s="7"/>
      <c r="F2" s="29"/>
      <c r="G2" s="7"/>
      <c r="H2" s="6"/>
      <c r="L2" s="58"/>
      <c r="M2" s="58"/>
      <c r="N2" s="58"/>
      <c r="P2" s="58" t="s">
        <v>903</v>
      </c>
    </row>
    <row r="3" spans="1:16">
      <c r="A3" s="7"/>
      <c r="B3" s="7"/>
      <c r="C3" s="7"/>
      <c r="D3" s="7"/>
      <c r="E3" s="7"/>
      <c r="F3" s="29"/>
      <c r="G3" s="7"/>
      <c r="H3" s="7"/>
      <c r="I3" s="7"/>
      <c r="J3" s="7"/>
      <c r="K3" s="7"/>
      <c r="L3" s="7"/>
      <c r="M3" s="7"/>
      <c r="N3" s="7"/>
    </row>
    <row r="4" spans="1:16">
      <c r="A4" s="1420" t="s">
        <v>904</v>
      </c>
      <c r="B4" s="1420"/>
      <c r="C4" s="1420"/>
      <c r="D4" s="1420"/>
      <c r="E4" s="1420"/>
      <c r="F4" s="1420"/>
      <c r="G4" s="1420"/>
      <c r="H4" s="1420"/>
      <c r="I4" s="1420"/>
      <c r="J4" s="1420"/>
      <c r="K4" s="1420"/>
      <c r="L4" s="1420"/>
      <c r="M4" s="1420"/>
      <c r="N4" s="1420"/>
      <c r="O4" s="1420"/>
      <c r="P4" s="1420"/>
    </row>
    <row r="5" spans="1:16">
      <c r="A5" s="1421" t="str">
        <f>+STATISTICS!A5</f>
        <v>ХАДГАЛАМЖ, ЗЭЭЛИЙН ХОРШООНЫ НЭР</v>
      </c>
      <c r="B5" s="1421"/>
      <c r="C5" s="1421"/>
      <c r="D5" s="1421"/>
      <c r="E5" s="1421"/>
      <c r="F5" s="1421"/>
      <c r="G5" s="1421"/>
      <c r="H5" s="1421"/>
      <c r="I5" s="1421"/>
      <c r="J5" s="1421"/>
      <c r="K5" s="1421"/>
      <c r="L5" s="1421"/>
      <c r="M5" s="1421"/>
      <c r="N5" s="1421"/>
      <c r="O5" s="1421"/>
      <c r="P5" s="1421"/>
    </row>
    <row r="6" spans="1:16">
      <c r="A6" s="1420" t="s">
        <v>38</v>
      </c>
      <c r="B6" s="1420"/>
      <c r="C6" s="1420"/>
      <c r="D6" s="1420"/>
      <c r="E6" s="1420"/>
      <c r="F6" s="1420"/>
      <c r="G6" s="1420"/>
      <c r="H6" s="1420"/>
      <c r="I6" s="1420"/>
      <c r="J6" s="1420"/>
      <c r="K6" s="1420"/>
      <c r="L6" s="1420"/>
      <c r="M6" s="1420"/>
      <c r="N6" s="1420"/>
      <c r="O6" s="1420"/>
      <c r="P6" s="1420"/>
    </row>
    <row r="7" spans="1:16">
      <c r="A7" s="7"/>
      <c r="B7" s="7"/>
      <c r="C7" s="7"/>
      <c r="D7" s="7"/>
      <c r="E7" s="7"/>
      <c r="F7" s="29"/>
      <c r="G7" s="7"/>
      <c r="H7" s="7"/>
      <c r="I7" s="7"/>
      <c r="J7" s="7"/>
      <c r="K7" s="7"/>
      <c r="L7" s="7"/>
      <c r="M7" s="7"/>
      <c r="N7" s="7"/>
    </row>
    <row r="8" spans="1:16" ht="13.5" customHeight="1" thickBot="1">
      <c r="A8" s="1598"/>
      <c r="B8" s="1599"/>
      <c r="C8" s="505"/>
      <c r="D8" s="954"/>
      <c r="E8" s="506"/>
      <c r="F8" s="929"/>
      <c r="G8" s="506"/>
      <c r="H8" s="506"/>
      <c r="I8" s="7"/>
      <c r="J8" s="7"/>
      <c r="K8" s="7"/>
      <c r="L8" s="7"/>
      <c r="M8" s="7"/>
      <c r="P8" s="474" t="s">
        <v>117</v>
      </c>
    </row>
    <row r="9" spans="1:16" ht="63.75">
      <c r="A9" s="517" t="s">
        <v>39</v>
      </c>
      <c r="B9" s="518" t="s">
        <v>905</v>
      </c>
      <c r="C9" s="904" t="s">
        <v>906</v>
      </c>
      <c r="D9" s="946" t="s">
        <v>876</v>
      </c>
      <c r="E9" s="519" t="s">
        <v>861</v>
      </c>
      <c r="F9" s="519" t="s">
        <v>863</v>
      </c>
      <c r="G9" s="520" t="s">
        <v>864</v>
      </c>
      <c r="H9" s="520" t="s">
        <v>865</v>
      </c>
      <c r="I9" s="520" t="s">
        <v>866</v>
      </c>
      <c r="J9" s="904" t="s">
        <v>867</v>
      </c>
      <c r="K9" s="904" t="s">
        <v>868</v>
      </c>
      <c r="L9" s="904" t="s">
        <v>869</v>
      </c>
      <c r="M9" s="968" t="s">
        <v>870</v>
      </c>
      <c r="N9" s="969" t="s">
        <v>871</v>
      </c>
      <c r="O9" s="969" t="s">
        <v>907</v>
      </c>
      <c r="P9" s="969" t="s">
        <v>908</v>
      </c>
    </row>
    <row r="10" spans="1:16">
      <c r="A10" s="507">
        <v>1</v>
      </c>
      <c r="B10" s="511"/>
      <c r="C10" s="1021"/>
      <c r="D10" s="479"/>
      <c r="E10" s="509"/>
      <c r="F10" s="924"/>
      <c r="G10" s="482"/>
      <c r="H10" s="482"/>
      <c r="I10" s="482"/>
      <c r="J10" s="491"/>
      <c r="K10" s="484"/>
      <c r="L10" s="484"/>
      <c r="M10" s="504"/>
      <c r="N10" s="930" t="e">
        <f>+L10/Balancesheet!$G$59</f>
        <v>#DIV/0!</v>
      </c>
      <c r="O10" s="913">
        <f>+SUMIF($C$10:$C$49,C10,$L$10:$L$49)</f>
        <v>0</v>
      </c>
      <c r="P10" s="932" t="e">
        <f>+O10/Balancesheet!$G$59</f>
        <v>#DIV/0!</v>
      </c>
    </row>
    <row r="11" spans="1:16">
      <c r="A11" s="510">
        <v>2</v>
      </c>
      <c r="B11" s="511"/>
      <c r="C11" s="1022"/>
      <c r="D11" s="479"/>
      <c r="E11" s="512"/>
      <c r="F11" s="924"/>
      <c r="G11" s="490"/>
      <c r="H11" s="490"/>
      <c r="I11" s="490"/>
      <c r="J11" s="491"/>
      <c r="K11" s="492"/>
      <c r="L11" s="492"/>
      <c r="M11" s="504"/>
      <c r="N11" s="930" t="e">
        <f>+L11/Balancesheet!$G$59</f>
        <v>#DIV/0!</v>
      </c>
      <c r="O11" s="913">
        <f t="shared" ref="O11:O49" si="0">+SUMIF($C$10:$C$49,C11,$L$10:$L$49)</f>
        <v>0</v>
      </c>
      <c r="P11" s="932" t="e">
        <f>+O11/Balancesheet!$G$59</f>
        <v>#DIV/0!</v>
      </c>
    </row>
    <row r="12" spans="1:16">
      <c r="A12" s="510">
        <v>3</v>
      </c>
      <c r="B12" s="511"/>
      <c r="C12" s="1022"/>
      <c r="D12" s="479"/>
      <c r="E12" s="512"/>
      <c r="F12" s="924"/>
      <c r="G12" s="490"/>
      <c r="H12" s="490"/>
      <c r="I12" s="490"/>
      <c r="J12" s="491"/>
      <c r="K12" s="492"/>
      <c r="L12" s="492"/>
      <c r="M12" s="504"/>
      <c r="N12" s="930" t="e">
        <f>+L12/Balancesheet!$G$59</f>
        <v>#DIV/0!</v>
      </c>
      <c r="O12" s="913">
        <f t="shared" si="0"/>
        <v>0</v>
      </c>
      <c r="P12" s="932" t="e">
        <f>+O12/Balancesheet!$G$59</f>
        <v>#DIV/0!</v>
      </c>
    </row>
    <row r="13" spans="1:16">
      <c r="A13" s="510">
        <v>4</v>
      </c>
      <c r="B13" s="511"/>
      <c r="C13" s="1022"/>
      <c r="D13" s="479"/>
      <c r="E13" s="512"/>
      <c r="F13" s="924"/>
      <c r="G13" s="490"/>
      <c r="H13" s="490"/>
      <c r="I13" s="490"/>
      <c r="J13" s="491"/>
      <c r="K13" s="492"/>
      <c r="L13" s="492"/>
      <c r="M13" s="504"/>
      <c r="N13" s="930" t="e">
        <f>+L13/Balancesheet!$G$59</f>
        <v>#DIV/0!</v>
      </c>
      <c r="O13" s="913">
        <f>+SUMIF($C$10:$C$49,C13,$L$10:$L$49)</f>
        <v>0</v>
      </c>
      <c r="P13" s="932" t="e">
        <f>+O13/Balancesheet!$G$59</f>
        <v>#DIV/0!</v>
      </c>
    </row>
    <row r="14" spans="1:16">
      <c r="A14" s="510">
        <v>5</v>
      </c>
      <c r="B14" s="511"/>
      <c r="C14" s="1022"/>
      <c r="D14" s="479"/>
      <c r="E14" s="512"/>
      <c r="F14" s="924"/>
      <c r="G14" s="490"/>
      <c r="H14" s="490"/>
      <c r="I14" s="490"/>
      <c r="J14" s="491"/>
      <c r="K14" s="492"/>
      <c r="L14" s="492"/>
      <c r="M14" s="504"/>
      <c r="N14" s="930" t="e">
        <f>+L14/Balancesheet!$G$59</f>
        <v>#DIV/0!</v>
      </c>
      <c r="O14" s="913">
        <f t="shared" si="0"/>
        <v>0</v>
      </c>
      <c r="P14" s="932" t="e">
        <f>+O14/Balancesheet!$G$59</f>
        <v>#DIV/0!</v>
      </c>
    </row>
    <row r="15" spans="1:16">
      <c r="A15" s="510">
        <v>6</v>
      </c>
      <c r="B15" s="511"/>
      <c r="C15" s="1022"/>
      <c r="D15" s="479"/>
      <c r="E15" s="512"/>
      <c r="F15" s="924"/>
      <c r="G15" s="490"/>
      <c r="H15" s="490"/>
      <c r="I15" s="490"/>
      <c r="J15" s="491"/>
      <c r="K15" s="492"/>
      <c r="L15" s="492"/>
      <c r="M15" s="504"/>
      <c r="N15" s="930" t="e">
        <f>+L15/Balancesheet!$G$59</f>
        <v>#DIV/0!</v>
      </c>
      <c r="O15" s="913">
        <f t="shared" si="0"/>
        <v>0</v>
      </c>
      <c r="P15" s="932" t="e">
        <f>+O15/Balancesheet!$G$59</f>
        <v>#DIV/0!</v>
      </c>
    </row>
    <row r="16" spans="1:16">
      <c r="A16" s="510">
        <v>7</v>
      </c>
      <c r="B16" s="511"/>
      <c r="C16" s="1022"/>
      <c r="D16" s="479"/>
      <c r="E16" s="512"/>
      <c r="F16" s="924"/>
      <c r="G16" s="490"/>
      <c r="H16" s="490"/>
      <c r="I16" s="490"/>
      <c r="J16" s="491"/>
      <c r="K16" s="492"/>
      <c r="L16" s="492"/>
      <c r="M16" s="504"/>
      <c r="N16" s="930" t="e">
        <f>+L16/Balancesheet!$G$59</f>
        <v>#DIV/0!</v>
      </c>
      <c r="O16" s="913">
        <f t="shared" si="0"/>
        <v>0</v>
      </c>
      <c r="P16" s="932" t="e">
        <f>+O16/Balancesheet!$G$59</f>
        <v>#DIV/0!</v>
      </c>
    </row>
    <row r="17" spans="1:16">
      <c r="A17" s="510">
        <v>8</v>
      </c>
      <c r="B17" s="511"/>
      <c r="C17" s="1022"/>
      <c r="D17" s="479"/>
      <c r="E17" s="512"/>
      <c r="F17" s="924"/>
      <c r="G17" s="490"/>
      <c r="H17" s="490"/>
      <c r="I17" s="490"/>
      <c r="J17" s="491"/>
      <c r="K17" s="492"/>
      <c r="L17" s="492"/>
      <c r="M17" s="504"/>
      <c r="N17" s="930" t="e">
        <f>+L17/Balancesheet!$G$59</f>
        <v>#DIV/0!</v>
      </c>
      <c r="O17" s="913">
        <f t="shared" si="0"/>
        <v>0</v>
      </c>
      <c r="P17" s="932" t="e">
        <f>+O17/Balancesheet!$G$59</f>
        <v>#DIV/0!</v>
      </c>
    </row>
    <row r="18" spans="1:16">
      <c r="A18" s="510">
        <v>9</v>
      </c>
      <c r="B18" s="511"/>
      <c r="C18" s="1022"/>
      <c r="D18" s="479"/>
      <c r="E18" s="512"/>
      <c r="F18" s="924"/>
      <c r="G18" s="490"/>
      <c r="H18" s="490"/>
      <c r="I18" s="490"/>
      <c r="J18" s="491"/>
      <c r="K18" s="492"/>
      <c r="L18" s="492"/>
      <c r="M18" s="504"/>
      <c r="N18" s="930" t="e">
        <f>+L18/Balancesheet!$G$59</f>
        <v>#DIV/0!</v>
      </c>
      <c r="O18" s="913">
        <f t="shared" si="0"/>
        <v>0</v>
      </c>
      <c r="P18" s="932" t="e">
        <f>+O18/Balancesheet!$G$59</f>
        <v>#DIV/0!</v>
      </c>
    </row>
    <row r="19" spans="1:16">
      <c r="A19" s="510">
        <v>10</v>
      </c>
      <c r="B19" s="511"/>
      <c r="C19" s="1022"/>
      <c r="D19" s="479"/>
      <c r="E19" s="512"/>
      <c r="F19" s="924"/>
      <c r="G19" s="490"/>
      <c r="H19" s="490"/>
      <c r="I19" s="490"/>
      <c r="J19" s="491"/>
      <c r="K19" s="492"/>
      <c r="L19" s="492"/>
      <c r="M19" s="504"/>
      <c r="N19" s="930" t="e">
        <f>+L19/Balancesheet!$G$59</f>
        <v>#DIV/0!</v>
      </c>
      <c r="O19" s="913">
        <f t="shared" si="0"/>
        <v>0</v>
      </c>
      <c r="P19" s="932" t="e">
        <f>+O19/Balancesheet!$G$59</f>
        <v>#DIV/0!</v>
      </c>
    </row>
    <row r="20" spans="1:16">
      <c r="A20" s="510">
        <v>11</v>
      </c>
      <c r="B20" s="511"/>
      <c r="C20" s="1022"/>
      <c r="D20" s="479"/>
      <c r="E20" s="512"/>
      <c r="F20" s="924"/>
      <c r="G20" s="490"/>
      <c r="H20" s="490"/>
      <c r="I20" s="490"/>
      <c r="J20" s="491"/>
      <c r="K20" s="492"/>
      <c r="L20" s="492"/>
      <c r="M20" s="504"/>
      <c r="N20" s="930" t="e">
        <f>+L20/Balancesheet!$G$59</f>
        <v>#DIV/0!</v>
      </c>
      <c r="O20" s="913">
        <f t="shared" si="0"/>
        <v>0</v>
      </c>
      <c r="P20" s="932" t="e">
        <f>+O20/Balancesheet!$G$59</f>
        <v>#DIV/0!</v>
      </c>
    </row>
    <row r="21" spans="1:16">
      <c r="A21" s="510">
        <v>12</v>
      </c>
      <c r="B21" s="511"/>
      <c r="C21" s="1022"/>
      <c r="D21" s="479"/>
      <c r="E21" s="512"/>
      <c r="F21" s="924"/>
      <c r="G21" s="490"/>
      <c r="H21" s="490"/>
      <c r="I21" s="490"/>
      <c r="J21" s="491"/>
      <c r="K21" s="492"/>
      <c r="L21" s="492"/>
      <c r="M21" s="504"/>
      <c r="N21" s="930" t="e">
        <f>+L21/Balancesheet!$G$59</f>
        <v>#DIV/0!</v>
      </c>
      <c r="O21" s="913">
        <f t="shared" si="0"/>
        <v>0</v>
      </c>
      <c r="P21" s="932" t="e">
        <f>+O21/Balancesheet!$G$59</f>
        <v>#DIV/0!</v>
      </c>
    </row>
    <row r="22" spans="1:16">
      <c r="A22" s="510">
        <v>13</v>
      </c>
      <c r="B22" s="511"/>
      <c r="C22" s="1022"/>
      <c r="D22" s="479"/>
      <c r="E22" s="512"/>
      <c r="F22" s="924"/>
      <c r="G22" s="490"/>
      <c r="H22" s="490"/>
      <c r="I22" s="490"/>
      <c r="J22" s="491"/>
      <c r="K22" s="492"/>
      <c r="L22" s="492"/>
      <c r="M22" s="504"/>
      <c r="N22" s="930" t="e">
        <f>+L22/Balancesheet!$G$59</f>
        <v>#DIV/0!</v>
      </c>
      <c r="O22" s="913">
        <f t="shared" si="0"/>
        <v>0</v>
      </c>
      <c r="P22" s="932" t="e">
        <f>+O22/Balancesheet!$G$59</f>
        <v>#DIV/0!</v>
      </c>
    </row>
    <row r="23" spans="1:16">
      <c r="A23" s="510">
        <v>14</v>
      </c>
      <c r="B23" s="511"/>
      <c r="C23" s="1022"/>
      <c r="D23" s="479"/>
      <c r="E23" s="512"/>
      <c r="F23" s="924"/>
      <c r="G23" s="490"/>
      <c r="H23" s="490"/>
      <c r="I23" s="490"/>
      <c r="J23" s="491"/>
      <c r="K23" s="492"/>
      <c r="L23" s="492"/>
      <c r="M23" s="504"/>
      <c r="N23" s="930" t="e">
        <f>+L23/Balancesheet!$G$59</f>
        <v>#DIV/0!</v>
      </c>
      <c r="O23" s="913">
        <f t="shared" si="0"/>
        <v>0</v>
      </c>
      <c r="P23" s="932" t="e">
        <f>+O23/Balancesheet!$G$59</f>
        <v>#DIV/0!</v>
      </c>
    </row>
    <row r="24" spans="1:16">
      <c r="A24" s="510">
        <v>15</v>
      </c>
      <c r="B24" s="511"/>
      <c r="C24" s="1022"/>
      <c r="D24" s="479"/>
      <c r="E24" s="512"/>
      <c r="F24" s="924"/>
      <c r="G24" s="490"/>
      <c r="H24" s="490"/>
      <c r="I24" s="490"/>
      <c r="J24" s="491"/>
      <c r="K24" s="492"/>
      <c r="L24" s="492"/>
      <c r="M24" s="504"/>
      <c r="N24" s="930" t="e">
        <f>+L24/Balancesheet!$G$59</f>
        <v>#DIV/0!</v>
      </c>
      <c r="O24" s="913">
        <f t="shared" si="0"/>
        <v>0</v>
      </c>
      <c r="P24" s="932" t="e">
        <f>+O24/Balancesheet!$G$59</f>
        <v>#DIV/0!</v>
      </c>
    </row>
    <row r="25" spans="1:16">
      <c r="A25" s="510">
        <v>16</v>
      </c>
      <c r="B25" s="511"/>
      <c r="C25" s="1022"/>
      <c r="D25" s="479"/>
      <c r="E25" s="512"/>
      <c r="F25" s="924"/>
      <c r="G25" s="490"/>
      <c r="H25" s="490"/>
      <c r="I25" s="490"/>
      <c r="J25" s="491"/>
      <c r="K25" s="492"/>
      <c r="L25" s="492"/>
      <c r="M25" s="504"/>
      <c r="N25" s="930" t="e">
        <f>+L25/Balancesheet!$G$59</f>
        <v>#DIV/0!</v>
      </c>
      <c r="O25" s="913">
        <f t="shared" si="0"/>
        <v>0</v>
      </c>
      <c r="P25" s="932" t="e">
        <f>+O25/Balancesheet!$G$59</f>
        <v>#DIV/0!</v>
      </c>
    </row>
    <row r="26" spans="1:16">
      <c r="A26" s="510">
        <v>17</v>
      </c>
      <c r="B26" s="511"/>
      <c r="C26" s="1022"/>
      <c r="D26" s="479"/>
      <c r="E26" s="512"/>
      <c r="F26" s="924"/>
      <c r="G26" s="490"/>
      <c r="H26" s="490"/>
      <c r="I26" s="490"/>
      <c r="J26" s="491"/>
      <c r="K26" s="492"/>
      <c r="L26" s="492"/>
      <c r="M26" s="504"/>
      <c r="N26" s="930" t="e">
        <f>+L26/Balancesheet!$G$59</f>
        <v>#DIV/0!</v>
      </c>
      <c r="O26" s="913">
        <f t="shared" si="0"/>
        <v>0</v>
      </c>
      <c r="P26" s="932" t="e">
        <f>+O26/Balancesheet!$G$59</f>
        <v>#DIV/0!</v>
      </c>
    </row>
    <row r="27" spans="1:16">
      <c r="A27" s="510">
        <v>18</v>
      </c>
      <c r="B27" s="511"/>
      <c r="C27" s="1022"/>
      <c r="D27" s="479"/>
      <c r="E27" s="512"/>
      <c r="F27" s="924"/>
      <c r="G27" s="490"/>
      <c r="H27" s="490"/>
      <c r="I27" s="490"/>
      <c r="J27" s="491"/>
      <c r="K27" s="492"/>
      <c r="L27" s="492"/>
      <c r="M27" s="504"/>
      <c r="N27" s="930" t="e">
        <f>+L27/Balancesheet!$G$59</f>
        <v>#DIV/0!</v>
      </c>
      <c r="O27" s="913">
        <f t="shared" si="0"/>
        <v>0</v>
      </c>
      <c r="P27" s="932" t="e">
        <f>+O27/Balancesheet!$G$59</f>
        <v>#DIV/0!</v>
      </c>
    </row>
    <row r="28" spans="1:16">
      <c r="A28" s="510">
        <v>19</v>
      </c>
      <c r="B28" s="511"/>
      <c r="C28" s="1022"/>
      <c r="D28" s="479"/>
      <c r="E28" s="512"/>
      <c r="F28" s="924"/>
      <c r="G28" s="490"/>
      <c r="H28" s="490"/>
      <c r="I28" s="490"/>
      <c r="J28" s="491"/>
      <c r="K28" s="492"/>
      <c r="L28" s="492"/>
      <c r="M28" s="504"/>
      <c r="N28" s="930" t="e">
        <f>+L28/Balancesheet!$G$59</f>
        <v>#DIV/0!</v>
      </c>
      <c r="O28" s="913">
        <f t="shared" si="0"/>
        <v>0</v>
      </c>
      <c r="P28" s="932" t="e">
        <f>+O28/Balancesheet!$G$59</f>
        <v>#DIV/0!</v>
      </c>
    </row>
    <row r="29" spans="1:16">
      <c r="A29" s="513">
        <v>20</v>
      </c>
      <c r="B29" s="511"/>
      <c r="C29" s="1022"/>
      <c r="D29" s="479"/>
      <c r="E29" s="512"/>
      <c r="F29" s="924"/>
      <c r="G29" s="490"/>
      <c r="H29" s="490"/>
      <c r="I29" s="490"/>
      <c r="J29" s="491"/>
      <c r="K29" s="492"/>
      <c r="L29" s="492"/>
      <c r="M29" s="504"/>
      <c r="N29" s="930" t="e">
        <f>+L29/Balancesheet!$G$59</f>
        <v>#DIV/0!</v>
      </c>
      <c r="O29" s="913">
        <f t="shared" si="0"/>
        <v>0</v>
      </c>
      <c r="P29" s="932" t="e">
        <f>+O29/Balancesheet!$G$59</f>
        <v>#DIV/0!</v>
      </c>
    </row>
    <row r="30" spans="1:16">
      <c r="A30" s="510">
        <v>21</v>
      </c>
      <c r="B30" s="511"/>
      <c r="C30" s="1022"/>
      <c r="D30" s="479"/>
      <c r="E30" s="512"/>
      <c r="F30" s="924"/>
      <c r="G30" s="490"/>
      <c r="H30" s="490"/>
      <c r="I30" s="490"/>
      <c r="J30" s="491"/>
      <c r="K30" s="492"/>
      <c r="L30" s="492"/>
      <c r="M30" s="504"/>
      <c r="N30" s="930" t="e">
        <f>+L30/Balancesheet!$G$59</f>
        <v>#DIV/0!</v>
      </c>
      <c r="O30" s="913">
        <f t="shared" si="0"/>
        <v>0</v>
      </c>
      <c r="P30" s="932" t="e">
        <f>+O30/Balancesheet!$G$59</f>
        <v>#DIV/0!</v>
      </c>
    </row>
    <row r="31" spans="1:16">
      <c r="A31" s="513">
        <v>22</v>
      </c>
      <c r="B31" s="511"/>
      <c r="C31" s="1022"/>
      <c r="D31" s="479"/>
      <c r="E31" s="512"/>
      <c r="F31" s="924"/>
      <c r="G31" s="490"/>
      <c r="H31" s="490"/>
      <c r="I31" s="490"/>
      <c r="J31" s="491"/>
      <c r="K31" s="492"/>
      <c r="L31" s="492"/>
      <c r="M31" s="504"/>
      <c r="N31" s="930" t="e">
        <f>+L31/Balancesheet!$G$59</f>
        <v>#DIV/0!</v>
      </c>
      <c r="O31" s="913">
        <f t="shared" si="0"/>
        <v>0</v>
      </c>
      <c r="P31" s="932" t="e">
        <f>+O31/Balancesheet!$G$59</f>
        <v>#DIV/0!</v>
      </c>
    </row>
    <row r="32" spans="1:16">
      <c r="A32" s="510">
        <v>23</v>
      </c>
      <c r="B32" s="511"/>
      <c r="C32" s="1022"/>
      <c r="D32" s="479"/>
      <c r="E32" s="512"/>
      <c r="F32" s="924"/>
      <c r="G32" s="490"/>
      <c r="H32" s="490"/>
      <c r="I32" s="490"/>
      <c r="J32" s="491"/>
      <c r="K32" s="492"/>
      <c r="L32" s="492"/>
      <c r="M32" s="504"/>
      <c r="N32" s="930" t="e">
        <f>+L32/Balancesheet!$G$59</f>
        <v>#DIV/0!</v>
      </c>
      <c r="O32" s="913">
        <f t="shared" si="0"/>
        <v>0</v>
      </c>
      <c r="P32" s="932" t="e">
        <f>+O32/Balancesheet!$G$59</f>
        <v>#DIV/0!</v>
      </c>
    </row>
    <row r="33" spans="1:16">
      <c r="A33" s="513">
        <v>24</v>
      </c>
      <c r="B33" s="511"/>
      <c r="C33" s="1022"/>
      <c r="D33" s="479"/>
      <c r="E33" s="512"/>
      <c r="F33" s="924"/>
      <c r="G33" s="490"/>
      <c r="H33" s="490"/>
      <c r="I33" s="490"/>
      <c r="J33" s="491"/>
      <c r="K33" s="492"/>
      <c r="L33" s="492"/>
      <c r="M33" s="504"/>
      <c r="N33" s="930" t="e">
        <f>+L33/Balancesheet!$G$59</f>
        <v>#DIV/0!</v>
      </c>
      <c r="O33" s="913">
        <f t="shared" si="0"/>
        <v>0</v>
      </c>
      <c r="P33" s="932" t="e">
        <f>+O33/Balancesheet!$G$59</f>
        <v>#DIV/0!</v>
      </c>
    </row>
    <row r="34" spans="1:16">
      <c r="A34" s="510">
        <v>25</v>
      </c>
      <c r="B34" s="511"/>
      <c r="C34" s="1022"/>
      <c r="D34" s="479"/>
      <c r="E34" s="512"/>
      <c r="F34" s="924"/>
      <c r="G34" s="490"/>
      <c r="H34" s="490"/>
      <c r="I34" s="490"/>
      <c r="J34" s="491"/>
      <c r="K34" s="492"/>
      <c r="L34" s="492"/>
      <c r="M34" s="504"/>
      <c r="N34" s="930" t="e">
        <f>+L34/Balancesheet!$G$59</f>
        <v>#DIV/0!</v>
      </c>
      <c r="O34" s="913">
        <f t="shared" si="0"/>
        <v>0</v>
      </c>
      <c r="P34" s="932" t="e">
        <f>+O34/Balancesheet!$G$59</f>
        <v>#DIV/0!</v>
      </c>
    </row>
    <row r="35" spans="1:16">
      <c r="A35" s="513">
        <v>26</v>
      </c>
      <c r="B35" s="511"/>
      <c r="C35" s="1022"/>
      <c r="D35" s="479"/>
      <c r="E35" s="512"/>
      <c r="F35" s="924"/>
      <c r="G35" s="490"/>
      <c r="H35" s="490"/>
      <c r="I35" s="490"/>
      <c r="J35" s="491"/>
      <c r="K35" s="492"/>
      <c r="L35" s="492"/>
      <c r="M35" s="504"/>
      <c r="N35" s="930" t="e">
        <f>+L35/Balancesheet!$G$59</f>
        <v>#DIV/0!</v>
      </c>
      <c r="O35" s="913">
        <f t="shared" si="0"/>
        <v>0</v>
      </c>
      <c r="P35" s="932" t="e">
        <f>+O35/Balancesheet!$G$59</f>
        <v>#DIV/0!</v>
      </c>
    </row>
    <row r="36" spans="1:16">
      <c r="A36" s="510">
        <v>27</v>
      </c>
      <c r="B36" s="511"/>
      <c r="C36" s="1022"/>
      <c r="D36" s="479"/>
      <c r="E36" s="512"/>
      <c r="F36" s="924"/>
      <c r="G36" s="490"/>
      <c r="H36" s="490"/>
      <c r="I36" s="490"/>
      <c r="J36" s="491"/>
      <c r="K36" s="492"/>
      <c r="L36" s="492"/>
      <c r="M36" s="504"/>
      <c r="N36" s="930" t="e">
        <f>+L36/Balancesheet!$G$59</f>
        <v>#DIV/0!</v>
      </c>
      <c r="O36" s="913">
        <f t="shared" si="0"/>
        <v>0</v>
      </c>
      <c r="P36" s="932" t="e">
        <f>+O36/Balancesheet!$G$59</f>
        <v>#DIV/0!</v>
      </c>
    </row>
    <row r="37" spans="1:16">
      <c r="A37" s="513">
        <v>28</v>
      </c>
      <c r="B37" s="511"/>
      <c r="C37" s="1022"/>
      <c r="D37" s="479"/>
      <c r="E37" s="512"/>
      <c r="F37" s="924"/>
      <c r="G37" s="490"/>
      <c r="H37" s="490"/>
      <c r="I37" s="490"/>
      <c r="J37" s="491"/>
      <c r="K37" s="492"/>
      <c r="L37" s="492"/>
      <c r="M37" s="504"/>
      <c r="N37" s="930" t="e">
        <f>+L37/Balancesheet!$G$59</f>
        <v>#DIV/0!</v>
      </c>
      <c r="O37" s="913">
        <f t="shared" si="0"/>
        <v>0</v>
      </c>
      <c r="P37" s="932" t="e">
        <f>+O37/Balancesheet!$G$59</f>
        <v>#DIV/0!</v>
      </c>
    </row>
    <row r="38" spans="1:16">
      <c r="A38" s="510">
        <v>29</v>
      </c>
      <c r="B38" s="511"/>
      <c r="C38" s="1022"/>
      <c r="D38" s="479"/>
      <c r="E38" s="512"/>
      <c r="F38" s="924"/>
      <c r="G38" s="490"/>
      <c r="H38" s="490"/>
      <c r="I38" s="490"/>
      <c r="J38" s="491"/>
      <c r="K38" s="492"/>
      <c r="L38" s="492"/>
      <c r="M38" s="504"/>
      <c r="N38" s="930" t="e">
        <f>+L38/Balancesheet!$G$59</f>
        <v>#DIV/0!</v>
      </c>
      <c r="O38" s="913">
        <f t="shared" si="0"/>
        <v>0</v>
      </c>
      <c r="P38" s="932" t="e">
        <f>+O38/Balancesheet!$G$59</f>
        <v>#DIV/0!</v>
      </c>
    </row>
    <row r="39" spans="1:16">
      <c r="A39" s="513">
        <v>30</v>
      </c>
      <c r="B39" s="511"/>
      <c r="C39" s="1022"/>
      <c r="D39" s="479"/>
      <c r="E39" s="512"/>
      <c r="F39" s="924"/>
      <c r="G39" s="490"/>
      <c r="H39" s="490"/>
      <c r="I39" s="490"/>
      <c r="J39" s="491"/>
      <c r="K39" s="492"/>
      <c r="L39" s="492"/>
      <c r="M39" s="504"/>
      <c r="N39" s="930" t="e">
        <f>+L39/Balancesheet!$G$59</f>
        <v>#DIV/0!</v>
      </c>
      <c r="O39" s="913">
        <f t="shared" si="0"/>
        <v>0</v>
      </c>
      <c r="P39" s="932" t="e">
        <f>+O39/Balancesheet!$G$59</f>
        <v>#DIV/0!</v>
      </c>
    </row>
    <row r="40" spans="1:16">
      <c r="A40" s="510">
        <v>31</v>
      </c>
      <c r="B40" s="511"/>
      <c r="C40" s="1022"/>
      <c r="D40" s="479"/>
      <c r="E40" s="512"/>
      <c r="F40" s="924"/>
      <c r="G40" s="490"/>
      <c r="H40" s="490"/>
      <c r="I40" s="490"/>
      <c r="J40" s="491"/>
      <c r="K40" s="492"/>
      <c r="L40" s="492"/>
      <c r="M40" s="504"/>
      <c r="N40" s="930" t="e">
        <f>+L40/Balancesheet!$G$59</f>
        <v>#DIV/0!</v>
      </c>
      <c r="O40" s="913">
        <f t="shared" si="0"/>
        <v>0</v>
      </c>
      <c r="P40" s="932" t="e">
        <f>+O40/Balancesheet!$G$59</f>
        <v>#DIV/0!</v>
      </c>
    </row>
    <row r="41" spans="1:16">
      <c r="A41" s="513">
        <v>32</v>
      </c>
      <c r="B41" s="511"/>
      <c r="C41" s="1022"/>
      <c r="D41" s="479"/>
      <c r="E41" s="512"/>
      <c r="F41" s="924"/>
      <c r="G41" s="490"/>
      <c r="H41" s="490"/>
      <c r="I41" s="490"/>
      <c r="J41" s="491"/>
      <c r="K41" s="492"/>
      <c r="L41" s="492"/>
      <c r="M41" s="504"/>
      <c r="N41" s="930" t="e">
        <f>+L41/Balancesheet!$G$59</f>
        <v>#DIV/0!</v>
      </c>
      <c r="O41" s="913">
        <f t="shared" si="0"/>
        <v>0</v>
      </c>
      <c r="P41" s="932" t="e">
        <f>+O41/Balancesheet!$G$59</f>
        <v>#DIV/0!</v>
      </c>
    </row>
    <row r="42" spans="1:16">
      <c r="A42" s="510">
        <v>33</v>
      </c>
      <c r="B42" s="511"/>
      <c r="C42" s="1022"/>
      <c r="D42" s="479"/>
      <c r="E42" s="512"/>
      <c r="F42" s="924"/>
      <c r="G42" s="490"/>
      <c r="H42" s="490"/>
      <c r="I42" s="490"/>
      <c r="J42" s="491"/>
      <c r="K42" s="492"/>
      <c r="L42" s="492"/>
      <c r="M42" s="504"/>
      <c r="N42" s="930" t="e">
        <f>+L42/Balancesheet!$G$59</f>
        <v>#DIV/0!</v>
      </c>
      <c r="O42" s="913">
        <f t="shared" si="0"/>
        <v>0</v>
      </c>
      <c r="P42" s="932" t="e">
        <f>+O42/Balancesheet!$G$59</f>
        <v>#DIV/0!</v>
      </c>
    </row>
    <row r="43" spans="1:16">
      <c r="A43" s="513">
        <v>34</v>
      </c>
      <c r="B43" s="511"/>
      <c r="C43" s="1022"/>
      <c r="D43" s="479"/>
      <c r="E43" s="512"/>
      <c r="F43" s="924"/>
      <c r="G43" s="490"/>
      <c r="H43" s="490"/>
      <c r="I43" s="490"/>
      <c r="J43" s="491"/>
      <c r="K43" s="492"/>
      <c r="L43" s="492"/>
      <c r="M43" s="504"/>
      <c r="N43" s="930" t="e">
        <f>+L43/Balancesheet!$G$59</f>
        <v>#DIV/0!</v>
      </c>
      <c r="O43" s="913">
        <f t="shared" si="0"/>
        <v>0</v>
      </c>
      <c r="P43" s="932" t="e">
        <f>+O43/Balancesheet!$G$59</f>
        <v>#DIV/0!</v>
      </c>
    </row>
    <row r="44" spans="1:16">
      <c r="A44" s="510">
        <v>35</v>
      </c>
      <c r="B44" s="511"/>
      <c r="C44" s="1022"/>
      <c r="D44" s="479"/>
      <c r="E44" s="512"/>
      <c r="F44" s="924"/>
      <c r="G44" s="490"/>
      <c r="H44" s="490"/>
      <c r="I44" s="490"/>
      <c r="J44" s="491"/>
      <c r="K44" s="492"/>
      <c r="L44" s="492"/>
      <c r="M44" s="504"/>
      <c r="N44" s="930" t="e">
        <f>+L44/Balancesheet!$G$59</f>
        <v>#DIV/0!</v>
      </c>
      <c r="O44" s="913">
        <f t="shared" si="0"/>
        <v>0</v>
      </c>
      <c r="P44" s="932" t="e">
        <f>+O44/Balancesheet!$G$59</f>
        <v>#DIV/0!</v>
      </c>
    </row>
    <row r="45" spans="1:16">
      <c r="A45" s="513">
        <v>36</v>
      </c>
      <c r="B45" s="511"/>
      <c r="C45" s="1022"/>
      <c r="D45" s="479"/>
      <c r="E45" s="512"/>
      <c r="F45" s="924"/>
      <c r="G45" s="490"/>
      <c r="H45" s="490"/>
      <c r="I45" s="490"/>
      <c r="J45" s="491"/>
      <c r="K45" s="492"/>
      <c r="L45" s="492"/>
      <c r="M45" s="504"/>
      <c r="N45" s="930" t="e">
        <f>+L45/Balancesheet!$G$59</f>
        <v>#DIV/0!</v>
      </c>
      <c r="O45" s="913">
        <f t="shared" si="0"/>
        <v>0</v>
      </c>
      <c r="P45" s="932" t="e">
        <f>+O45/Balancesheet!$G$59</f>
        <v>#DIV/0!</v>
      </c>
    </row>
    <row r="46" spans="1:16">
      <c r="A46" s="510">
        <v>37</v>
      </c>
      <c r="B46" s="511"/>
      <c r="C46" s="1022"/>
      <c r="D46" s="479"/>
      <c r="E46" s="512"/>
      <c r="F46" s="924"/>
      <c r="G46" s="490"/>
      <c r="H46" s="490"/>
      <c r="I46" s="490"/>
      <c r="J46" s="491"/>
      <c r="K46" s="492"/>
      <c r="L46" s="492"/>
      <c r="M46" s="504"/>
      <c r="N46" s="930" t="e">
        <f>+L46/Balancesheet!$G$59</f>
        <v>#DIV/0!</v>
      </c>
      <c r="O46" s="913">
        <f t="shared" si="0"/>
        <v>0</v>
      </c>
      <c r="P46" s="932" t="e">
        <f>+O46/Balancesheet!$G$59</f>
        <v>#DIV/0!</v>
      </c>
    </row>
    <row r="47" spans="1:16">
      <c r="A47" s="513">
        <v>38</v>
      </c>
      <c r="B47" s="511"/>
      <c r="C47" s="1022"/>
      <c r="D47" s="479"/>
      <c r="E47" s="512"/>
      <c r="F47" s="924"/>
      <c r="G47" s="490"/>
      <c r="H47" s="490"/>
      <c r="I47" s="490"/>
      <c r="J47" s="491"/>
      <c r="K47" s="492"/>
      <c r="L47" s="492"/>
      <c r="M47" s="504"/>
      <c r="N47" s="930" t="e">
        <f>+L47/Balancesheet!$G$59</f>
        <v>#DIV/0!</v>
      </c>
      <c r="O47" s="913">
        <f t="shared" si="0"/>
        <v>0</v>
      </c>
      <c r="P47" s="932" t="e">
        <f>+O47/Balancesheet!$G$59</f>
        <v>#DIV/0!</v>
      </c>
    </row>
    <row r="48" spans="1:16">
      <c r="A48" s="510">
        <v>39</v>
      </c>
      <c r="B48" s="511"/>
      <c r="C48" s="1022"/>
      <c r="D48" s="479"/>
      <c r="E48" s="512"/>
      <c r="F48" s="924"/>
      <c r="G48" s="490"/>
      <c r="H48" s="490"/>
      <c r="I48" s="490"/>
      <c r="J48" s="491"/>
      <c r="K48" s="492"/>
      <c r="L48" s="492"/>
      <c r="M48" s="504"/>
      <c r="N48" s="930" t="e">
        <f>+L48/Balancesheet!$G$59</f>
        <v>#DIV/0!</v>
      </c>
      <c r="O48" s="913">
        <f t="shared" si="0"/>
        <v>0</v>
      </c>
      <c r="P48" s="932" t="e">
        <f>+O48/Balancesheet!$G$59</f>
        <v>#DIV/0!</v>
      </c>
    </row>
    <row r="49" spans="1:16" ht="13.5" thickBot="1">
      <c r="A49" s="513">
        <v>40</v>
      </c>
      <c r="B49" s="514"/>
      <c r="C49" s="1023"/>
      <c r="D49" s="479"/>
      <c r="E49" s="515"/>
      <c r="F49" s="924"/>
      <c r="G49" s="497"/>
      <c r="H49" s="497"/>
      <c r="I49" s="497"/>
      <c r="J49" s="491"/>
      <c r="K49" s="498"/>
      <c r="L49" s="498"/>
      <c r="M49" s="504"/>
      <c r="N49" s="930" t="e">
        <f>+L49/Balancesheet!$G$59</f>
        <v>#DIV/0!</v>
      </c>
      <c r="O49" s="913">
        <f t="shared" si="0"/>
        <v>0</v>
      </c>
      <c r="P49" s="932" t="e">
        <f>+O49/Balancesheet!$G$59</f>
        <v>#DIV/0!</v>
      </c>
    </row>
    <row r="50" spans="1:16" ht="15.75" customHeight="1" thickBot="1">
      <c r="A50" s="1600" t="s">
        <v>670</v>
      </c>
      <c r="B50" s="1601"/>
      <c r="C50" s="1601"/>
      <c r="D50" s="1602"/>
      <c r="E50" s="499">
        <f>SUM(E10:E49)</f>
        <v>0</v>
      </c>
      <c r="F50" s="906"/>
      <c r="G50" s="1574"/>
      <c r="H50" s="1574"/>
      <c r="I50" s="1574"/>
      <c r="J50" s="1576"/>
      <c r="K50" s="500">
        <f>SUM(K10:K49)</f>
        <v>0</v>
      </c>
      <c r="L50" s="500">
        <f>SUM(L10:L49)</f>
        <v>0</v>
      </c>
      <c r="M50" s="501"/>
      <c r="N50" s="931" t="e">
        <f>SUM(N10:N49)</f>
        <v>#DIV/0!</v>
      </c>
      <c r="O50" s="499"/>
      <c r="P50" s="915"/>
    </row>
    <row r="51" spans="1:16" ht="15" customHeight="1">
      <c r="A51" s="7"/>
      <c r="B51" s="7"/>
      <c r="C51" s="7"/>
      <c r="D51" s="7"/>
      <c r="E51" s="503"/>
      <c r="F51" s="925"/>
      <c r="G51" s="503"/>
      <c r="H51" s="503"/>
      <c r="I51" s="503"/>
      <c r="J51" s="503"/>
      <c r="K51" s="1595" t="s">
        <v>909</v>
      </c>
      <c r="L51" s="1595"/>
      <c r="M51" s="1595"/>
      <c r="N51" s="928" t="e">
        <f>MAX(N10:N49)</f>
        <v>#DIV/0!</v>
      </c>
      <c r="O51" s="911" t="s">
        <v>910</v>
      </c>
      <c r="P51" s="916" t="e">
        <f>MAX(P10:P49)</f>
        <v>#DIV/0!</v>
      </c>
    </row>
    <row r="52" spans="1:16">
      <c r="A52" s="7"/>
      <c r="B52" s="7"/>
      <c r="C52" s="7"/>
      <c r="D52" s="7"/>
      <c r="E52" s="7"/>
      <c r="F52" s="29"/>
      <c r="G52" s="7"/>
      <c r="H52" s="7"/>
      <c r="I52" s="7"/>
      <c r="J52" s="7"/>
      <c r="K52" s="7"/>
      <c r="L52" s="7"/>
      <c r="M52" s="7"/>
      <c r="N52" s="516"/>
    </row>
    <row r="53" spans="1:16">
      <c r="A53" s="7"/>
      <c r="B53" s="1435" t="s">
        <v>647</v>
      </c>
      <c r="C53" s="1435"/>
      <c r="D53" s="1435"/>
      <c r="E53" s="1435"/>
      <c r="F53" s="1435"/>
      <c r="G53" s="1435"/>
      <c r="H53" s="1435"/>
      <c r="I53" s="1435"/>
      <c r="J53" s="1435"/>
      <c r="K53" s="1435"/>
      <c r="L53" s="1435"/>
      <c r="M53" s="1435"/>
      <c r="N53" s="1435"/>
      <c r="O53" s="1435"/>
      <c r="P53" s="1435"/>
    </row>
    <row r="54" spans="1:16" ht="15">
      <c r="A54" s="7"/>
      <c r="B54" s="1554" t="s">
        <v>911</v>
      </c>
      <c r="C54" s="1424"/>
      <c r="D54" s="1424"/>
      <c r="E54" s="1424"/>
      <c r="F54" s="1424"/>
      <c r="G54" s="1424"/>
      <c r="H54" s="1424"/>
      <c r="I54" s="1424"/>
      <c r="J54" s="1424"/>
      <c r="K54" s="1424"/>
      <c r="L54" s="1424"/>
      <c r="M54" s="1424"/>
      <c r="N54" s="1424"/>
      <c r="O54" s="1424"/>
      <c r="P54" s="1424"/>
    </row>
    <row r="55" spans="1:16" ht="15">
      <c r="A55" s="7"/>
      <c r="B55" s="1554" t="s">
        <v>880</v>
      </c>
      <c r="C55" s="1424"/>
      <c r="D55" s="1424"/>
      <c r="E55" s="1424"/>
      <c r="F55" s="1424"/>
      <c r="G55" s="1424"/>
      <c r="H55" s="1424"/>
      <c r="I55" s="1424"/>
      <c r="J55" s="1424"/>
      <c r="K55" s="1424"/>
      <c r="L55" s="1424"/>
      <c r="M55" s="1424"/>
      <c r="N55" s="1424"/>
      <c r="O55" s="1424"/>
      <c r="P55" s="1424"/>
    </row>
    <row r="56" spans="1:16" ht="15">
      <c r="A56" s="7"/>
      <c r="B56" s="1539" t="s">
        <v>912</v>
      </c>
      <c r="C56" s="1424"/>
      <c r="D56" s="1424"/>
      <c r="E56" s="1424"/>
      <c r="F56" s="1424"/>
      <c r="G56" s="1424"/>
      <c r="H56" s="1424"/>
      <c r="I56" s="1424"/>
      <c r="J56" s="1424"/>
      <c r="K56" s="1424"/>
      <c r="L56" s="1424"/>
      <c r="M56" s="1424"/>
      <c r="N56" s="1424"/>
      <c r="O56" s="1424"/>
      <c r="P56" s="1424"/>
    </row>
    <row r="57" spans="1:16" ht="15">
      <c r="A57" s="7"/>
      <c r="B57" s="1539" t="s">
        <v>913</v>
      </c>
      <c r="C57" s="1424"/>
      <c r="D57" s="1424"/>
      <c r="E57" s="1424"/>
      <c r="F57" s="1424"/>
      <c r="G57" s="1424"/>
      <c r="H57" s="1424"/>
      <c r="I57" s="1424"/>
      <c r="J57" s="1424"/>
      <c r="K57" s="1424"/>
      <c r="L57" s="1424"/>
      <c r="M57" s="1424"/>
      <c r="N57" s="1424"/>
      <c r="O57" s="1424"/>
      <c r="P57" s="1424"/>
    </row>
    <row r="58" spans="1:16" ht="15">
      <c r="A58" s="7"/>
      <c r="B58" s="1539"/>
      <c r="C58" s="1424"/>
      <c r="D58" s="1424"/>
      <c r="E58" s="1424"/>
      <c r="F58" s="1424"/>
      <c r="G58" s="1424"/>
      <c r="H58" s="1424"/>
      <c r="I58" s="1424"/>
      <c r="J58" s="1424"/>
      <c r="K58" s="1424"/>
      <c r="L58" s="1424"/>
      <c r="M58" s="1424"/>
      <c r="N58" s="1424"/>
      <c r="O58" s="1424"/>
      <c r="P58" s="1424"/>
    </row>
    <row r="59" spans="1:16">
      <c r="A59" s="7"/>
      <c r="B59" s="966"/>
      <c r="C59" s="966"/>
      <c r="D59" s="966"/>
      <c r="E59" s="966"/>
      <c r="F59" s="966"/>
      <c r="G59" s="966"/>
      <c r="H59" s="966"/>
      <c r="I59" s="966"/>
      <c r="J59" s="966"/>
      <c r="K59" s="966"/>
      <c r="L59" s="966"/>
      <c r="M59" s="966"/>
      <c r="N59" s="966"/>
      <c r="O59" s="966"/>
      <c r="P59" s="966"/>
    </row>
    <row r="60" spans="1:16">
      <c r="A60" s="7"/>
      <c r="B60" s="966"/>
      <c r="C60" s="966"/>
      <c r="D60" s="966"/>
      <c r="E60" s="966"/>
      <c r="F60" s="966"/>
      <c r="G60" s="966"/>
      <c r="H60" s="966"/>
      <c r="I60" s="966"/>
      <c r="J60" s="966"/>
      <c r="K60" s="966"/>
      <c r="L60" s="966"/>
      <c r="M60" s="966"/>
      <c r="N60" s="966"/>
      <c r="O60" s="966"/>
      <c r="P60" s="966"/>
    </row>
    <row r="61" spans="1:16">
      <c r="A61" s="1420" t="s">
        <v>111</v>
      </c>
      <c r="B61" s="1420"/>
      <c r="C61" s="1420"/>
      <c r="D61" s="1420"/>
      <c r="E61" s="1420"/>
      <c r="F61" s="1420"/>
      <c r="G61" s="1420"/>
      <c r="H61" s="1420"/>
      <c r="I61" s="1420"/>
      <c r="J61" s="1420"/>
      <c r="K61" s="1420"/>
      <c r="L61" s="1420"/>
      <c r="M61" s="1420"/>
      <c r="N61" s="1420"/>
      <c r="O61" s="1420"/>
      <c r="P61" s="1420"/>
    </row>
    <row r="62" spans="1:16">
      <c r="A62" s="1432" t="s">
        <v>112</v>
      </c>
      <c r="B62" s="1432"/>
      <c r="C62" s="1432"/>
      <c r="D62" s="1432"/>
      <c r="E62" s="1432"/>
      <c r="F62" s="1432"/>
      <c r="G62" s="1432"/>
      <c r="H62" s="1432"/>
      <c r="I62" s="1432"/>
      <c r="J62" s="1432"/>
      <c r="K62" s="1432"/>
      <c r="L62" s="1432"/>
      <c r="M62" s="1432"/>
      <c r="N62" s="1432"/>
      <c r="O62" s="1432"/>
      <c r="P62" s="1432"/>
    </row>
    <row r="63" spans="1:16">
      <c r="A63" s="7"/>
      <c r="B63" s="7"/>
      <c r="C63" s="7"/>
      <c r="D63" s="7"/>
      <c r="E63" s="7"/>
      <c r="F63" s="29"/>
      <c r="G63" s="41"/>
      <c r="H63" s="7"/>
      <c r="J63" s="7"/>
      <c r="K63" s="7"/>
      <c r="L63" s="7"/>
      <c r="M63" s="7"/>
      <c r="N63" s="7"/>
    </row>
    <row r="64" spans="1:16">
      <c r="A64" s="7"/>
      <c r="B64" s="7"/>
      <c r="C64" s="7"/>
      <c r="D64" s="7"/>
      <c r="E64" s="7"/>
      <c r="F64" s="29"/>
      <c r="G64" s="41"/>
      <c r="I64" s="40" t="s">
        <v>392</v>
      </c>
      <c r="K64" s="7" t="str">
        <f>+STATISTICS!C112</f>
        <v>/Нэр/</v>
      </c>
      <c r="L64" s="1596"/>
      <c r="M64" s="1597"/>
      <c r="N64" s="7"/>
    </row>
    <row r="65" spans="7:11">
      <c r="G65" s="41"/>
      <c r="I65" s="42"/>
      <c r="K65" s="7"/>
    </row>
    <row r="66" spans="7:11">
      <c r="G66" s="41"/>
      <c r="I66" s="40" t="s">
        <v>115</v>
      </c>
      <c r="K66" s="7"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topLeftCell="A26" zoomScale="80" zoomScaleNormal="80" workbookViewId="0">
      <selection activeCell="I9" sqref="I9:I10"/>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3">
      <c r="A1" s="7"/>
      <c r="B1" s="29"/>
      <c r="C1" s="7"/>
      <c r="D1" s="7"/>
      <c r="E1" s="7"/>
      <c r="F1" s="7"/>
      <c r="H1" s="58"/>
      <c r="I1" s="58"/>
      <c r="J1" s="58"/>
      <c r="K1" s="58"/>
      <c r="M1" s="58" t="s">
        <v>34</v>
      </c>
    </row>
    <row r="2" spans="1:13">
      <c r="A2" s="7"/>
      <c r="B2" s="29"/>
      <c r="C2" s="7"/>
      <c r="D2" s="7"/>
      <c r="E2" s="7"/>
      <c r="F2" s="7"/>
      <c r="I2" s="58"/>
      <c r="J2" s="58"/>
      <c r="K2" s="58"/>
      <c r="M2" s="58" t="s">
        <v>914</v>
      </c>
    </row>
    <row r="3" spans="1:13">
      <c r="A3" s="7"/>
      <c r="B3" s="29"/>
      <c r="C3" s="7"/>
      <c r="D3" s="7"/>
      <c r="E3" s="7"/>
      <c r="F3" s="7"/>
      <c r="G3" s="7"/>
      <c r="H3" s="7"/>
      <c r="I3" s="7"/>
      <c r="J3" s="7"/>
      <c r="K3" s="7"/>
    </row>
    <row r="4" spans="1:13">
      <c r="A4" s="1420" t="s">
        <v>915</v>
      </c>
      <c r="B4" s="1420"/>
      <c r="C4" s="1420"/>
      <c r="D4" s="1420"/>
      <c r="E4" s="1420"/>
      <c r="F4" s="1420"/>
      <c r="G4" s="1420"/>
      <c r="H4" s="1420"/>
      <c r="I4" s="1420"/>
      <c r="J4" s="1420"/>
      <c r="K4" s="1420"/>
      <c r="L4" s="1420"/>
      <c r="M4" s="1420"/>
    </row>
    <row r="5" spans="1:13">
      <c r="A5" s="1421" t="str">
        <f>+STATISTICS!A5</f>
        <v>ХАДГАЛАМЖ, ЗЭЭЛИЙН ХОРШООНЫ НЭР</v>
      </c>
      <c r="B5" s="1421"/>
      <c r="C5" s="1421"/>
      <c r="D5" s="1421"/>
      <c r="E5" s="1421"/>
      <c r="F5" s="1421"/>
      <c r="G5" s="1421"/>
      <c r="H5" s="1421"/>
      <c r="I5" s="1421"/>
      <c r="J5" s="1421"/>
      <c r="K5" s="1421"/>
      <c r="L5" s="1421"/>
      <c r="M5" s="1421"/>
    </row>
    <row r="6" spans="1:13">
      <c r="A6" s="1420" t="s">
        <v>38</v>
      </c>
      <c r="B6" s="1420"/>
      <c r="C6" s="1420"/>
      <c r="D6" s="1420"/>
      <c r="E6" s="1420"/>
      <c r="F6" s="1420"/>
      <c r="G6" s="1420"/>
      <c r="H6" s="1420"/>
      <c r="I6" s="1420"/>
      <c r="J6" s="1420"/>
      <c r="K6" s="1420"/>
      <c r="L6" s="1420"/>
      <c r="M6" s="1420"/>
    </row>
    <row r="7" spans="1:13">
      <c r="A7" s="7"/>
      <c r="B7" s="29"/>
      <c r="C7" s="7"/>
      <c r="D7" s="7"/>
      <c r="E7" s="7"/>
      <c r="F7" s="7"/>
      <c r="G7" s="7"/>
      <c r="H7" s="7"/>
      <c r="I7" s="7"/>
      <c r="J7" s="7"/>
      <c r="K7" s="7"/>
    </row>
    <row r="8" spans="1:13" ht="15.75" thickBot="1">
      <c r="A8" s="1598"/>
      <c r="B8" s="1599"/>
      <c r="C8" s="506"/>
      <c r="D8" s="506"/>
      <c r="E8" s="506"/>
      <c r="F8" s="506"/>
      <c r="G8" s="506"/>
      <c r="H8" s="506"/>
      <c r="I8" s="7"/>
      <c r="J8" s="7"/>
      <c r="M8" s="474" t="s">
        <v>117</v>
      </c>
    </row>
    <row r="9" spans="1:13" ht="15" customHeight="1">
      <c r="A9" s="1582" t="s">
        <v>39</v>
      </c>
      <c r="B9" s="1582" t="s">
        <v>916</v>
      </c>
      <c r="C9" s="1607"/>
      <c r="D9" s="1608"/>
      <c r="E9" s="1587" t="s">
        <v>917</v>
      </c>
      <c r="F9" s="1605" t="s">
        <v>918</v>
      </c>
      <c r="G9" s="1577" t="s">
        <v>919</v>
      </c>
      <c r="H9" s="1577" t="s">
        <v>920</v>
      </c>
      <c r="I9" s="1605" t="s">
        <v>921</v>
      </c>
      <c r="J9" s="1585" t="s">
        <v>865</v>
      </c>
      <c r="K9" s="1604" t="s">
        <v>922</v>
      </c>
      <c r="L9" s="1604" t="s">
        <v>923</v>
      </c>
      <c r="M9" s="1604" t="s">
        <v>922</v>
      </c>
    </row>
    <row r="10" spans="1:13" ht="41.25" customHeight="1" thickBot="1">
      <c r="A10" s="1583"/>
      <c r="B10" s="1033" t="s">
        <v>874</v>
      </c>
      <c r="C10" s="476" t="s">
        <v>875</v>
      </c>
      <c r="D10" s="917" t="s">
        <v>876</v>
      </c>
      <c r="E10" s="1588"/>
      <c r="F10" s="1578"/>
      <c r="G10" s="1578"/>
      <c r="H10" s="1578"/>
      <c r="I10" s="1578"/>
      <c r="J10" s="1606"/>
      <c r="K10" s="1580"/>
      <c r="L10" s="1580"/>
      <c r="M10" s="1580"/>
    </row>
    <row r="11" spans="1:13">
      <c r="A11" s="507">
        <v>1</v>
      </c>
      <c r="B11" s="508"/>
      <c r="C11" s="521"/>
      <c r="D11" s="487"/>
      <c r="E11" s="522"/>
      <c r="F11" s="523"/>
      <c r="G11" s="524"/>
      <c r="H11" s="481"/>
      <c r="I11" s="482"/>
      <c r="J11" s="525"/>
      <c r="K11" s="933" t="e">
        <f>+E11/Balancesheet!$G$12</f>
        <v>#DIV/0!</v>
      </c>
      <c r="L11" s="912">
        <f>+SUMIF($C$11:$C$50,C11,$E$11:$E$50)</f>
        <v>0</v>
      </c>
      <c r="M11" s="937" t="e">
        <f>+L11/Balancesheet!$G$12</f>
        <v>#DIV/0!</v>
      </c>
    </row>
    <row r="12" spans="1:13">
      <c r="A12" s="510">
        <v>2</v>
      </c>
      <c r="B12" s="511"/>
      <c r="C12" s="521"/>
      <c r="D12" s="487"/>
      <c r="E12" s="526"/>
      <c r="F12" s="527"/>
      <c r="G12" s="528"/>
      <c r="H12" s="489"/>
      <c r="I12" s="490"/>
      <c r="J12" s="529"/>
      <c r="K12" s="933" t="e">
        <f>+E12/Balancesheet!$G$12</f>
        <v>#DIV/0!</v>
      </c>
      <c r="L12" s="913">
        <f t="shared" ref="L12:L48" si="0">+SUMIF($C$11:$C$50,C12,$E$11:$E$50)</f>
        <v>0</v>
      </c>
      <c r="M12" s="937" t="e">
        <f>+L12/Balancesheet!$G$12</f>
        <v>#DIV/0!</v>
      </c>
    </row>
    <row r="13" spans="1:13">
      <c r="A13" s="510">
        <v>3</v>
      </c>
      <c r="B13" s="511"/>
      <c r="C13" s="521"/>
      <c r="D13" s="487"/>
      <c r="E13" s="526"/>
      <c r="F13" s="527"/>
      <c r="G13" s="528"/>
      <c r="H13" s="489"/>
      <c r="I13" s="490"/>
      <c r="J13" s="529"/>
      <c r="K13" s="933" t="e">
        <f>+E13/Balancesheet!$G$12</f>
        <v>#DIV/0!</v>
      </c>
      <c r="L13" s="913">
        <f t="shared" si="0"/>
        <v>0</v>
      </c>
      <c r="M13" s="937" t="e">
        <f>+L13/Balancesheet!$G$12</f>
        <v>#DIV/0!</v>
      </c>
    </row>
    <row r="14" spans="1:13">
      <c r="A14" s="510">
        <v>4</v>
      </c>
      <c r="B14" s="511"/>
      <c r="C14" s="521"/>
      <c r="D14" s="487"/>
      <c r="E14" s="526"/>
      <c r="F14" s="527"/>
      <c r="G14" s="528"/>
      <c r="H14" s="489"/>
      <c r="I14" s="490"/>
      <c r="J14" s="529"/>
      <c r="K14" s="933" t="e">
        <f>+E14/Balancesheet!$G$12</f>
        <v>#DIV/0!</v>
      </c>
      <c r="L14" s="913">
        <f t="shared" si="0"/>
        <v>0</v>
      </c>
      <c r="M14" s="937" t="e">
        <f>+L14/Balancesheet!$G$12</f>
        <v>#DIV/0!</v>
      </c>
    </row>
    <row r="15" spans="1:13">
      <c r="A15" s="510">
        <v>5</v>
      </c>
      <c r="B15" s="511"/>
      <c r="C15" s="521"/>
      <c r="D15" s="487"/>
      <c r="E15" s="526"/>
      <c r="F15" s="527"/>
      <c r="G15" s="528"/>
      <c r="H15" s="489"/>
      <c r="I15" s="490"/>
      <c r="J15" s="529"/>
      <c r="K15" s="933" t="e">
        <f>+E15/Balancesheet!$G$12</f>
        <v>#DIV/0!</v>
      </c>
      <c r="L15" s="913">
        <f t="shared" si="0"/>
        <v>0</v>
      </c>
      <c r="M15" s="937" t="e">
        <f>+L15/Balancesheet!$G$12</f>
        <v>#DIV/0!</v>
      </c>
    </row>
    <row r="16" spans="1:13">
      <c r="A16" s="510">
        <v>6</v>
      </c>
      <c r="B16" s="511"/>
      <c r="C16" s="521"/>
      <c r="D16" s="487"/>
      <c r="E16" s="526"/>
      <c r="F16" s="527"/>
      <c r="G16" s="528"/>
      <c r="H16" s="489"/>
      <c r="I16" s="490"/>
      <c r="J16" s="529"/>
      <c r="K16" s="933" t="e">
        <f>+E16/Balancesheet!$G$12</f>
        <v>#DIV/0!</v>
      </c>
      <c r="L16" s="913">
        <f t="shared" si="0"/>
        <v>0</v>
      </c>
      <c r="M16" s="937" t="e">
        <f>+L16/Balancesheet!$G$12</f>
        <v>#DIV/0!</v>
      </c>
    </row>
    <row r="17" spans="1:13">
      <c r="A17" s="510">
        <v>7</v>
      </c>
      <c r="B17" s="511"/>
      <c r="C17" s="521"/>
      <c r="D17" s="487"/>
      <c r="E17" s="526"/>
      <c r="F17" s="527"/>
      <c r="G17" s="528"/>
      <c r="H17" s="489"/>
      <c r="I17" s="490"/>
      <c r="J17" s="529"/>
      <c r="K17" s="933" t="e">
        <f>+E17/Balancesheet!$G$12</f>
        <v>#DIV/0!</v>
      </c>
      <c r="L17" s="913">
        <f t="shared" si="0"/>
        <v>0</v>
      </c>
      <c r="M17" s="937" t="e">
        <f>+L17/Balancesheet!$G$12</f>
        <v>#DIV/0!</v>
      </c>
    </row>
    <row r="18" spans="1:13">
      <c r="A18" s="510">
        <v>8</v>
      </c>
      <c r="B18" s="511"/>
      <c r="C18" s="521"/>
      <c r="D18" s="487"/>
      <c r="E18" s="526"/>
      <c r="F18" s="527"/>
      <c r="G18" s="528"/>
      <c r="H18" s="489"/>
      <c r="I18" s="490"/>
      <c r="J18" s="529"/>
      <c r="K18" s="933" t="e">
        <f>+E18/Balancesheet!$G$12</f>
        <v>#DIV/0!</v>
      </c>
      <c r="L18" s="913">
        <f t="shared" si="0"/>
        <v>0</v>
      </c>
      <c r="M18" s="937" t="e">
        <f>+L18/Balancesheet!$G$12</f>
        <v>#DIV/0!</v>
      </c>
    </row>
    <row r="19" spans="1:13">
      <c r="A19" s="510">
        <v>9</v>
      </c>
      <c r="B19" s="511"/>
      <c r="C19" s="521"/>
      <c r="D19" s="487"/>
      <c r="E19" s="526"/>
      <c r="F19" s="527"/>
      <c r="G19" s="528"/>
      <c r="H19" s="489"/>
      <c r="I19" s="490"/>
      <c r="J19" s="529"/>
      <c r="K19" s="933" t="e">
        <f>+E19/Balancesheet!$G$12</f>
        <v>#DIV/0!</v>
      </c>
      <c r="L19" s="913">
        <f t="shared" si="0"/>
        <v>0</v>
      </c>
      <c r="M19" s="937" t="e">
        <f>+L19/Balancesheet!$G$12</f>
        <v>#DIV/0!</v>
      </c>
    </row>
    <row r="20" spans="1:13">
      <c r="A20" s="510">
        <v>10</v>
      </c>
      <c r="B20" s="511"/>
      <c r="C20" s="521"/>
      <c r="D20" s="487"/>
      <c r="E20" s="526"/>
      <c r="F20" s="527"/>
      <c r="G20" s="528"/>
      <c r="H20" s="489"/>
      <c r="I20" s="490"/>
      <c r="J20" s="529"/>
      <c r="K20" s="933" t="e">
        <f>+E20/Balancesheet!$G$12</f>
        <v>#DIV/0!</v>
      </c>
      <c r="L20" s="913">
        <f t="shared" si="0"/>
        <v>0</v>
      </c>
      <c r="M20" s="937" t="e">
        <f>+L20/Balancesheet!$G$12</f>
        <v>#DIV/0!</v>
      </c>
    </row>
    <row r="21" spans="1:13">
      <c r="A21" s="510">
        <v>11</v>
      </c>
      <c r="B21" s="511"/>
      <c r="C21" s="521"/>
      <c r="D21" s="487"/>
      <c r="E21" s="526"/>
      <c r="F21" s="527"/>
      <c r="G21" s="528"/>
      <c r="H21" s="489"/>
      <c r="I21" s="490"/>
      <c r="J21" s="529"/>
      <c r="K21" s="933" t="e">
        <f>+E21/Balancesheet!$G$12</f>
        <v>#DIV/0!</v>
      </c>
      <c r="L21" s="913">
        <f t="shared" si="0"/>
        <v>0</v>
      </c>
      <c r="M21" s="937" t="e">
        <f>+L21/Balancesheet!$G$12</f>
        <v>#DIV/0!</v>
      </c>
    </row>
    <row r="22" spans="1:13">
      <c r="A22" s="510">
        <v>12</v>
      </c>
      <c r="B22" s="511"/>
      <c r="C22" s="521"/>
      <c r="D22" s="487"/>
      <c r="E22" s="526"/>
      <c r="F22" s="527"/>
      <c r="G22" s="528"/>
      <c r="H22" s="489"/>
      <c r="I22" s="490"/>
      <c r="J22" s="529"/>
      <c r="K22" s="933" t="e">
        <f>+E22/Balancesheet!$G$12</f>
        <v>#DIV/0!</v>
      </c>
      <c r="L22" s="913">
        <f t="shared" si="0"/>
        <v>0</v>
      </c>
      <c r="M22" s="937" t="e">
        <f>+L22/Balancesheet!$G$12</f>
        <v>#DIV/0!</v>
      </c>
    </row>
    <row r="23" spans="1:13">
      <c r="A23" s="510">
        <v>13</v>
      </c>
      <c r="B23" s="511"/>
      <c r="C23" s="521"/>
      <c r="D23" s="487"/>
      <c r="E23" s="526"/>
      <c r="F23" s="527"/>
      <c r="G23" s="528"/>
      <c r="H23" s="489"/>
      <c r="I23" s="490"/>
      <c r="J23" s="529"/>
      <c r="K23" s="933" t="e">
        <f>+E23/Balancesheet!$G$12</f>
        <v>#DIV/0!</v>
      </c>
      <c r="L23" s="913">
        <f t="shared" si="0"/>
        <v>0</v>
      </c>
      <c r="M23" s="937" t="e">
        <f>+L23/Balancesheet!$G$12</f>
        <v>#DIV/0!</v>
      </c>
    </row>
    <row r="24" spans="1:13">
      <c r="A24" s="510">
        <v>14</v>
      </c>
      <c r="B24" s="511"/>
      <c r="C24" s="521"/>
      <c r="D24" s="487"/>
      <c r="E24" s="526"/>
      <c r="F24" s="527"/>
      <c r="G24" s="528"/>
      <c r="H24" s="489"/>
      <c r="I24" s="490"/>
      <c r="J24" s="529"/>
      <c r="K24" s="933" t="e">
        <f>+E24/Balancesheet!$G$12</f>
        <v>#DIV/0!</v>
      </c>
      <c r="L24" s="913">
        <f t="shared" si="0"/>
        <v>0</v>
      </c>
      <c r="M24" s="937" t="e">
        <f>+L24/Balancesheet!$G$12</f>
        <v>#DIV/0!</v>
      </c>
    </row>
    <row r="25" spans="1:13">
      <c r="A25" s="510">
        <v>15</v>
      </c>
      <c r="B25" s="511"/>
      <c r="C25" s="521"/>
      <c r="D25" s="487"/>
      <c r="E25" s="526"/>
      <c r="F25" s="527"/>
      <c r="G25" s="528"/>
      <c r="H25" s="489"/>
      <c r="I25" s="490"/>
      <c r="J25" s="529"/>
      <c r="K25" s="933" t="e">
        <f>+E25/Balancesheet!$G$12</f>
        <v>#DIV/0!</v>
      </c>
      <c r="L25" s="913">
        <f t="shared" si="0"/>
        <v>0</v>
      </c>
      <c r="M25" s="937" t="e">
        <f>+L25/Balancesheet!$G$12</f>
        <v>#DIV/0!</v>
      </c>
    </row>
    <row r="26" spans="1:13">
      <c r="A26" s="510">
        <v>16</v>
      </c>
      <c r="B26" s="511"/>
      <c r="C26" s="521"/>
      <c r="D26" s="487"/>
      <c r="E26" s="526"/>
      <c r="F26" s="527"/>
      <c r="G26" s="528"/>
      <c r="H26" s="489"/>
      <c r="I26" s="490"/>
      <c r="J26" s="529"/>
      <c r="K26" s="933" t="e">
        <f>+E26/Balancesheet!$G$12</f>
        <v>#DIV/0!</v>
      </c>
      <c r="L26" s="913">
        <f t="shared" si="0"/>
        <v>0</v>
      </c>
      <c r="M26" s="937" t="e">
        <f>+L26/Balancesheet!$G$12</f>
        <v>#DIV/0!</v>
      </c>
    </row>
    <row r="27" spans="1:13">
      <c r="A27" s="510">
        <v>17</v>
      </c>
      <c r="B27" s="511"/>
      <c r="C27" s="521"/>
      <c r="D27" s="487"/>
      <c r="E27" s="526"/>
      <c r="F27" s="527"/>
      <c r="G27" s="528"/>
      <c r="H27" s="489"/>
      <c r="I27" s="490"/>
      <c r="J27" s="529"/>
      <c r="K27" s="933" t="e">
        <f>+E27/Balancesheet!$G$12</f>
        <v>#DIV/0!</v>
      </c>
      <c r="L27" s="913">
        <f t="shared" si="0"/>
        <v>0</v>
      </c>
      <c r="M27" s="937" t="e">
        <f>+L27/Balancesheet!$G$12</f>
        <v>#DIV/0!</v>
      </c>
    </row>
    <row r="28" spans="1:13">
      <c r="A28" s="510">
        <v>18</v>
      </c>
      <c r="B28" s="511"/>
      <c r="C28" s="521"/>
      <c r="D28" s="487"/>
      <c r="E28" s="526"/>
      <c r="F28" s="527"/>
      <c r="G28" s="528"/>
      <c r="H28" s="489"/>
      <c r="I28" s="490"/>
      <c r="J28" s="529"/>
      <c r="K28" s="933" t="e">
        <f>+E28/Balancesheet!$G$12</f>
        <v>#DIV/0!</v>
      </c>
      <c r="L28" s="913">
        <f t="shared" si="0"/>
        <v>0</v>
      </c>
      <c r="M28" s="937" t="e">
        <f>+L28/Balancesheet!$G$12</f>
        <v>#DIV/0!</v>
      </c>
    </row>
    <row r="29" spans="1:13">
      <c r="A29" s="510">
        <v>19</v>
      </c>
      <c r="B29" s="511"/>
      <c r="C29" s="521"/>
      <c r="D29" s="487"/>
      <c r="E29" s="526"/>
      <c r="F29" s="527"/>
      <c r="G29" s="528"/>
      <c r="H29" s="489"/>
      <c r="I29" s="490"/>
      <c r="J29" s="529"/>
      <c r="K29" s="933" t="e">
        <f>+E29/Balancesheet!$G$12</f>
        <v>#DIV/0!</v>
      </c>
      <c r="L29" s="913">
        <f t="shared" si="0"/>
        <v>0</v>
      </c>
      <c r="M29" s="937" t="e">
        <f>+L29/Balancesheet!$G$12</f>
        <v>#DIV/0!</v>
      </c>
    </row>
    <row r="30" spans="1:13">
      <c r="A30" s="513">
        <v>20</v>
      </c>
      <c r="B30" s="511"/>
      <c r="C30" s="521"/>
      <c r="D30" s="487"/>
      <c r="E30" s="526"/>
      <c r="F30" s="527"/>
      <c r="G30" s="528"/>
      <c r="H30" s="489"/>
      <c r="I30" s="490"/>
      <c r="J30" s="529"/>
      <c r="K30" s="933" t="e">
        <f>+E30/Balancesheet!$G$12</f>
        <v>#DIV/0!</v>
      </c>
      <c r="L30" s="913">
        <f t="shared" si="0"/>
        <v>0</v>
      </c>
      <c r="M30" s="937" t="e">
        <f>+L30/Balancesheet!$G$12</f>
        <v>#DIV/0!</v>
      </c>
    </row>
    <row r="31" spans="1:13">
      <c r="A31" s="510">
        <v>21</v>
      </c>
      <c r="B31" s="511"/>
      <c r="C31" s="521"/>
      <c r="D31" s="487"/>
      <c r="E31" s="526"/>
      <c r="F31" s="527"/>
      <c r="G31" s="528"/>
      <c r="H31" s="489"/>
      <c r="I31" s="490"/>
      <c r="J31" s="529"/>
      <c r="K31" s="933" t="e">
        <f>+E31/Balancesheet!$G$12</f>
        <v>#DIV/0!</v>
      </c>
      <c r="L31" s="913">
        <f t="shared" si="0"/>
        <v>0</v>
      </c>
      <c r="M31" s="937" t="e">
        <f>+L31/Balancesheet!$G$12</f>
        <v>#DIV/0!</v>
      </c>
    </row>
    <row r="32" spans="1:13">
      <c r="A32" s="513">
        <v>22</v>
      </c>
      <c r="B32" s="511"/>
      <c r="C32" s="521"/>
      <c r="D32" s="487"/>
      <c r="E32" s="526"/>
      <c r="F32" s="527"/>
      <c r="G32" s="528"/>
      <c r="H32" s="489"/>
      <c r="I32" s="490"/>
      <c r="J32" s="529"/>
      <c r="K32" s="933" t="e">
        <f>+E32/Balancesheet!$G$12</f>
        <v>#DIV/0!</v>
      </c>
      <c r="L32" s="913">
        <f t="shared" si="0"/>
        <v>0</v>
      </c>
      <c r="M32" s="937" t="e">
        <f>+L32/Balancesheet!$G$12</f>
        <v>#DIV/0!</v>
      </c>
    </row>
    <row r="33" spans="1:13">
      <c r="A33" s="510">
        <v>23</v>
      </c>
      <c r="B33" s="511"/>
      <c r="C33" s="521"/>
      <c r="D33" s="487"/>
      <c r="E33" s="526"/>
      <c r="F33" s="527"/>
      <c r="G33" s="528"/>
      <c r="H33" s="489"/>
      <c r="I33" s="490"/>
      <c r="J33" s="529"/>
      <c r="K33" s="933" t="e">
        <f>+E33/Balancesheet!$G$12</f>
        <v>#DIV/0!</v>
      </c>
      <c r="L33" s="913">
        <f t="shared" si="0"/>
        <v>0</v>
      </c>
      <c r="M33" s="937" t="e">
        <f>+L33/Balancesheet!$G$12</f>
        <v>#DIV/0!</v>
      </c>
    </row>
    <row r="34" spans="1:13">
      <c r="A34" s="513">
        <v>24</v>
      </c>
      <c r="B34" s="511"/>
      <c r="C34" s="521"/>
      <c r="D34" s="487"/>
      <c r="E34" s="526"/>
      <c r="F34" s="527"/>
      <c r="G34" s="528"/>
      <c r="H34" s="489"/>
      <c r="I34" s="490"/>
      <c r="J34" s="529"/>
      <c r="K34" s="933" t="e">
        <f>+E34/Balancesheet!$G$12</f>
        <v>#DIV/0!</v>
      </c>
      <c r="L34" s="913">
        <f t="shared" si="0"/>
        <v>0</v>
      </c>
      <c r="M34" s="937" t="e">
        <f>+L34/Balancesheet!$G$12</f>
        <v>#DIV/0!</v>
      </c>
    </row>
    <row r="35" spans="1:13">
      <c r="A35" s="510">
        <v>25</v>
      </c>
      <c r="B35" s="511"/>
      <c r="C35" s="521"/>
      <c r="D35" s="487"/>
      <c r="E35" s="526"/>
      <c r="F35" s="527"/>
      <c r="G35" s="528"/>
      <c r="H35" s="489"/>
      <c r="I35" s="490"/>
      <c r="J35" s="529"/>
      <c r="K35" s="933" t="e">
        <f>+E35/Balancesheet!$G$12</f>
        <v>#DIV/0!</v>
      </c>
      <c r="L35" s="913">
        <f t="shared" si="0"/>
        <v>0</v>
      </c>
      <c r="M35" s="937" t="e">
        <f>+L35/Balancesheet!$G$12</f>
        <v>#DIV/0!</v>
      </c>
    </row>
    <row r="36" spans="1:13">
      <c r="A36" s="513">
        <v>26</v>
      </c>
      <c r="B36" s="511"/>
      <c r="C36" s="521"/>
      <c r="D36" s="487"/>
      <c r="E36" s="526"/>
      <c r="F36" s="527"/>
      <c r="G36" s="528"/>
      <c r="H36" s="489"/>
      <c r="I36" s="490"/>
      <c r="J36" s="529"/>
      <c r="K36" s="933" t="e">
        <f>+E36/Balancesheet!$G$12</f>
        <v>#DIV/0!</v>
      </c>
      <c r="L36" s="913">
        <f t="shared" si="0"/>
        <v>0</v>
      </c>
      <c r="M36" s="937" t="e">
        <f>+L36/Balancesheet!$G$12</f>
        <v>#DIV/0!</v>
      </c>
    </row>
    <row r="37" spans="1:13">
      <c r="A37" s="510">
        <v>27</v>
      </c>
      <c r="B37" s="511"/>
      <c r="C37" s="521"/>
      <c r="D37" s="487"/>
      <c r="E37" s="526"/>
      <c r="F37" s="527"/>
      <c r="G37" s="528"/>
      <c r="H37" s="489"/>
      <c r="I37" s="490"/>
      <c r="J37" s="529"/>
      <c r="K37" s="933" t="e">
        <f>+E37/Balancesheet!$G$12</f>
        <v>#DIV/0!</v>
      </c>
      <c r="L37" s="913">
        <f t="shared" si="0"/>
        <v>0</v>
      </c>
      <c r="M37" s="937" t="e">
        <f>+L37/Balancesheet!$G$12</f>
        <v>#DIV/0!</v>
      </c>
    </row>
    <row r="38" spans="1:13">
      <c r="A38" s="513">
        <v>28</v>
      </c>
      <c r="B38" s="511"/>
      <c r="C38" s="521"/>
      <c r="D38" s="487"/>
      <c r="E38" s="526"/>
      <c r="F38" s="527"/>
      <c r="G38" s="528"/>
      <c r="H38" s="489"/>
      <c r="I38" s="490"/>
      <c r="J38" s="529"/>
      <c r="K38" s="933" t="e">
        <f>+E38/Balancesheet!$G$12</f>
        <v>#DIV/0!</v>
      </c>
      <c r="L38" s="913">
        <f t="shared" si="0"/>
        <v>0</v>
      </c>
      <c r="M38" s="937" t="e">
        <f>+L38/Balancesheet!$G$12</f>
        <v>#DIV/0!</v>
      </c>
    </row>
    <row r="39" spans="1:13">
      <c r="A39" s="510">
        <v>29</v>
      </c>
      <c r="B39" s="511"/>
      <c r="C39" s="521"/>
      <c r="D39" s="487"/>
      <c r="E39" s="526"/>
      <c r="F39" s="527"/>
      <c r="G39" s="528"/>
      <c r="H39" s="489"/>
      <c r="I39" s="490"/>
      <c r="J39" s="529"/>
      <c r="K39" s="933" t="e">
        <f>+E39/Balancesheet!$G$12</f>
        <v>#DIV/0!</v>
      </c>
      <c r="L39" s="913">
        <f t="shared" si="0"/>
        <v>0</v>
      </c>
      <c r="M39" s="937" t="e">
        <f>+L39/Balancesheet!$G$12</f>
        <v>#DIV/0!</v>
      </c>
    </row>
    <row r="40" spans="1:13">
      <c r="A40" s="513">
        <v>30</v>
      </c>
      <c r="B40" s="511"/>
      <c r="C40" s="521"/>
      <c r="D40" s="487"/>
      <c r="E40" s="526"/>
      <c r="F40" s="527"/>
      <c r="G40" s="528"/>
      <c r="H40" s="489"/>
      <c r="I40" s="490"/>
      <c r="J40" s="529"/>
      <c r="K40" s="933" t="e">
        <f>+E40/Balancesheet!$G$12</f>
        <v>#DIV/0!</v>
      </c>
      <c r="L40" s="913">
        <f t="shared" si="0"/>
        <v>0</v>
      </c>
      <c r="M40" s="937" t="e">
        <f>+L40/Balancesheet!$G$12</f>
        <v>#DIV/0!</v>
      </c>
    </row>
    <row r="41" spans="1:13">
      <c r="A41" s="510">
        <v>31</v>
      </c>
      <c r="B41" s="511"/>
      <c r="C41" s="521"/>
      <c r="D41" s="487"/>
      <c r="E41" s="526"/>
      <c r="F41" s="527"/>
      <c r="G41" s="528"/>
      <c r="H41" s="489"/>
      <c r="I41" s="490"/>
      <c r="J41" s="529"/>
      <c r="K41" s="933" t="e">
        <f>+E41/Balancesheet!$G$12</f>
        <v>#DIV/0!</v>
      </c>
      <c r="L41" s="913">
        <f t="shared" si="0"/>
        <v>0</v>
      </c>
      <c r="M41" s="937" t="e">
        <f>+L41/Balancesheet!$G$12</f>
        <v>#DIV/0!</v>
      </c>
    </row>
    <row r="42" spans="1:13">
      <c r="A42" s="513">
        <v>32</v>
      </c>
      <c r="B42" s="511"/>
      <c r="C42" s="521"/>
      <c r="D42" s="487"/>
      <c r="E42" s="526"/>
      <c r="F42" s="527"/>
      <c r="G42" s="528"/>
      <c r="H42" s="489"/>
      <c r="I42" s="490"/>
      <c r="J42" s="529"/>
      <c r="K42" s="933" t="e">
        <f>+E42/Balancesheet!$G$12</f>
        <v>#DIV/0!</v>
      </c>
      <c r="L42" s="913">
        <f t="shared" si="0"/>
        <v>0</v>
      </c>
      <c r="M42" s="937" t="e">
        <f>+L42/Balancesheet!$G$12</f>
        <v>#DIV/0!</v>
      </c>
    </row>
    <row r="43" spans="1:13">
      <c r="A43" s="510">
        <v>33</v>
      </c>
      <c r="B43" s="511"/>
      <c r="C43" s="521"/>
      <c r="D43" s="487"/>
      <c r="E43" s="526"/>
      <c r="F43" s="527"/>
      <c r="G43" s="528"/>
      <c r="H43" s="489"/>
      <c r="I43" s="490"/>
      <c r="J43" s="529"/>
      <c r="K43" s="933" t="e">
        <f>+E43/Balancesheet!$G$12</f>
        <v>#DIV/0!</v>
      </c>
      <c r="L43" s="913">
        <f t="shared" si="0"/>
        <v>0</v>
      </c>
      <c r="M43" s="937" t="e">
        <f>+L43/Balancesheet!$G$12</f>
        <v>#DIV/0!</v>
      </c>
    </row>
    <row r="44" spans="1:13">
      <c r="A44" s="513">
        <v>34</v>
      </c>
      <c r="B44" s="511"/>
      <c r="C44" s="521"/>
      <c r="D44" s="487"/>
      <c r="E44" s="526"/>
      <c r="F44" s="527"/>
      <c r="G44" s="528"/>
      <c r="H44" s="489"/>
      <c r="I44" s="490"/>
      <c r="J44" s="529"/>
      <c r="K44" s="933" t="e">
        <f>+E44/Balancesheet!$G$12</f>
        <v>#DIV/0!</v>
      </c>
      <c r="L44" s="913">
        <f t="shared" si="0"/>
        <v>0</v>
      </c>
      <c r="M44" s="937" t="e">
        <f>+L44/Balancesheet!$G$12</f>
        <v>#DIV/0!</v>
      </c>
    </row>
    <row r="45" spans="1:13">
      <c r="A45" s="510">
        <v>35</v>
      </c>
      <c r="B45" s="511"/>
      <c r="C45" s="521"/>
      <c r="D45" s="487"/>
      <c r="E45" s="526"/>
      <c r="F45" s="527"/>
      <c r="G45" s="528"/>
      <c r="H45" s="489"/>
      <c r="I45" s="490"/>
      <c r="J45" s="529"/>
      <c r="K45" s="933" t="e">
        <f>+E45/Balancesheet!$G$12</f>
        <v>#DIV/0!</v>
      </c>
      <c r="L45" s="913">
        <f t="shared" si="0"/>
        <v>0</v>
      </c>
      <c r="M45" s="937" t="e">
        <f>+L45/Balancesheet!$G$12</f>
        <v>#DIV/0!</v>
      </c>
    </row>
    <row r="46" spans="1:13">
      <c r="A46" s="513">
        <v>36</v>
      </c>
      <c r="B46" s="511"/>
      <c r="C46" s="521"/>
      <c r="D46" s="487"/>
      <c r="E46" s="526"/>
      <c r="F46" s="527"/>
      <c r="G46" s="528"/>
      <c r="H46" s="489"/>
      <c r="I46" s="490"/>
      <c r="J46" s="529"/>
      <c r="K46" s="933" t="e">
        <f>+E46/Balancesheet!$G$12</f>
        <v>#DIV/0!</v>
      </c>
      <c r="L46" s="913">
        <f t="shared" si="0"/>
        <v>0</v>
      </c>
      <c r="M46" s="937" t="e">
        <f>+L46/Balancesheet!$G$12</f>
        <v>#DIV/0!</v>
      </c>
    </row>
    <row r="47" spans="1:13">
      <c r="A47" s="510">
        <v>37</v>
      </c>
      <c r="B47" s="511"/>
      <c r="C47" s="521"/>
      <c r="D47" s="487"/>
      <c r="E47" s="526"/>
      <c r="F47" s="527"/>
      <c r="G47" s="528"/>
      <c r="H47" s="489"/>
      <c r="I47" s="490"/>
      <c r="J47" s="529"/>
      <c r="K47" s="933" t="e">
        <f>+E47/Balancesheet!$G$12</f>
        <v>#DIV/0!</v>
      </c>
      <c r="L47" s="913">
        <f t="shared" si="0"/>
        <v>0</v>
      </c>
      <c r="M47" s="937" t="e">
        <f>+L47/Balancesheet!$G$12</f>
        <v>#DIV/0!</v>
      </c>
    </row>
    <row r="48" spans="1:13">
      <c r="A48" s="513">
        <v>38</v>
      </c>
      <c r="B48" s="511"/>
      <c r="C48" s="521"/>
      <c r="D48" s="487"/>
      <c r="E48" s="526"/>
      <c r="F48" s="527"/>
      <c r="G48" s="528"/>
      <c r="H48" s="489"/>
      <c r="I48" s="490"/>
      <c r="J48" s="529"/>
      <c r="K48" s="933" t="e">
        <f>+E48/Balancesheet!$G$12</f>
        <v>#DIV/0!</v>
      </c>
      <c r="L48" s="913">
        <f t="shared" si="0"/>
        <v>0</v>
      </c>
      <c r="M48" s="937" t="e">
        <f>+L48/Balancesheet!$G$12</f>
        <v>#DIV/0!</v>
      </c>
    </row>
    <row r="49" spans="1:15">
      <c r="A49" s="510">
        <v>39</v>
      </c>
      <c r="B49" s="511"/>
      <c r="C49" s="521"/>
      <c r="D49" s="487"/>
      <c r="E49" s="526"/>
      <c r="F49" s="527"/>
      <c r="G49" s="528"/>
      <c r="H49" s="489"/>
      <c r="I49" s="490"/>
      <c r="J49" s="529"/>
      <c r="K49" s="933" t="e">
        <f>+E49/Balancesheet!$G$12</f>
        <v>#DIV/0!</v>
      </c>
      <c r="L49" s="913">
        <f>+SUMIF($C$11:$C$50,C49,$E$11:$E$50)</f>
        <v>0</v>
      </c>
      <c r="M49" s="937" t="e">
        <f>+L49/Balancesheet!$G$12</f>
        <v>#DIV/0!</v>
      </c>
    </row>
    <row r="50" spans="1:15" ht="15.75" thickBot="1">
      <c r="A50" s="513">
        <v>40</v>
      </c>
      <c r="B50" s="514"/>
      <c r="C50" s="521"/>
      <c r="D50" s="487"/>
      <c r="E50" s="530"/>
      <c r="F50" s="531"/>
      <c r="G50" s="532"/>
      <c r="H50" s="496"/>
      <c r="I50" s="497"/>
      <c r="J50" s="533"/>
      <c r="K50" s="934" t="e">
        <f>+E50/Balancesheet!$G$12</f>
        <v>#DIV/0!</v>
      </c>
      <c r="L50" s="914">
        <f>+SUMIF($C$11:$C$50,C50,$E$11:$E$50)</f>
        <v>0</v>
      </c>
      <c r="M50" s="937" t="e">
        <f>+L50/Balancesheet!$G$12</f>
        <v>#DIV/0!</v>
      </c>
    </row>
    <row r="51" spans="1:15" ht="15.75" thickBot="1">
      <c r="A51" s="1573" t="s">
        <v>924</v>
      </c>
      <c r="B51" s="1574"/>
      <c r="C51" s="1574"/>
      <c r="D51" s="1575"/>
      <c r="E51" s="534">
        <f>SUM(E11:E50)</f>
        <v>0</v>
      </c>
      <c r="F51" s="535"/>
      <c r="G51" s="536"/>
      <c r="H51" s="536"/>
      <c r="I51" s="536"/>
      <c r="J51" s="537"/>
      <c r="K51" s="935" t="e">
        <f>+E51/Balancesheet!$G$12</f>
        <v>#DIV/0!</v>
      </c>
      <c r="L51" s="499"/>
      <c r="M51" s="938"/>
    </row>
    <row r="52" spans="1:15" ht="26.25">
      <c r="A52" s="7"/>
      <c r="B52" s="29"/>
      <c r="C52" s="7"/>
      <c r="D52" s="7"/>
      <c r="E52" s="503"/>
      <c r="F52" s="503"/>
      <c r="G52" s="503"/>
      <c r="H52" s="1603" t="s">
        <v>925</v>
      </c>
      <c r="I52" s="1603"/>
      <c r="J52" s="1603"/>
      <c r="K52" s="936" t="e">
        <f>MAX(K11:K50)</f>
        <v>#DIV/0!</v>
      </c>
      <c r="L52" s="1034" t="s">
        <v>926</v>
      </c>
      <c r="M52" s="939" t="e">
        <f>MAX(M11:M50)</f>
        <v>#DIV/0!</v>
      </c>
    </row>
    <row r="53" spans="1:15">
      <c r="A53" s="7"/>
      <c r="B53" s="1032">
        <f>COUNTA(B11:B50)</f>
        <v>0</v>
      </c>
      <c r="C53" s="1032">
        <f>+STATISTICS!C60</f>
        <v>0</v>
      </c>
      <c r="D53" s="300" t="str">
        <f>+IF(C53&lt;=40,IF(B53&gt;=C53,"","Хадгаламж эзэмшигчдийн тоо дутуу байх тул бүрэн шивж оруулна уу."),"")</f>
        <v/>
      </c>
      <c r="E53" s="503"/>
      <c r="F53" s="503"/>
      <c r="G53" s="503"/>
      <c r="H53" s="503"/>
      <c r="I53" s="503"/>
      <c r="J53" s="503"/>
      <c r="K53" s="1035"/>
      <c r="L53" s="679"/>
      <c r="M53" s="1036"/>
    </row>
    <row r="54" spans="1:15">
      <c r="A54" s="7"/>
      <c r="B54" s="29"/>
      <c r="C54" s="7"/>
      <c r="D54" s="503"/>
      <c r="F54" s="503"/>
      <c r="G54" s="503"/>
      <c r="H54" s="503"/>
      <c r="I54" s="503"/>
      <c r="J54" s="503"/>
      <c r="K54" s="1035"/>
      <c r="L54" s="679"/>
      <c r="M54" s="1036"/>
    </row>
    <row r="55" spans="1:15" ht="15" customHeight="1">
      <c r="A55" s="1435" t="s">
        <v>647</v>
      </c>
      <c r="B55" s="1435"/>
      <c r="C55" s="1435"/>
      <c r="D55" s="1435"/>
      <c r="E55" s="1435"/>
      <c r="F55" s="1435"/>
      <c r="G55" s="1435"/>
      <c r="H55" s="1435"/>
      <c r="I55" s="1435"/>
      <c r="J55" s="1435"/>
      <c r="K55" s="1435"/>
      <c r="L55" s="1435"/>
      <c r="M55" s="1435"/>
      <c r="N55" s="1031"/>
      <c r="O55" s="1031"/>
    </row>
    <row r="56" spans="1:15" ht="15" customHeight="1">
      <c r="A56" s="1554" t="s">
        <v>927</v>
      </c>
      <c r="B56" s="1554"/>
      <c r="C56" s="1554"/>
      <c r="D56" s="1554"/>
      <c r="E56" s="1554"/>
      <c r="F56" s="1554"/>
      <c r="G56" s="1554"/>
      <c r="H56" s="1554"/>
      <c r="I56" s="1554"/>
      <c r="J56" s="1554"/>
      <c r="K56" s="1554"/>
      <c r="L56" s="1554"/>
      <c r="M56" s="1554"/>
    </row>
    <row r="57" spans="1:15" ht="15" customHeight="1">
      <c r="A57" s="1554" t="s">
        <v>928</v>
      </c>
      <c r="B57" s="1554"/>
      <c r="C57" s="1554"/>
      <c r="D57" s="1554"/>
      <c r="E57" s="1554"/>
      <c r="F57" s="1554"/>
      <c r="G57" s="1554"/>
      <c r="H57" s="1554"/>
      <c r="I57" s="1554"/>
      <c r="J57" s="1554"/>
      <c r="K57" s="1554"/>
      <c r="L57" s="1554"/>
      <c r="M57" s="1554"/>
    </row>
    <row r="58" spans="1:15">
      <c r="A58" s="1539" t="s">
        <v>929</v>
      </c>
      <c r="B58" s="1539"/>
      <c r="C58" s="1539"/>
      <c r="D58" s="1539"/>
      <c r="E58" s="1539"/>
      <c r="F58" s="1539"/>
      <c r="G58" s="1539"/>
      <c r="H58" s="1539"/>
      <c r="I58" s="1539"/>
      <c r="J58" s="1539"/>
      <c r="K58" s="1539"/>
      <c r="L58" s="1539"/>
      <c r="M58" s="1539"/>
    </row>
    <row r="59" spans="1:15" ht="25.5" customHeight="1">
      <c r="A59" s="1554" t="s">
        <v>930</v>
      </c>
      <c r="B59" s="1554"/>
      <c r="C59" s="1554"/>
      <c r="D59" s="1554"/>
      <c r="E59" s="1554"/>
      <c r="F59" s="1554"/>
      <c r="G59" s="1554"/>
      <c r="H59" s="1554"/>
      <c r="I59" s="1554"/>
      <c r="J59" s="1554"/>
      <c r="K59" s="1554"/>
      <c r="L59" s="1554"/>
      <c r="M59" s="1554"/>
    </row>
    <row r="61" spans="1:15">
      <c r="A61" s="1420" t="s">
        <v>111</v>
      </c>
      <c r="B61" s="1420"/>
      <c r="C61" s="1420"/>
      <c r="D61" s="1420"/>
      <c r="E61" s="1420"/>
      <c r="F61" s="1420"/>
      <c r="G61" s="1420"/>
      <c r="H61" s="1420"/>
      <c r="I61" s="1420"/>
      <c r="J61" s="1420"/>
      <c r="K61" s="1420"/>
      <c r="L61" s="1420"/>
      <c r="M61" s="1420"/>
      <c r="N61" s="1024"/>
    </row>
    <row r="62" spans="1:15">
      <c r="A62" s="1432" t="s">
        <v>112</v>
      </c>
      <c r="B62" s="1432"/>
      <c r="C62" s="1432"/>
      <c r="D62" s="1432"/>
      <c r="E62" s="1432"/>
      <c r="F62" s="1432"/>
      <c r="G62" s="1432"/>
      <c r="H62" s="1432"/>
      <c r="I62" s="1432"/>
      <c r="J62" s="1432"/>
      <c r="K62" s="1432"/>
      <c r="L62" s="1432"/>
      <c r="M62" s="1432"/>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596"/>
      <c r="M64" s="1597"/>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ohGO4DP1pNpEyTXq1S7NVR1L7ywyRj1cgQIjIH6TsLJyVV/M6Y1sYCEf6UAUKm/JbwQaYsTNUt/eUUzHt4MqA==" saltValue="lI3cOJ1fmWi+erbFdrBlZA==" spinCount="100000" sheet="1" objects="1" scenarios="1"/>
  <mergeCells count="25">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 ref="A58:M58"/>
    <mergeCell ref="A59:M59"/>
    <mergeCell ref="L64:M64"/>
    <mergeCell ref="A51:D51"/>
    <mergeCell ref="A61:M61"/>
    <mergeCell ref="A62:M62"/>
    <mergeCell ref="H52:J52"/>
    <mergeCell ref="A55:M55"/>
    <mergeCell ref="A56:M56"/>
    <mergeCell ref="A57:M57"/>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topLeftCell="A31"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20" t="s">
        <v>932</v>
      </c>
      <c r="B4" s="1597"/>
      <c r="C4" s="1597"/>
      <c r="D4" s="1597"/>
      <c r="E4" s="1597"/>
    </row>
    <row r="5" spans="1:13">
      <c r="A5" s="1421" t="str">
        <f>+STATISTICS!A5</f>
        <v>ХАДГАЛАМЖ, ЗЭЭЛИЙН ХОРШООНЫ НЭР</v>
      </c>
      <c r="B5" s="1597"/>
      <c r="C5" s="1597"/>
      <c r="D5" s="1597"/>
      <c r="E5" s="1597"/>
    </row>
    <row r="6" spans="1:13">
      <c r="A6" s="1420" t="s">
        <v>38</v>
      </c>
      <c r="B6" s="1597"/>
      <c r="C6" s="1597"/>
      <c r="D6" s="1597"/>
      <c r="E6" s="1597"/>
    </row>
    <row r="7" spans="1:13">
      <c r="A7" s="7"/>
      <c r="B7" s="7"/>
      <c r="C7" s="7"/>
      <c r="D7" s="7"/>
      <c r="E7" s="7"/>
    </row>
    <row r="8" spans="1:13" ht="13.5" thickBot="1">
      <c r="A8" s="1598"/>
      <c r="B8" s="1599"/>
      <c r="C8" s="505"/>
      <c r="D8" s="506"/>
      <c r="E8" s="474" t="s">
        <v>117</v>
      </c>
    </row>
    <row r="9" spans="1:13">
      <c r="A9" s="1604" t="s">
        <v>39</v>
      </c>
      <c r="B9" s="1584" t="s">
        <v>933</v>
      </c>
      <c r="C9" s="1610" t="s">
        <v>876</v>
      </c>
      <c r="D9" s="1587" t="s">
        <v>934</v>
      </c>
      <c r="E9" s="1612" t="s">
        <v>935</v>
      </c>
    </row>
    <row r="10" spans="1:13" ht="27.75" customHeight="1" thickBot="1">
      <c r="A10" s="1580"/>
      <c r="B10" s="1609"/>
      <c r="C10" s="1611"/>
      <c r="D10" s="1588"/>
      <c r="E10" s="1606"/>
    </row>
    <row r="11" spans="1:13">
      <c r="A11" s="538">
        <v>1</v>
      </c>
      <c r="B11" s="508"/>
      <c r="C11" s="487"/>
      <c r="D11" s="539"/>
      <c r="E11" s="940" t="e">
        <f>+D11/Balancesheet!$G$60</f>
        <v>#DIV/0!</v>
      </c>
      <c r="F11" s="300" t="str">
        <f>IF(B11&gt;0,IF(D11&gt;0,"","Гишүүний хувь хөрөнгийн мэдээллийг бүрэн шивж оруулна уу."),"")</f>
        <v/>
      </c>
    </row>
    <row r="12" spans="1:13">
      <c r="A12" s="540">
        <v>2</v>
      </c>
      <c r="B12" s="511"/>
      <c r="C12" s="487"/>
      <c r="D12" s="541"/>
      <c r="E12" s="940"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940" t="e">
        <f>+D13/Balancesheet!$G$60</f>
        <v>#DIV/0!</v>
      </c>
      <c r="F13" s="300" t="str">
        <f t="shared" si="0"/>
        <v/>
      </c>
      <c r="M13" s="542"/>
    </row>
    <row r="14" spans="1:13">
      <c r="A14" s="540">
        <v>4</v>
      </c>
      <c r="B14" s="511"/>
      <c r="C14" s="487"/>
      <c r="D14" s="541"/>
      <c r="E14" s="940" t="e">
        <f>+D14/Balancesheet!$G$60</f>
        <v>#DIV/0!</v>
      </c>
      <c r="F14" s="300" t="str">
        <f t="shared" si="0"/>
        <v/>
      </c>
      <c r="M14" s="542"/>
    </row>
    <row r="15" spans="1:13">
      <c r="A15" s="540">
        <v>5</v>
      </c>
      <c r="B15" s="511"/>
      <c r="C15" s="487"/>
      <c r="D15" s="541"/>
      <c r="E15" s="940" t="e">
        <f>+D15/Balancesheet!$G$60</f>
        <v>#DIV/0!</v>
      </c>
      <c r="F15" s="300" t="str">
        <f t="shared" si="0"/>
        <v/>
      </c>
    </row>
    <row r="16" spans="1:13">
      <c r="A16" s="540">
        <v>6</v>
      </c>
      <c r="B16" s="511"/>
      <c r="C16" s="487"/>
      <c r="D16" s="541"/>
      <c r="E16" s="940" t="e">
        <f>+D16/Balancesheet!$G$60</f>
        <v>#DIV/0!</v>
      </c>
      <c r="F16" s="300" t="str">
        <f t="shared" si="0"/>
        <v/>
      </c>
    </row>
    <row r="17" spans="1:6">
      <c r="A17" s="540">
        <v>7</v>
      </c>
      <c r="B17" s="511"/>
      <c r="C17" s="487"/>
      <c r="D17" s="541"/>
      <c r="E17" s="940" t="e">
        <f>+D17/Balancesheet!$G$60</f>
        <v>#DIV/0!</v>
      </c>
      <c r="F17" s="300" t="str">
        <f t="shared" si="0"/>
        <v/>
      </c>
    </row>
    <row r="18" spans="1:6">
      <c r="A18" s="540">
        <v>8</v>
      </c>
      <c r="B18" s="511"/>
      <c r="C18" s="487"/>
      <c r="D18" s="541"/>
      <c r="E18" s="940" t="e">
        <f>+D18/Balancesheet!$G$60</f>
        <v>#DIV/0!</v>
      </c>
      <c r="F18" s="300" t="str">
        <f t="shared" si="0"/>
        <v/>
      </c>
    </row>
    <row r="19" spans="1:6">
      <c r="A19" s="540">
        <v>9</v>
      </c>
      <c r="B19" s="511"/>
      <c r="C19" s="487"/>
      <c r="D19" s="541"/>
      <c r="E19" s="940" t="e">
        <f>+D19/Balancesheet!$G$60</f>
        <v>#DIV/0!</v>
      </c>
      <c r="F19" s="300" t="str">
        <f t="shared" si="0"/>
        <v/>
      </c>
    </row>
    <row r="20" spans="1:6">
      <c r="A20" s="540">
        <v>10</v>
      </c>
      <c r="B20" s="511"/>
      <c r="C20" s="487"/>
      <c r="D20" s="541"/>
      <c r="E20" s="940" t="e">
        <f>+D20/Balancesheet!$G$60</f>
        <v>#DIV/0!</v>
      </c>
      <c r="F20" s="300" t="str">
        <f t="shared" si="0"/>
        <v/>
      </c>
    </row>
    <row r="21" spans="1:6">
      <c r="A21" s="540">
        <v>11</v>
      </c>
      <c r="B21" s="511"/>
      <c r="C21" s="487"/>
      <c r="D21" s="541"/>
      <c r="E21" s="940" t="e">
        <f>+D21/Balancesheet!$G$60</f>
        <v>#DIV/0!</v>
      </c>
      <c r="F21" s="300" t="str">
        <f t="shared" si="0"/>
        <v/>
      </c>
    </row>
    <row r="22" spans="1:6">
      <c r="A22" s="540">
        <v>12</v>
      </c>
      <c r="B22" s="511"/>
      <c r="C22" s="487"/>
      <c r="D22" s="541"/>
      <c r="E22" s="940" t="e">
        <f>+D22/Balancesheet!$G$60</f>
        <v>#DIV/0!</v>
      </c>
      <c r="F22" s="300" t="str">
        <f t="shared" si="0"/>
        <v/>
      </c>
    </row>
    <row r="23" spans="1:6">
      <c r="A23" s="540">
        <v>13</v>
      </c>
      <c r="B23" s="511"/>
      <c r="C23" s="487"/>
      <c r="D23" s="541"/>
      <c r="E23" s="940" t="e">
        <f>+D23/Balancesheet!$G$60</f>
        <v>#DIV/0!</v>
      </c>
      <c r="F23" s="300" t="str">
        <f t="shared" si="0"/>
        <v/>
      </c>
    </row>
    <row r="24" spans="1:6">
      <c r="A24" s="540">
        <v>14</v>
      </c>
      <c r="B24" s="511"/>
      <c r="C24" s="487"/>
      <c r="D24" s="541"/>
      <c r="E24" s="940" t="e">
        <f>+D24/Balancesheet!$G$60</f>
        <v>#DIV/0!</v>
      </c>
      <c r="F24" s="300" t="str">
        <f t="shared" si="0"/>
        <v/>
      </c>
    </row>
    <row r="25" spans="1:6">
      <c r="A25" s="540">
        <v>15</v>
      </c>
      <c r="B25" s="511"/>
      <c r="C25" s="487"/>
      <c r="D25" s="541"/>
      <c r="E25" s="940" t="e">
        <f>+D25/Balancesheet!$G$60</f>
        <v>#DIV/0!</v>
      </c>
      <c r="F25" s="300" t="str">
        <f t="shared" si="0"/>
        <v/>
      </c>
    </row>
    <row r="26" spans="1:6">
      <c r="A26" s="540">
        <v>16</v>
      </c>
      <c r="B26" s="511"/>
      <c r="C26" s="487"/>
      <c r="D26" s="541"/>
      <c r="E26" s="940" t="e">
        <f>+D26/Balancesheet!$G$60</f>
        <v>#DIV/0!</v>
      </c>
      <c r="F26" s="300" t="str">
        <f t="shared" si="0"/>
        <v/>
      </c>
    </row>
    <row r="27" spans="1:6">
      <c r="A27" s="540">
        <v>17</v>
      </c>
      <c r="B27" s="511"/>
      <c r="C27" s="487"/>
      <c r="D27" s="541"/>
      <c r="E27" s="940" t="e">
        <f>+D27/Balancesheet!$G$60</f>
        <v>#DIV/0!</v>
      </c>
      <c r="F27" s="300" t="str">
        <f t="shared" si="0"/>
        <v/>
      </c>
    </row>
    <row r="28" spans="1:6">
      <c r="A28" s="540">
        <v>18</v>
      </c>
      <c r="B28" s="511"/>
      <c r="C28" s="487"/>
      <c r="D28" s="541"/>
      <c r="E28" s="940" t="e">
        <f>+D28/Balancesheet!$G$60</f>
        <v>#DIV/0!</v>
      </c>
      <c r="F28" s="300" t="str">
        <f t="shared" si="0"/>
        <v/>
      </c>
    </row>
    <row r="29" spans="1:6">
      <c r="A29" s="540">
        <v>19</v>
      </c>
      <c r="B29" s="511"/>
      <c r="C29" s="487"/>
      <c r="D29" s="541"/>
      <c r="E29" s="940" t="e">
        <f>+D29/Balancesheet!$G$60</f>
        <v>#DIV/0!</v>
      </c>
      <c r="F29" s="300" t="str">
        <f t="shared" si="0"/>
        <v/>
      </c>
    </row>
    <row r="30" spans="1:6">
      <c r="A30" s="540">
        <v>20</v>
      </c>
      <c r="B30" s="511"/>
      <c r="C30" s="487"/>
      <c r="D30" s="541"/>
      <c r="E30" s="940" t="e">
        <f>+D30/Balancesheet!$G$60</f>
        <v>#DIV/0!</v>
      </c>
      <c r="F30" s="300" t="str">
        <f t="shared" si="0"/>
        <v/>
      </c>
    </row>
    <row r="31" spans="1:6">
      <c r="A31" s="540">
        <v>21</v>
      </c>
      <c r="B31" s="511"/>
      <c r="C31" s="487"/>
      <c r="D31" s="541"/>
      <c r="E31" s="940" t="e">
        <f>+D31/Balancesheet!$G$60</f>
        <v>#DIV/0!</v>
      </c>
      <c r="F31" s="300" t="str">
        <f t="shared" si="0"/>
        <v/>
      </c>
    </row>
    <row r="32" spans="1:6">
      <c r="A32" s="543">
        <v>22</v>
      </c>
      <c r="B32" s="511"/>
      <c r="C32" s="487"/>
      <c r="D32" s="541"/>
      <c r="E32" s="940" t="e">
        <f>+D32/Balancesheet!$G$60</f>
        <v>#DIV/0!</v>
      </c>
      <c r="F32" s="300" t="str">
        <f t="shared" si="0"/>
        <v/>
      </c>
    </row>
    <row r="33" spans="1:6">
      <c r="A33" s="540">
        <v>23</v>
      </c>
      <c r="B33" s="511"/>
      <c r="C33" s="487"/>
      <c r="D33" s="541"/>
      <c r="E33" s="940" t="e">
        <f>+D33/Balancesheet!$G$60</f>
        <v>#DIV/0!</v>
      </c>
      <c r="F33" s="300" t="str">
        <f t="shared" si="0"/>
        <v/>
      </c>
    </row>
    <row r="34" spans="1:6">
      <c r="A34" s="543">
        <v>24</v>
      </c>
      <c r="B34" s="511"/>
      <c r="C34" s="487"/>
      <c r="D34" s="541"/>
      <c r="E34" s="940" t="e">
        <f>+D34/Balancesheet!$G$60</f>
        <v>#DIV/0!</v>
      </c>
      <c r="F34" s="300" t="str">
        <f t="shared" si="0"/>
        <v/>
      </c>
    </row>
    <row r="35" spans="1:6">
      <c r="A35" s="540">
        <v>25</v>
      </c>
      <c r="B35" s="511"/>
      <c r="C35" s="487"/>
      <c r="D35" s="541"/>
      <c r="E35" s="940" t="e">
        <f>+D35/Balancesheet!$G$60</f>
        <v>#DIV/0!</v>
      </c>
      <c r="F35" s="300" t="str">
        <f t="shared" si="0"/>
        <v/>
      </c>
    </row>
    <row r="36" spans="1:6">
      <c r="A36" s="543">
        <v>26</v>
      </c>
      <c r="B36" s="511"/>
      <c r="C36" s="487"/>
      <c r="D36" s="541"/>
      <c r="E36" s="940" t="e">
        <f>+D36/Balancesheet!$G$60</f>
        <v>#DIV/0!</v>
      </c>
      <c r="F36" s="300" t="str">
        <f t="shared" si="0"/>
        <v/>
      </c>
    </row>
    <row r="37" spans="1:6">
      <c r="A37" s="540">
        <v>27</v>
      </c>
      <c r="B37" s="511"/>
      <c r="C37" s="487"/>
      <c r="D37" s="541"/>
      <c r="E37" s="940" t="e">
        <f>+D37/Balancesheet!$G$60</f>
        <v>#DIV/0!</v>
      </c>
      <c r="F37" s="300" t="str">
        <f t="shared" si="0"/>
        <v/>
      </c>
    </row>
    <row r="38" spans="1:6">
      <c r="A38" s="543">
        <v>28</v>
      </c>
      <c r="B38" s="511"/>
      <c r="C38" s="487"/>
      <c r="D38" s="541"/>
      <c r="E38" s="940" t="e">
        <f>+D38/Balancesheet!$G$60</f>
        <v>#DIV/0!</v>
      </c>
      <c r="F38" s="300" t="str">
        <f t="shared" si="0"/>
        <v/>
      </c>
    </row>
    <row r="39" spans="1:6">
      <c r="A39" s="540">
        <v>29</v>
      </c>
      <c r="B39" s="511"/>
      <c r="C39" s="487"/>
      <c r="D39" s="541"/>
      <c r="E39" s="940" t="e">
        <f>+D39/Balancesheet!$G$60</f>
        <v>#DIV/0!</v>
      </c>
      <c r="F39" s="300" t="str">
        <f t="shared" si="0"/>
        <v/>
      </c>
    </row>
    <row r="40" spans="1:6">
      <c r="A40" s="543">
        <v>30</v>
      </c>
      <c r="B40" s="511"/>
      <c r="C40" s="487"/>
      <c r="D40" s="541"/>
      <c r="E40" s="940" t="e">
        <f>+D40/Balancesheet!$G$60</f>
        <v>#DIV/0!</v>
      </c>
      <c r="F40" s="300" t="str">
        <f t="shared" si="0"/>
        <v/>
      </c>
    </row>
    <row r="41" spans="1:6">
      <c r="A41" s="540">
        <v>31</v>
      </c>
      <c r="B41" s="511"/>
      <c r="C41" s="487"/>
      <c r="D41" s="541"/>
      <c r="E41" s="940" t="e">
        <f>+D41/Balancesheet!$G$60</f>
        <v>#DIV/0!</v>
      </c>
      <c r="F41" s="300" t="str">
        <f t="shared" si="0"/>
        <v/>
      </c>
    </row>
    <row r="42" spans="1:6">
      <c r="A42" s="543">
        <v>32</v>
      </c>
      <c r="B42" s="511"/>
      <c r="C42" s="487"/>
      <c r="D42" s="541"/>
      <c r="E42" s="940" t="e">
        <f>+D42/Balancesheet!$G$60</f>
        <v>#DIV/0!</v>
      </c>
      <c r="F42" s="300" t="str">
        <f t="shared" si="0"/>
        <v/>
      </c>
    </row>
    <row r="43" spans="1:6">
      <c r="A43" s="540">
        <v>33</v>
      </c>
      <c r="B43" s="511"/>
      <c r="C43" s="487"/>
      <c r="D43" s="541"/>
      <c r="E43" s="940" t="e">
        <f>+D43/Balancesheet!$G$60</f>
        <v>#DIV/0!</v>
      </c>
      <c r="F43" s="300" t="str">
        <f t="shared" si="0"/>
        <v/>
      </c>
    </row>
    <row r="44" spans="1:6">
      <c r="A44" s="543">
        <v>34</v>
      </c>
      <c r="B44" s="511"/>
      <c r="C44" s="487"/>
      <c r="D44" s="541"/>
      <c r="E44" s="940" t="e">
        <f>+D44/Balancesheet!$G$60</f>
        <v>#DIV/0!</v>
      </c>
      <c r="F44" s="300" t="str">
        <f t="shared" si="0"/>
        <v/>
      </c>
    </row>
    <row r="45" spans="1:6">
      <c r="A45" s="540">
        <v>35</v>
      </c>
      <c r="B45" s="511"/>
      <c r="C45" s="487"/>
      <c r="D45" s="541"/>
      <c r="E45" s="940" t="e">
        <f>+D45/Balancesheet!$G$60</f>
        <v>#DIV/0!</v>
      </c>
      <c r="F45" s="300" t="str">
        <f t="shared" si="0"/>
        <v/>
      </c>
    </row>
    <row r="46" spans="1:6">
      <c r="A46" s="543">
        <v>36</v>
      </c>
      <c r="B46" s="511"/>
      <c r="C46" s="487"/>
      <c r="D46" s="541"/>
      <c r="E46" s="940" t="e">
        <f>+D46/Balancesheet!$G$60</f>
        <v>#DIV/0!</v>
      </c>
      <c r="F46" s="300" t="str">
        <f t="shared" si="0"/>
        <v/>
      </c>
    </row>
    <row r="47" spans="1:6">
      <c r="A47" s="540">
        <v>37</v>
      </c>
      <c r="B47" s="511"/>
      <c r="C47" s="487"/>
      <c r="D47" s="541"/>
      <c r="E47" s="940" t="e">
        <f>+D47/Balancesheet!$G$60</f>
        <v>#DIV/0!</v>
      </c>
      <c r="F47" s="300" t="str">
        <f t="shared" si="0"/>
        <v/>
      </c>
    </row>
    <row r="48" spans="1:6">
      <c r="A48" s="543">
        <v>38</v>
      </c>
      <c r="B48" s="511"/>
      <c r="C48" s="487"/>
      <c r="D48" s="541"/>
      <c r="E48" s="940" t="e">
        <f>+D48/Balancesheet!$G$60</f>
        <v>#DIV/0!</v>
      </c>
      <c r="F48" s="300" t="str">
        <f t="shared" si="0"/>
        <v/>
      </c>
    </row>
    <row r="49" spans="1:16">
      <c r="A49" s="540">
        <v>39</v>
      </c>
      <c r="B49" s="511"/>
      <c r="C49" s="487"/>
      <c r="D49" s="541"/>
      <c r="E49" s="940" t="e">
        <f>+D49/Balancesheet!$G$60</f>
        <v>#DIV/0!</v>
      </c>
      <c r="F49" s="300" t="str">
        <f t="shared" si="0"/>
        <v/>
      </c>
    </row>
    <row r="50" spans="1:16" ht="13.5" thickBot="1">
      <c r="A50" s="544">
        <v>40</v>
      </c>
      <c r="B50" s="514"/>
      <c r="C50" s="487"/>
      <c r="D50" s="545"/>
      <c r="E50" s="940" t="e">
        <f>+D50/Balancesheet!$G$60</f>
        <v>#DIV/0!</v>
      </c>
      <c r="F50" s="300" t="str">
        <f t="shared" si="0"/>
        <v/>
      </c>
    </row>
    <row r="51" spans="1:16" ht="15" customHeight="1" thickBot="1">
      <c r="A51" s="1573" t="s">
        <v>924</v>
      </c>
      <c r="B51" s="1574"/>
      <c r="C51" s="1575"/>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435" t="s">
        <v>647</v>
      </c>
      <c r="B54" s="1435"/>
      <c r="C54" s="1435"/>
      <c r="D54" s="1435"/>
      <c r="E54" s="1435"/>
      <c r="F54" s="1031"/>
      <c r="G54" s="1031"/>
      <c r="H54" s="1031"/>
      <c r="I54" s="1031"/>
      <c r="J54" s="1031"/>
      <c r="K54" s="1031"/>
      <c r="L54" s="1031"/>
      <c r="M54" s="1031"/>
      <c r="N54" s="1031"/>
      <c r="O54" s="1031"/>
      <c r="P54" s="1031"/>
    </row>
    <row r="55" spans="1:16" ht="15" customHeight="1">
      <c r="A55" s="1554" t="s">
        <v>937</v>
      </c>
      <c r="B55" s="1554"/>
      <c r="C55" s="1554"/>
      <c r="D55" s="1554"/>
      <c r="E55" s="1554"/>
      <c r="F55"/>
      <c r="G55"/>
      <c r="H55"/>
      <c r="I55"/>
      <c r="J55"/>
      <c r="K55"/>
      <c r="L55"/>
      <c r="M55"/>
      <c r="N55"/>
      <c r="O55"/>
    </row>
    <row r="56" spans="1:16" ht="15" customHeight="1">
      <c r="A56" s="1554" t="s">
        <v>938</v>
      </c>
      <c r="B56" s="1554"/>
      <c r="C56" s="1554"/>
      <c r="D56" s="1554"/>
      <c r="E56" s="1554"/>
      <c r="F56"/>
      <c r="G56"/>
      <c r="H56"/>
      <c r="I56"/>
      <c r="J56"/>
      <c r="K56"/>
      <c r="L56"/>
      <c r="M56"/>
      <c r="N56"/>
      <c r="O56"/>
    </row>
    <row r="57" spans="1:16" ht="27.75" customHeight="1">
      <c r="A57" s="1554" t="s">
        <v>939</v>
      </c>
      <c r="B57" s="1554"/>
      <c r="C57" s="1554"/>
      <c r="D57" s="1554"/>
      <c r="E57" s="1554"/>
      <c r="F57"/>
      <c r="G57"/>
      <c r="H57"/>
      <c r="I57"/>
      <c r="J57"/>
      <c r="K57"/>
      <c r="L57"/>
      <c r="M57"/>
      <c r="N57"/>
      <c r="O57"/>
    </row>
    <row r="58" spans="1:16" ht="32.25" customHeight="1">
      <c r="A58" s="1613" t="s">
        <v>940</v>
      </c>
      <c r="B58" s="1613"/>
      <c r="C58" s="1613"/>
      <c r="D58" s="1613"/>
      <c r="E58" s="1613"/>
      <c r="F58"/>
      <c r="G58"/>
      <c r="H58"/>
      <c r="I58"/>
      <c r="J58"/>
      <c r="K58"/>
      <c r="L58"/>
      <c r="M58"/>
      <c r="N58"/>
      <c r="O58"/>
    </row>
    <row r="59" spans="1:16">
      <c r="A59" s="7"/>
      <c r="B59" s="7"/>
      <c r="C59" s="7"/>
      <c r="D59" s="7"/>
      <c r="E59" s="552"/>
    </row>
    <row r="60" spans="1:16">
      <c r="A60" s="1420" t="s">
        <v>111</v>
      </c>
      <c r="B60" s="1420"/>
      <c r="C60" s="1420"/>
      <c r="D60" s="1420"/>
      <c r="E60" s="1420"/>
    </row>
    <row r="61" spans="1:16">
      <c r="A61" s="1432" t="s">
        <v>112</v>
      </c>
      <c r="B61" s="1432"/>
      <c r="C61" s="1432"/>
      <c r="D61" s="1432"/>
      <c r="E61" s="1432"/>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58:E58"/>
    <mergeCell ref="A51:C51"/>
    <mergeCell ref="A57:E57"/>
    <mergeCell ref="A60:E60"/>
    <mergeCell ref="A61:E61"/>
    <mergeCell ref="A54:E54"/>
    <mergeCell ref="A55:E55"/>
    <mergeCell ref="A56:E56"/>
    <mergeCell ref="A4:E4"/>
    <mergeCell ref="A5:E5"/>
    <mergeCell ref="A6:E6"/>
    <mergeCell ref="A8:B8"/>
    <mergeCell ref="A9:A10"/>
    <mergeCell ref="B9:B10"/>
    <mergeCell ref="C9:C10"/>
    <mergeCell ref="D9:D10"/>
    <mergeCell ref="E9:E10"/>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topLeftCell="A17" zoomScaleNormal="100" workbookViewId="0">
      <selection activeCell="J16" sqref="J16"/>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639" t="s">
        <v>942</v>
      </c>
      <c r="B4" s="1634"/>
      <c r="C4" s="1634"/>
      <c r="D4" s="1634"/>
      <c r="E4" s="1634"/>
      <c r="F4" s="1634"/>
      <c r="G4" s="1634"/>
      <c r="H4" s="1634"/>
      <c r="I4" s="1634"/>
      <c r="J4" s="1634"/>
      <c r="K4" s="1634"/>
      <c r="L4" s="1"/>
    </row>
    <row r="5" spans="1:12">
      <c r="A5" s="1640" t="str">
        <f>+STATISTICS!A5</f>
        <v>ХАДГАЛАМЖ, ЗЭЭЛИЙН ХОРШООНЫ НЭР</v>
      </c>
      <c r="B5" s="1634"/>
      <c r="C5" s="1634"/>
      <c r="D5" s="1634"/>
      <c r="E5" s="1634"/>
      <c r="F5" s="1634"/>
      <c r="G5" s="1634"/>
      <c r="H5" s="1634"/>
      <c r="I5" s="1634"/>
      <c r="J5" s="1634"/>
      <c r="K5" s="1634"/>
      <c r="L5" s="1"/>
    </row>
    <row r="6" spans="1:12">
      <c r="A6" s="1639" t="s">
        <v>38</v>
      </c>
      <c r="B6" s="1634"/>
      <c r="C6" s="1634"/>
      <c r="D6" s="1634"/>
      <c r="E6" s="1634"/>
      <c r="F6" s="1634"/>
      <c r="G6" s="1634"/>
      <c r="H6" s="1634"/>
      <c r="I6" s="1634"/>
      <c r="J6" s="1634"/>
      <c r="K6" s="1634"/>
      <c r="L6" s="1"/>
    </row>
    <row r="7" spans="1:12">
      <c r="A7" s="553"/>
      <c r="B7" s="553"/>
      <c r="C7" s="554"/>
      <c r="D7" s="554"/>
      <c r="E7" s="554"/>
      <c r="F7" s="554"/>
      <c r="G7" s="554"/>
      <c r="H7" s="554"/>
      <c r="I7" s="554"/>
      <c r="J7" s="554"/>
      <c r="K7" s="554"/>
      <c r="L7" s="1"/>
    </row>
    <row r="8" spans="1:12" ht="15.75" thickBot="1">
      <c r="A8" s="1641"/>
      <c r="B8" s="1642"/>
      <c r="C8" s="560"/>
      <c r="D8" s="560"/>
      <c r="E8" s="554"/>
      <c r="F8" s="554"/>
      <c r="G8" s="554"/>
      <c r="H8" s="554"/>
      <c r="I8" s="554"/>
      <c r="J8" s="554"/>
      <c r="K8" s="474" t="s">
        <v>117</v>
      </c>
      <c r="L8" s="1"/>
    </row>
    <row r="9" spans="1:12" ht="15.75" thickBot="1">
      <c r="A9" s="1643" t="s">
        <v>943</v>
      </c>
      <c r="B9" s="1644"/>
      <c r="C9" s="655" t="s">
        <v>944</v>
      </c>
      <c r="D9" s="655" t="s">
        <v>134</v>
      </c>
      <c r="E9" s="655" t="s">
        <v>945</v>
      </c>
      <c r="F9" s="655" t="s">
        <v>946</v>
      </c>
      <c r="G9" s="655" t="s">
        <v>947</v>
      </c>
      <c r="H9" s="655" t="s">
        <v>948</v>
      </c>
      <c r="I9" s="655" t="s">
        <v>949</v>
      </c>
      <c r="J9" s="655" t="s">
        <v>950</v>
      </c>
      <c r="K9" s="656" t="s">
        <v>951</v>
      </c>
      <c r="L9" s="1"/>
    </row>
    <row r="10" spans="1:12">
      <c r="A10" s="1636" t="s">
        <v>952</v>
      </c>
      <c r="B10" s="1637"/>
      <c r="C10" s="1637"/>
      <c r="D10" s="1637"/>
      <c r="E10" s="1637"/>
      <c r="F10" s="1637"/>
      <c r="G10" s="1637"/>
      <c r="H10" s="1637"/>
      <c r="I10" s="1637"/>
      <c r="J10" s="1637"/>
      <c r="K10" s="1638"/>
      <c r="L10" s="1"/>
    </row>
    <row r="11" spans="1:12">
      <c r="A11" s="562">
        <v>1</v>
      </c>
      <c r="B11" s="650" t="s">
        <v>126</v>
      </c>
      <c r="C11" s="565">
        <f>+Balancesheet!C12</f>
        <v>0</v>
      </c>
      <c r="D11" s="1635" t="s">
        <v>573</v>
      </c>
      <c r="E11" s="1635"/>
      <c r="F11" s="1635"/>
      <c r="G11" s="1635"/>
      <c r="H11" s="1635"/>
      <c r="I11" s="1635"/>
      <c r="J11" s="1635"/>
      <c r="K11" s="653">
        <f>+C11</f>
        <v>0</v>
      </c>
      <c r="L11" s="561" t="str">
        <f>IF(K11=Balancesheet!C12,"","Балансын дүнгээс "&amp;K11-Balancesheet!C12&amp;"-ээр зөрүүтэй байна")</f>
        <v/>
      </c>
    </row>
    <row r="12" spans="1:12" ht="25.5">
      <c r="A12" s="562">
        <v>2</v>
      </c>
      <c r="B12" s="650" t="s">
        <v>953</v>
      </c>
      <c r="C12" s="565">
        <f>+Balancesheet!C13</f>
        <v>0</v>
      </c>
      <c r="D12" s="1635" t="s">
        <v>573</v>
      </c>
      <c r="E12" s="1635"/>
      <c r="F12" s="1635"/>
      <c r="G12" s="1635"/>
      <c r="H12" s="1635"/>
      <c r="I12" s="1635"/>
      <c r="J12" s="1635"/>
      <c r="K12" s="653">
        <f>+C12</f>
        <v>0</v>
      </c>
      <c r="L12" s="561" t="str">
        <f>IF(K12=Balancesheet!C13,"","Балансын дүнгээс "&amp;K12-Balancesheet!C13&amp;"-ээр зөрүүтэй байна")</f>
        <v/>
      </c>
    </row>
    <row r="13" spans="1:12" ht="25.5">
      <c r="A13" s="562">
        <v>3</v>
      </c>
      <c r="B13" s="650" t="s">
        <v>954</v>
      </c>
      <c r="C13" s="565">
        <f>+Balance!D20</f>
        <v>0</v>
      </c>
      <c r="D13" s="1056"/>
      <c r="E13" s="1056"/>
      <c r="F13" s="1056"/>
      <c r="G13" s="1056"/>
      <c r="H13" s="1056"/>
      <c r="I13" s="1056"/>
      <c r="J13" s="1056"/>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635" t="s">
        <v>573</v>
      </c>
      <c r="E14" s="1635"/>
      <c r="F14" s="1635"/>
      <c r="G14" s="1635"/>
      <c r="H14" s="1635"/>
      <c r="I14" s="1635"/>
      <c r="J14" s="1635"/>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1041">
        <f>+'LOAN-PD'!Y18</f>
        <v>0</v>
      </c>
      <c r="E17" s="1041">
        <f>+'LOAN-PD'!Y19</f>
        <v>0</v>
      </c>
      <c r="F17" s="1041">
        <f>+'LOAN-PD'!Y20</f>
        <v>0</v>
      </c>
      <c r="G17" s="1041">
        <f>+'LOAN-PD'!Y21</f>
        <v>0</v>
      </c>
      <c r="H17" s="1041">
        <f>+'LOAN-PD'!Y22</f>
        <v>0</v>
      </c>
      <c r="I17" s="1041">
        <f>+'LOAN-PD'!Y23</f>
        <v>0</v>
      </c>
      <c r="J17" s="1041">
        <f>+'LOAN-PD'!Y24</f>
        <v>0</v>
      </c>
      <c r="K17" s="653">
        <f>SUM(D17,E17,F17,G17,H17,I17,J17)</f>
        <v>0</v>
      </c>
      <c r="L17" s="561" t="str">
        <f>IF(K17=Balancesheet!C19,"","Балансын дүнгээс "&amp;K17-Balancesheet!C19&amp;"-ээр зөрүүтэй байна")</f>
        <v/>
      </c>
    </row>
    <row r="18" spans="1:12">
      <c r="A18" s="562">
        <v>8</v>
      </c>
      <c r="B18" s="650" t="s">
        <v>955</v>
      </c>
      <c r="C18" s="1614" t="s">
        <v>573</v>
      </c>
      <c r="D18" s="1615"/>
      <c r="E18" s="1615"/>
      <c r="F18" s="1615"/>
      <c r="G18" s="1615"/>
      <c r="H18" s="1615"/>
      <c r="I18" s="1615"/>
      <c r="J18" s="1616"/>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618" t="s">
        <v>957</v>
      </c>
      <c r="B20" s="1619"/>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620" t="s">
        <v>958</v>
      </c>
      <c r="B21" s="1621"/>
      <c r="C21" s="1621"/>
      <c r="D21" s="1621"/>
      <c r="E21" s="1621"/>
      <c r="F21" s="1621"/>
      <c r="G21" s="1621"/>
      <c r="H21" s="1621"/>
      <c r="I21" s="1621"/>
      <c r="J21" s="1621"/>
      <c r="K21" s="1622"/>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623" t="s">
        <v>960</v>
      </c>
      <c r="B25" s="1624"/>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625" t="s">
        <v>961</v>
      </c>
      <c r="B26" s="1626"/>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627" t="s">
        <v>962</v>
      </c>
      <c r="B27" s="1628"/>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629" t="s">
        <v>963</v>
      </c>
      <c r="B28" s="1630"/>
      <c r="C28" s="1042" t="e">
        <f>+C27/Balancesheet!$G$78</f>
        <v>#DIV/0!</v>
      </c>
      <c r="D28" s="944" t="e">
        <f>+D27/Balancesheet!$G$78</f>
        <v>#DIV/0!</v>
      </c>
      <c r="E28" s="944" t="e">
        <f>+E27/Balancesheet!$G$78</f>
        <v>#DIV/0!</v>
      </c>
      <c r="F28" s="944" t="e">
        <f>+F27/Balancesheet!$G$78</f>
        <v>#DIV/0!</v>
      </c>
      <c r="G28" s="944" t="e">
        <f>+G27/Balancesheet!$G$78</f>
        <v>#DIV/0!</v>
      </c>
      <c r="H28" s="944" t="e">
        <f>+H27/Balancesheet!$G$78</f>
        <v>#DIV/0!</v>
      </c>
      <c r="I28" s="944" t="e">
        <f>+I27/Balancesheet!$G$78</f>
        <v>#DIV/0!</v>
      </c>
      <c r="J28" s="944" t="e">
        <f>+J27/Balancesheet!$G$78</f>
        <v>#DIV/0!</v>
      </c>
      <c r="K28" s="945"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631" t="s">
        <v>647</v>
      </c>
      <c r="B31" s="1631"/>
      <c r="C31" s="1631"/>
      <c r="D31" s="1631"/>
      <c r="E31" s="1631"/>
      <c r="F31" s="1631"/>
      <c r="G31" s="1631"/>
      <c r="H31" s="1631"/>
      <c r="I31" s="1631"/>
      <c r="J31" s="1631"/>
      <c r="K31" s="1631"/>
      <c r="L31" s="1"/>
    </row>
    <row r="32" spans="1:12">
      <c r="A32" s="1632" t="s">
        <v>965</v>
      </c>
      <c r="B32" s="1632"/>
      <c r="C32" s="1632"/>
      <c r="D32" s="1632"/>
      <c r="E32" s="1632"/>
      <c r="F32" s="1632"/>
      <c r="G32" s="1632"/>
      <c r="H32" s="1632"/>
      <c r="I32" s="1632"/>
      <c r="J32" s="1632"/>
      <c r="K32" s="1632"/>
      <c r="L32" s="1"/>
    </row>
    <row r="33" spans="1:12">
      <c r="A33" s="567" t="s">
        <v>966</v>
      </c>
      <c r="B33" s="567"/>
      <c r="C33" s="567"/>
      <c r="D33" s="567"/>
      <c r="E33" s="567"/>
      <c r="F33" s="567"/>
      <c r="G33" s="567"/>
      <c r="H33" s="567"/>
      <c r="I33" s="567"/>
      <c r="J33" s="567"/>
      <c r="K33" s="666"/>
      <c r="L33" s="1"/>
    </row>
    <row r="34" spans="1:12">
      <c r="A34" s="553"/>
      <c r="B34" s="553"/>
      <c r="C34" s="1633"/>
      <c r="D34" s="1634"/>
      <c r="E34" s="568"/>
      <c r="F34" s="553"/>
      <c r="G34" s="553"/>
      <c r="H34" s="553"/>
      <c r="I34" s="569"/>
      <c r="J34" s="555"/>
      <c r="K34" s="555"/>
      <c r="L34" s="1"/>
    </row>
    <row r="35" spans="1:12">
      <c r="A35" s="1420" t="s">
        <v>111</v>
      </c>
      <c r="B35" s="1420"/>
      <c r="C35" s="1420"/>
      <c r="D35" s="1420"/>
      <c r="E35" s="1420"/>
      <c r="F35" s="1420"/>
      <c r="G35" s="1420"/>
      <c r="H35" s="1420"/>
      <c r="I35" s="1420"/>
      <c r="J35" s="1420"/>
      <c r="K35" s="1420"/>
      <c r="L35" s="1"/>
    </row>
    <row r="36" spans="1:12">
      <c r="A36" s="1617" t="s">
        <v>112</v>
      </c>
      <c r="B36" s="1617"/>
      <c r="C36" s="1617"/>
      <c r="D36" s="1617"/>
      <c r="E36" s="1617"/>
      <c r="F36" s="1617"/>
      <c r="G36" s="1617"/>
      <c r="H36" s="1617"/>
      <c r="I36" s="1617"/>
      <c r="J36" s="1617"/>
      <c r="K36" s="1617"/>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oGqu8GXTibhcWI4uIfmWZw5vYMRQs8Vyxi7/1oIqniZsZeRMy1jnTNe5PLXUrONXc/52dkmPUwOm8fZ9kFY4CA==" saltValue="svf6x+DuPZUA099vi6OGEA==" spinCount="100000" sheet="1" objects="1" scenarios="1"/>
  <mergeCells count="21">
    <mergeCell ref="D12:J12"/>
    <mergeCell ref="D14:J14"/>
    <mergeCell ref="A10:K10"/>
    <mergeCell ref="D11:J11"/>
    <mergeCell ref="A4:K4"/>
    <mergeCell ref="A5:K5"/>
    <mergeCell ref="A6:K6"/>
    <mergeCell ref="A8:B8"/>
    <mergeCell ref="A9:B9"/>
    <mergeCell ref="C18:J18"/>
    <mergeCell ref="A36:K36"/>
    <mergeCell ref="A20:B20"/>
    <mergeCell ref="A21:K21"/>
    <mergeCell ref="A25:B25"/>
    <mergeCell ref="A26:B26"/>
    <mergeCell ref="A27:B27"/>
    <mergeCell ref="A28:B28"/>
    <mergeCell ref="A31:K31"/>
    <mergeCell ref="A32:K32"/>
    <mergeCell ref="C34:D34"/>
    <mergeCell ref="A35:K35"/>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topLeftCell="A7"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656" t="s">
        <v>968</v>
      </c>
      <c r="B4" s="1656"/>
      <c r="C4" s="1656"/>
      <c r="D4" s="1656"/>
      <c r="E4" s="1656"/>
      <c r="F4" s="1656"/>
      <c r="G4" s="1656"/>
      <c r="H4" s="1656"/>
    </row>
    <row r="5" spans="1:9">
      <c r="A5" s="1444" t="str">
        <f>+STATISTICS!A5</f>
        <v>ХАДГАЛАМЖ, ЗЭЭЛИЙН ХОРШООНЫ НЭР</v>
      </c>
      <c r="B5" s="1444"/>
      <c r="C5" s="1444"/>
      <c r="D5" s="1444"/>
      <c r="E5" s="1444"/>
      <c r="F5" s="1444"/>
      <c r="G5" s="1444"/>
      <c r="H5" s="1444"/>
    </row>
    <row r="6" spans="1:9">
      <c r="A6" s="1420" t="s">
        <v>38</v>
      </c>
      <c r="B6" s="1420"/>
      <c r="C6" s="1420"/>
      <c r="D6" s="1420"/>
      <c r="E6" s="1420"/>
      <c r="F6" s="1420"/>
      <c r="G6" s="1420"/>
      <c r="H6" s="1420"/>
    </row>
    <row r="7" spans="1:9">
      <c r="A7" s="1596"/>
      <c r="B7" s="1596"/>
      <c r="C7" s="1596"/>
      <c r="D7" s="1596"/>
      <c r="E7" s="1596"/>
      <c r="F7" s="1596"/>
      <c r="G7" s="1596"/>
      <c r="H7" s="1596"/>
    </row>
    <row r="8" spans="1:9" ht="13.5" thickBot="1">
      <c r="A8" s="1598"/>
      <c r="B8" s="1598"/>
      <c r="C8" s="506"/>
      <c r="D8" s="506"/>
      <c r="E8" s="506"/>
      <c r="F8" s="506"/>
      <c r="G8" s="7"/>
      <c r="H8" s="4" t="str">
        <f>[1]BALANCESHEET!H7</f>
        <v>/төгрөгөөр/</v>
      </c>
    </row>
    <row r="9" spans="1:9" ht="13.5" thickBot="1">
      <c r="A9" s="1657" t="s">
        <v>531</v>
      </c>
      <c r="B9" s="1658"/>
      <c r="C9" s="1658"/>
      <c r="D9" s="1658"/>
      <c r="E9" s="1658"/>
      <c r="F9" s="1658"/>
      <c r="G9" s="1659" t="s">
        <v>572</v>
      </c>
      <c r="H9" s="1660"/>
    </row>
    <row r="10" spans="1:9" ht="39" thickBot="1">
      <c r="A10" s="572" t="s">
        <v>39</v>
      </c>
      <c r="B10" s="761" t="s">
        <v>969</v>
      </c>
      <c r="C10" s="761" t="s">
        <v>970</v>
      </c>
      <c r="D10" s="668" t="s">
        <v>971</v>
      </c>
      <c r="E10" s="866"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867" t="e">
        <f>C12/C11*100%</f>
        <v>#DIV/0!</v>
      </c>
      <c r="E12" s="582">
        <v>0</v>
      </c>
      <c r="F12" s="581">
        <f>C12*E12</f>
        <v>0</v>
      </c>
      <c r="G12" s="1661">
        <f>+Balancesheet!C30</f>
        <v>0</v>
      </c>
      <c r="H12" s="1664">
        <f>G12-F11</f>
        <v>0</v>
      </c>
      <c r="I12" s="583"/>
    </row>
    <row r="13" spans="1:9">
      <c r="A13" s="584">
        <v>2</v>
      </c>
      <c r="B13" s="874" t="s">
        <v>70</v>
      </c>
      <c r="C13" s="585">
        <f>+Balancesheet!C23</f>
        <v>0</v>
      </c>
      <c r="D13" s="868" t="e">
        <f>C13/C11*100%</f>
        <v>#DIV/0!</v>
      </c>
      <c r="E13" s="586">
        <v>0.05</v>
      </c>
      <c r="F13" s="585">
        <f>C13*E13</f>
        <v>0</v>
      </c>
      <c r="G13" s="1662"/>
      <c r="H13" s="1665"/>
      <c r="I13" s="587"/>
    </row>
    <row r="14" spans="1:9">
      <c r="A14" s="588">
        <v>3</v>
      </c>
      <c r="B14" s="875" t="s">
        <v>977</v>
      </c>
      <c r="C14" s="589">
        <f>+Balancesheet!C24</f>
        <v>0</v>
      </c>
      <c r="D14" s="868" t="e">
        <f>C14/C11*100%</f>
        <v>#DIV/0!</v>
      </c>
      <c r="E14" s="586"/>
      <c r="F14" s="589">
        <f>SUM(F15:F17)</f>
        <v>0</v>
      </c>
      <c r="G14" s="1662"/>
      <c r="H14" s="1665"/>
      <c r="I14" s="587"/>
    </row>
    <row r="15" spans="1:9">
      <c r="A15" s="584">
        <v>4</v>
      </c>
      <c r="B15" s="877" t="s">
        <v>978</v>
      </c>
      <c r="C15" s="883">
        <f>+Balancesheet!C25</f>
        <v>0</v>
      </c>
      <c r="D15" s="868" t="e">
        <f>C15/C11*100%</f>
        <v>#DIV/0!</v>
      </c>
      <c r="E15" s="586">
        <v>0.25</v>
      </c>
      <c r="F15" s="585">
        <f>C15*E15</f>
        <v>0</v>
      </c>
      <c r="G15" s="1662"/>
      <c r="H15" s="1665"/>
      <c r="I15" s="587"/>
    </row>
    <row r="16" spans="1:9">
      <c r="A16" s="584">
        <v>5</v>
      </c>
      <c r="B16" s="877" t="s">
        <v>979</v>
      </c>
      <c r="C16" s="883">
        <f>+Balancesheet!C26</f>
        <v>0</v>
      </c>
      <c r="D16" s="868" t="e">
        <f>C16/C11*100%</f>
        <v>#DIV/0!</v>
      </c>
      <c r="E16" s="586">
        <v>0.5</v>
      </c>
      <c r="F16" s="585">
        <f>C16*E16</f>
        <v>0</v>
      </c>
      <c r="G16" s="1662"/>
      <c r="H16" s="1665"/>
      <c r="I16" s="587"/>
    </row>
    <row r="17" spans="1:9" ht="13.5" thickBot="1">
      <c r="A17" s="591">
        <v>6</v>
      </c>
      <c r="B17" s="877" t="s">
        <v>980</v>
      </c>
      <c r="C17" s="883">
        <f>+Balancesheet!C27</f>
        <v>0</v>
      </c>
      <c r="D17" s="869" t="e">
        <f>C17/C11*100%</f>
        <v>#DIV/0!</v>
      </c>
      <c r="E17" s="592">
        <v>1</v>
      </c>
      <c r="F17" s="593">
        <f>C17*E17</f>
        <v>0</v>
      </c>
      <c r="G17" s="1663"/>
      <c r="H17" s="1666"/>
      <c r="I17" s="587"/>
    </row>
    <row r="18" spans="1:9" ht="13.5" thickBot="1">
      <c r="A18" s="572" t="s">
        <v>672</v>
      </c>
      <c r="B18" s="594" t="s">
        <v>981</v>
      </c>
      <c r="C18" s="578">
        <f>SUM(C19:C21)</f>
        <v>0</v>
      </c>
      <c r="D18" s="574">
        <v>1</v>
      </c>
      <c r="E18" s="870"/>
      <c r="F18" s="595">
        <f>SUM(F19:F21)</f>
        <v>0</v>
      </c>
      <c r="G18" s="596"/>
      <c r="H18" s="597"/>
      <c r="I18" s="587"/>
    </row>
    <row r="19" spans="1:9">
      <c r="A19" s="580">
        <v>1</v>
      </c>
      <c r="B19" s="876" t="s">
        <v>982</v>
      </c>
      <c r="C19" s="881"/>
      <c r="D19" s="867" t="e">
        <f>C19/C18*100%</f>
        <v>#DIV/0!</v>
      </c>
      <c r="E19" s="871">
        <v>0</v>
      </c>
      <c r="F19" s="581">
        <f>C19*E19</f>
        <v>0</v>
      </c>
      <c r="G19" s="1661">
        <f>+Balancesheet!C51</f>
        <v>0</v>
      </c>
      <c r="H19" s="1664">
        <f>+F18-G19</f>
        <v>0</v>
      </c>
      <c r="I19" s="587"/>
    </row>
    <row r="20" spans="1:9">
      <c r="A20" s="584">
        <v>2</v>
      </c>
      <c r="B20" s="590" t="s">
        <v>983</v>
      </c>
      <c r="C20" s="882"/>
      <c r="D20" s="868" t="e">
        <f>C20/C18*100%</f>
        <v>#DIV/0!</v>
      </c>
      <c r="E20" s="872">
        <v>0.05</v>
      </c>
      <c r="F20" s="585">
        <f>C20*E20</f>
        <v>0</v>
      </c>
      <c r="G20" s="1662"/>
      <c r="H20" s="1665"/>
      <c r="I20" s="587"/>
    </row>
    <row r="21" spans="1:9">
      <c r="A21" s="584">
        <v>3</v>
      </c>
      <c r="B21" s="590" t="s">
        <v>984</v>
      </c>
      <c r="C21" s="633">
        <f>+SUM(C22:C24)</f>
        <v>0</v>
      </c>
      <c r="D21" s="868" t="e">
        <f>C21/C18*100%</f>
        <v>#DIV/0!</v>
      </c>
      <c r="E21" s="872"/>
      <c r="F21" s="589">
        <f>SUM(F22:F24)</f>
        <v>0</v>
      </c>
      <c r="G21" s="1662"/>
      <c r="H21" s="1665"/>
      <c r="I21" s="587"/>
    </row>
    <row r="22" spans="1:9">
      <c r="A22" s="584">
        <v>4</v>
      </c>
      <c r="B22" s="877" t="s">
        <v>978</v>
      </c>
      <c r="C22" s="879"/>
      <c r="D22" s="868" t="e">
        <f>C22/C18*100%</f>
        <v>#DIV/0!</v>
      </c>
      <c r="E22" s="872">
        <v>0.25</v>
      </c>
      <c r="F22" s="585">
        <f>C22*E22</f>
        <v>0</v>
      </c>
      <c r="G22" s="1662"/>
      <c r="H22" s="1665"/>
    </row>
    <row r="23" spans="1:9">
      <c r="A23" s="584">
        <v>5</v>
      </c>
      <c r="B23" s="877" t="s">
        <v>979</v>
      </c>
      <c r="C23" s="879"/>
      <c r="D23" s="868" t="e">
        <f>C23/C18*100%</f>
        <v>#DIV/0!</v>
      </c>
      <c r="E23" s="872">
        <v>0.5</v>
      </c>
      <c r="F23" s="585">
        <f>C23*E23</f>
        <v>0</v>
      </c>
      <c r="G23" s="1662"/>
      <c r="H23" s="1665"/>
    </row>
    <row r="24" spans="1:9" ht="13.5" thickBot="1">
      <c r="A24" s="591">
        <v>6</v>
      </c>
      <c r="B24" s="878" t="s">
        <v>980</v>
      </c>
      <c r="C24" s="880"/>
      <c r="D24" s="869" t="e">
        <f>C24/C18*100%</f>
        <v>#DIV/0!</v>
      </c>
      <c r="E24" s="873">
        <v>1</v>
      </c>
      <c r="F24" s="593">
        <f>C24*E24</f>
        <v>0</v>
      </c>
      <c r="G24" s="1663"/>
      <c r="H24" s="1666"/>
    </row>
    <row r="25" spans="1:9" ht="13.5" thickBot="1">
      <c r="A25" s="572" t="s">
        <v>673</v>
      </c>
      <c r="B25" s="594" t="s">
        <v>985</v>
      </c>
      <c r="C25" s="578">
        <f>SUM(C26:C28)</f>
        <v>0</v>
      </c>
      <c r="D25" s="574">
        <v>1</v>
      </c>
      <c r="E25" s="870"/>
      <c r="F25" s="595">
        <f>SUM(F26:F28)</f>
        <v>0</v>
      </c>
      <c r="G25" s="596"/>
      <c r="H25" s="597"/>
      <c r="I25" s="561"/>
    </row>
    <row r="26" spans="1:9">
      <c r="A26" s="580">
        <v>1</v>
      </c>
      <c r="B26" s="876" t="s">
        <v>986</v>
      </c>
      <c r="C26" s="881"/>
      <c r="D26" s="867" t="e">
        <f>C26/C25*100%</f>
        <v>#DIV/0!</v>
      </c>
      <c r="E26" s="871">
        <v>0</v>
      </c>
      <c r="F26" s="581">
        <f>C26*E26</f>
        <v>0</v>
      </c>
      <c r="G26" s="1661">
        <f>+Balancesheet!C37</f>
        <v>0</v>
      </c>
      <c r="H26" s="1664">
        <f>+F25-G26</f>
        <v>0</v>
      </c>
    </row>
    <row r="27" spans="1:9">
      <c r="A27" s="584">
        <v>2</v>
      </c>
      <c r="B27" s="590" t="s">
        <v>987</v>
      </c>
      <c r="C27" s="882"/>
      <c r="D27" s="868" t="e">
        <f>C27/C25*100%</f>
        <v>#DIV/0!</v>
      </c>
      <c r="E27" s="872">
        <v>0.05</v>
      </c>
      <c r="F27" s="585">
        <f>C27*E27</f>
        <v>0</v>
      </c>
      <c r="G27" s="1662"/>
      <c r="H27" s="1665"/>
    </row>
    <row r="28" spans="1:9">
      <c r="A28" s="584">
        <v>3</v>
      </c>
      <c r="B28" s="590" t="s">
        <v>988</v>
      </c>
      <c r="C28" s="633">
        <f>+SUM(C29:C31)</f>
        <v>0</v>
      </c>
      <c r="D28" s="868" t="e">
        <f>C28/C25*100%</f>
        <v>#DIV/0!</v>
      </c>
      <c r="E28" s="872"/>
      <c r="F28" s="589">
        <f>SUM(F29:F31)</f>
        <v>0</v>
      </c>
      <c r="G28" s="1662"/>
      <c r="H28" s="1665"/>
    </row>
    <row r="29" spans="1:9">
      <c r="A29" s="584">
        <v>4</v>
      </c>
      <c r="B29" s="877" t="s">
        <v>978</v>
      </c>
      <c r="C29" s="879"/>
      <c r="D29" s="868" t="e">
        <f>C29/C25*100%</f>
        <v>#DIV/0!</v>
      </c>
      <c r="E29" s="872">
        <v>0.25</v>
      </c>
      <c r="F29" s="585">
        <f>C29*E29</f>
        <v>0</v>
      </c>
      <c r="G29" s="1662"/>
      <c r="H29" s="1665"/>
    </row>
    <row r="30" spans="1:9">
      <c r="A30" s="584">
        <v>5</v>
      </c>
      <c r="B30" s="877" t="s">
        <v>979</v>
      </c>
      <c r="C30" s="879"/>
      <c r="D30" s="868" t="e">
        <f>C30/C25*100%</f>
        <v>#DIV/0!</v>
      </c>
      <c r="E30" s="872">
        <v>0.5</v>
      </c>
      <c r="F30" s="585">
        <f>C30*E30</f>
        <v>0</v>
      </c>
      <c r="G30" s="1662"/>
      <c r="H30" s="1665"/>
    </row>
    <row r="31" spans="1:9" ht="13.5" thickBot="1">
      <c r="A31" s="591">
        <v>6</v>
      </c>
      <c r="B31" s="878" t="s">
        <v>980</v>
      </c>
      <c r="C31" s="880"/>
      <c r="D31" s="869" t="e">
        <f>C31/C25*100%</f>
        <v>#DIV/0!</v>
      </c>
      <c r="E31" s="873">
        <v>1</v>
      </c>
      <c r="F31" s="593">
        <f>C31*E31</f>
        <v>0</v>
      </c>
      <c r="G31" s="1663"/>
      <c r="H31" s="1666"/>
    </row>
    <row r="32" spans="1:9" ht="13.5" thickBot="1">
      <c r="A32" s="1667" t="s">
        <v>989</v>
      </c>
      <c r="B32" s="1668"/>
      <c r="C32" s="1668"/>
      <c r="D32" s="1668"/>
      <c r="E32" s="1668"/>
      <c r="F32" s="1668"/>
      <c r="G32" s="1668"/>
      <c r="H32" s="1669"/>
    </row>
    <row r="33" spans="1:8" ht="13.5" thickBot="1">
      <c r="A33" s="760" t="s">
        <v>42</v>
      </c>
      <c r="B33" s="1653" t="s">
        <v>990</v>
      </c>
      <c r="C33" s="1653"/>
      <c r="D33" s="1653"/>
      <c r="E33" s="1653"/>
      <c r="F33" s="1653"/>
      <c r="G33" s="1654">
        <v>0.05</v>
      </c>
      <c r="H33" s="1655"/>
    </row>
    <row r="34" spans="1:8">
      <c r="A34" s="580">
        <v>1</v>
      </c>
      <c r="B34" s="1646" t="s">
        <v>991</v>
      </c>
      <c r="C34" s="1646"/>
      <c r="D34" s="1646"/>
      <c r="E34" s="1646"/>
      <c r="F34" s="1646"/>
      <c r="G34" s="1647" t="e">
        <f>+Balancesheet!C24/Balancesheet!C19</f>
        <v>#DIV/0!</v>
      </c>
      <c r="H34" s="1648"/>
    </row>
    <row r="35" spans="1:8" ht="13.5" thickBot="1">
      <c r="A35" s="599">
        <v>2</v>
      </c>
      <c r="B35" s="1649" t="s">
        <v>992</v>
      </c>
      <c r="C35" s="1649"/>
      <c r="D35" s="1649"/>
      <c r="E35" s="1649"/>
      <c r="F35" s="1649"/>
      <c r="G35" s="1650" t="e">
        <f>IF(G34&lt;G33,"-",VALUE(G34-G33))</f>
        <v>#DIV/0!</v>
      </c>
      <c r="H35" s="1651"/>
    </row>
    <row r="36" spans="1:8">
      <c r="A36" s="40"/>
      <c r="B36" s="40"/>
      <c r="C36" s="40"/>
      <c r="D36" s="40"/>
      <c r="E36" s="40"/>
      <c r="F36" s="40"/>
      <c r="G36" s="40"/>
      <c r="H36" s="40"/>
    </row>
    <row r="37" spans="1:8">
      <c r="A37" s="40"/>
      <c r="B37" s="40"/>
      <c r="C37" s="40"/>
      <c r="D37" s="40"/>
      <c r="E37" s="40"/>
      <c r="F37" s="40"/>
      <c r="G37" s="40"/>
      <c r="H37" s="40"/>
    </row>
    <row r="38" spans="1:8">
      <c r="A38" s="1631" t="s">
        <v>111</v>
      </c>
      <c r="B38" s="1631"/>
      <c r="C38" s="1631"/>
      <c r="D38" s="1631"/>
      <c r="E38" s="1631"/>
      <c r="F38" s="1631"/>
      <c r="G38" s="1631"/>
      <c r="H38" s="1631"/>
    </row>
    <row r="39" spans="1:8">
      <c r="A39" s="1652" t="s">
        <v>112</v>
      </c>
      <c r="B39" s="1652"/>
      <c r="C39" s="1652"/>
      <c r="D39" s="1652"/>
      <c r="E39" s="1652"/>
      <c r="F39" s="1652"/>
      <c r="G39" s="1652"/>
      <c r="H39" s="1652"/>
    </row>
    <row r="40" spans="1:8">
      <c r="A40" s="40"/>
      <c r="B40" s="40"/>
      <c r="C40" s="1645"/>
      <c r="D40" s="1645"/>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 ref="C40:D40"/>
    <mergeCell ref="B34:F34"/>
    <mergeCell ref="G34:H34"/>
    <mergeCell ref="B35:F35"/>
    <mergeCell ref="G35:H35"/>
    <mergeCell ref="A38:H38"/>
    <mergeCell ref="A39:H39"/>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39" workbookViewId="0">
      <selection activeCell="H29" sqref="H29"/>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56" t="s">
        <v>994</v>
      </c>
      <c r="B4" s="1656"/>
      <c r="C4" s="1656"/>
    </row>
    <row r="5" spans="1:3">
      <c r="A5" s="1444" t="str">
        <f>+STATISTICS!A5</f>
        <v>ХАДГАЛАМЖ, ЗЭЭЛИЙН ХОРШООНЫ НЭР</v>
      </c>
      <c r="B5" s="1444"/>
      <c r="C5" s="1444"/>
    </row>
    <row r="6" spans="1:3">
      <c r="A6" s="1420" t="s">
        <v>38</v>
      </c>
      <c r="B6" s="1420"/>
      <c r="C6" s="1420"/>
    </row>
    <row r="7" spans="1:3">
      <c r="A7" s="5"/>
      <c r="B7" s="5"/>
      <c r="C7" s="5"/>
    </row>
    <row r="8" spans="1:3">
      <c r="A8" s="1670"/>
      <c r="B8" s="1670"/>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955"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956"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1000" t="e">
        <f>C13/C10*100%</f>
        <v>#DIV/0!</v>
      </c>
    </row>
    <row r="40" spans="1:3">
      <c r="A40" s="612">
        <v>2</v>
      </c>
      <c r="B40" s="603" t="s">
        <v>1016</v>
      </c>
      <c r="C40" s="1001" t="e">
        <f>IF(C39&gt;0.85,VALUE(C39-0.85),IF(C39&lt;0.6,VALUE(0.6-C39),"-"))</f>
        <v>#DIV/0!</v>
      </c>
    </row>
    <row r="41" spans="1:3" ht="25.5">
      <c r="A41" s="610" t="s">
        <v>61</v>
      </c>
      <c r="B41" s="601" t="s">
        <v>1017</v>
      </c>
      <c r="C41" s="644">
        <v>0.1</v>
      </c>
    </row>
    <row r="42" spans="1:3">
      <c r="A42" s="613">
        <v>1</v>
      </c>
      <c r="B42" s="606" t="s">
        <v>1015</v>
      </c>
      <c r="C42" s="1000" t="e">
        <f>C18/C10*100%</f>
        <v>#DIV/0!</v>
      </c>
    </row>
    <row r="43" spans="1:3">
      <c r="A43" s="612">
        <v>2</v>
      </c>
      <c r="B43" s="606" t="s">
        <v>992</v>
      </c>
      <c r="C43" s="1000" t="e">
        <f>IF(C42&lt;C41,"-", VALUE(C42-C41))</f>
        <v>#DIV/0!</v>
      </c>
    </row>
    <row r="44" spans="1:3" ht="25.5">
      <c r="A44" s="614" t="s">
        <v>79</v>
      </c>
      <c r="B44" s="605" t="s">
        <v>1018</v>
      </c>
      <c r="C44" s="645" t="s">
        <v>1019</v>
      </c>
    </row>
    <row r="45" spans="1:3">
      <c r="A45" s="613">
        <v>1</v>
      </c>
      <c r="B45" s="606" t="s">
        <v>1015</v>
      </c>
      <c r="C45" s="1000" t="e">
        <f>C23/C10*100%</f>
        <v>#DIV/0!</v>
      </c>
    </row>
    <row r="46" spans="1:3">
      <c r="A46" s="612">
        <v>2</v>
      </c>
      <c r="B46" s="606" t="s">
        <v>992</v>
      </c>
      <c r="C46" s="1000" t="e">
        <f>IF(C45&gt;0.8,VALUE(C45-0.8),IF(C45&lt;0.4,VALUE(0.4-C45),"-"))</f>
        <v>#DIV/0!</v>
      </c>
    </row>
    <row r="47" spans="1:3" ht="25.5">
      <c r="A47" s="614" t="s">
        <v>91</v>
      </c>
      <c r="B47" s="601" t="s">
        <v>1020</v>
      </c>
      <c r="C47" s="644">
        <v>0.2</v>
      </c>
    </row>
    <row r="48" spans="1:3">
      <c r="A48" s="602">
        <v>1</v>
      </c>
      <c r="B48" s="606" t="s">
        <v>1015</v>
      </c>
      <c r="C48" s="1002" t="e">
        <f>C24/C10*100%</f>
        <v>#DIV/0!</v>
      </c>
    </row>
    <row r="49" spans="1:3">
      <c r="A49" s="615">
        <v>2</v>
      </c>
      <c r="B49" s="606" t="s">
        <v>992</v>
      </c>
      <c r="C49" s="1000" t="e">
        <f>IF(C48&lt;C47,"-",VALUE(C48-C47))</f>
        <v>#DIV/0!</v>
      </c>
    </row>
    <row r="50" spans="1:3" ht="25.5">
      <c r="A50" s="614" t="s">
        <v>103</v>
      </c>
      <c r="B50" s="601" t="s">
        <v>1021</v>
      </c>
      <c r="C50" s="644">
        <v>0.1</v>
      </c>
    </row>
    <row r="51" spans="1:3">
      <c r="A51" s="613">
        <v>1</v>
      </c>
      <c r="B51" s="603" t="s">
        <v>1015</v>
      </c>
      <c r="C51" s="1003" t="e">
        <f>+'BIG SHARES'!E52</f>
        <v>#DIV/0!</v>
      </c>
    </row>
    <row r="52" spans="1:3">
      <c r="A52" s="612">
        <v>2</v>
      </c>
      <c r="B52" s="603" t="s">
        <v>992</v>
      </c>
      <c r="C52" s="1001" t="e">
        <f>IF(C51&lt;C50,"-",VALUE(C51-C50))</f>
        <v>#DIV/0!</v>
      </c>
    </row>
    <row r="53" spans="1:3">
      <c r="A53" s="646" t="s">
        <v>541</v>
      </c>
      <c r="B53" s="605" t="s">
        <v>1022</v>
      </c>
      <c r="C53" s="645">
        <v>0.03</v>
      </c>
    </row>
    <row r="54" spans="1:3">
      <c r="A54" s="615">
        <v>1</v>
      </c>
      <c r="B54" s="606" t="s">
        <v>1015</v>
      </c>
      <c r="C54" s="1001" t="e">
        <f>C31/C10*100%</f>
        <v>#DIV/0!</v>
      </c>
    </row>
    <row r="55" spans="1:3">
      <c r="A55" s="615">
        <v>2</v>
      </c>
      <c r="B55" s="606" t="s">
        <v>992</v>
      </c>
      <c r="C55" s="1000" t="e">
        <f>IF(C54&gt;C53,"-",VALUE(C53-C54))</f>
        <v>#DIV/0!</v>
      </c>
    </row>
    <row r="56" spans="1:3" ht="25.5">
      <c r="A56" s="646" t="s">
        <v>543</v>
      </c>
      <c r="B56" s="605" t="s">
        <v>1023</v>
      </c>
      <c r="C56" s="645">
        <v>0.05</v>
      </c>
    </row>
    <row r="57" spans="1:3">
      <c r="A57" s="615">
        <v>1</v>
      </c>
      <c r="B57" s="606" t="s">
        <v>1015</v>
      </c>
      <c r="C57" s="1004" t="e">
        <f>+C30/C10</f>
        <v>#DIV/0!</v>
      </c>
    </row>
    <row r="58" spans="1:3">
      <c r="A58" s="615">
        <v>2</v>
      </c>
      <c r="B58" s="606" t="s">
        <v>992</v>
      </c>
      <c r="C58" s="1000" t="e">
        <f>IF(C57&gt;C56,"-",VALUE(C56-C57))</f>
        <v>#DIV/0!</v>
      </c>
    </row>
    <row r="59" spans="1:3" ht="25.5">
      <c r="A59" s="646" t="s">
        <v>545</v>
      </c>
      <c r="B59" s="605" t="s">
        <v>1024</v>
      </c>
      <c r="C59" s="645">
        <v>0.05</v>
      </c>
    </row>
    <row r="60" spans="1:3">
      <c r="A60" s="615">
        <v>1</v>
      </c>
      <c r="B60" s="606" t="s">
        <v>1015</v>
      </c>
      <c r="C60" s="1001" t="e">
        <f>C33/C30*100%</f>
        <v>#DIV/0!</v>
      </c>
    </row>
    <row r="61" spans="1:3">
      <c r="A61" s="615">
        <v>2</v>
      </c>
      <c r="B61" s="606" t="s">
        <v>992</v>
      </c>
      <c r="C61" s="1000" t="e">
        <f>IF(C60&gt;C59,"-",VALUE(C59-C60))</f>
        <v>#DIV/0!</v>
      </c>
    </row>
    <row r="62" spans="1:3" ht="25.5">
      <c r="A62" s="646" t="s">
        <v>548</v>
      </c>
      <c r="B62" s="605" t="s">
        <v>1025</v>
      </c>
      <c r="C62" s="645">
        <v>0.05</v>
      </c>
    </row>
    <row r="63" spans="1:3">
      <c r="A63" s="615">
        <v>1</v>
      </c>
      <c r="B63" s="606" t="s">
        <v>1015</v>
      </c>
      <c r="C63" s="1001" t="e">
        <f>C32/C30*100%</f>
        <v>#DIV/0!</v>
      </c>
    </row>
    <row r="64" spans="1:3">
      <c r="A64" s="615">
        <v>2</v>
      </c>
      <c r="B64" s="606" t="s">
        <v>992</v>
      </c>
      <c r="C64" s="1000" t="e">
        <f>IF(C63&gt;C62,"-",VALUE(C62-C63))</f>
        <v>#DIV/0!</v>
      </c>
    </row>
    <row r="67" spans="1:3">
      <c r="A67" s="1510" t="s">
        <v>111</v>
      </c>
      <c r="B67" s="1510"/>
      <c r="C67" s="1510"/>
    </row>
    <row r="68" spans="1:3">
      <c r="A68" s="1375" t="s">
        <v>112</v>
      </c>
      <c r="B68" s="1375"/>
      <c r="C68" s="1375"/>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topLeftCell="A6"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56" t="s">
        <v>1027</v>
      </c>
      <c r="B4" s="1656"/>
      <c r="C4" s="1656"/>
    </row>
    <row r="5" spans="1:3">
      <c r="A5" s="1444" t="str">
        <f>+STATISTICS!A5</f>
        <v>ХАДГАЛАМЖ, ЗЭЭЛИЙН ХОРШООНЫ НЭР</v>
      </c>
      <c r="B5" s="1444"/>
      <c r="C5" s="1444"/>
    </row>
    <row r="6" spans="1:3">
      <c r="A6" s="1420" t="s">
        <v>38</v>
      </c>
      <c r="B6" s="1420"/>
      <c r="C6" s="1420"/>
    </row>
    <row r="7" spans="1:3">
      <c r="A7" s="7"/>
      <c r="B7" s="29"/>
      <c r="C7" s="29"/>
    </row>
    <row r="8" spans="1:3">
      <c r="A8" s="1598"/>
      <c r="B8" s="1598"/>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943" t="e">
        <f>+C16/C17</f>
        <v>#DIV/0!</v>
      </c>
    </row>
    <row r="26" spans="1:3">
      <c r="A26" s="628">
        <v>2</v>
      </c>
      <c r="B26" s="606" t="s">
        <v>992</v>
      </c>
      <c r="C26" s="943" t="e">
        <f>IF(C25&lt;C24,"-",VALUE(C25-C24))</f>
        <v>#DIV/0!</v>
      </c>
    </row>
    <row r="27" spans="1:3">
      <c r="A27" s="629" t="s">
        <v>61</v>
      </c>
      <c r="B27" s="1671" t="s">
        <v>1042</v>
      </c>
      <c r="C27" s="1671"/>
    </row>
    <row r="28" spans="1:3">
      <c r="A28" s="612">
        <v>1</v>
      </c>
      <c r="B28" s="606" t="s">
        <v>1043</v>
      </c>
      <c r="C28" s="942"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510" t="s">
        <v>111</v>
      </c>
      <c r="B39" s="1375"/>
      <c r="C39" s="1375"/>
    </row>
    <row r="40" spans="1:3">
      <c r="A40" s="1375" t="s">
        <v>112</v>
      </c>
      <c r="B40" s="1375"/>
      <c r="C40" s="1375"/>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topLeftCell="A4"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56" t="s">
        <v>1054</v>
      </c>
      <c r="B4" s="1656"/>
      <c r="C4" s="1656"/>
    </row>
    <row r="5" spans="1:3">
      <c r="A5" s="1444" t="str">
        <f>+STATISTICS!A5</f>
        <v>ХАДГАЛАМЖ, ЗЭЭЛИЙН ХОРШООНЫ НЭР</v>
      </c>
      <c r="B5" s="1444"/>
      <c r="C5" s="1444"/>
    </row>
    <row r="6" spans="1:3">
      <c r="A6" s="1420" t="s">
        <v>38</v>
      </c>
      <c r="B6" s="1420"/>
      <c r="C6" s="1420"/>
    </row>
    <row r="7" spans="1:3">
      <c r="A7" s="7"/>
      <c r="B7" s="29"/>
      <c r="C7" s="29"/>
    </row>
    <row r="8" spans="1:3">
      <c r="A8" s="1598"/>
      <c r="B8" s="1598"/>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941" t="e">
        <f>(C10)/(C13)</f>
        <v>#DIV/0!</v>
      </c>
    </row>
    <row r="19" spans="1:3">
      <c r="A19" s="602">
        <v>2</v>
      </c>
      <c r="B19" s="606" t="s">
        <v>1061</v>
      </c>
      <c r="C19" s="641" t="e">
        <f>IF(C18&gt;C17,"-",VALUE(C17-C18))</f>
        <v>#DIV/0!</v>
      </c>
    </row>
    <row r="22" spans="1:3">
      <c r="A22" s="1510" t="s">
        <v>111</v>
      </c>
      <c r="B22" s="1510"/>
      <c r="C22" s="1510"/>
    </row>
    <row r="23" spans="1:3">
      <c r="A23" s="1375" t="s">
        <v>112</v>
      </c>
      <c r="B23" s="1375"/>
      <c r="C23" s="1375"/>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G24" sqref="G24"/>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631" t="s">
        <v>1063</v>
      </c>
      <c r="B4" s="1631"/>
      <c r="C4" s="1631"/>
      <c r="D4" s="1631"/>
      <c r="E4" s="1066"/>
    </row>
    <row r="5" spans="1:8">
      <c r="A5" s="1421" t="str">
        <f>+STATISTICS!A5</f>
        <v>ХАДГАЛАМЖ, ЗЭЭЛИЙН ХОРШООНЫ НЭР</v>
      </c>
      <c r="B5" s="1421"/>
      <c r="C5" s="1421"/>
      <c r="D5" s="1421"/>
      <c r="E5" s="1065"/>
    </row>
    <row r="6" spans="1:8">
      <c r="A6" s="1420" t="s">
        <v>38</v>
      </c>
      <c r="B6" s="1420"/>
      <c r="C6" s="1420"/>
      <c r="D6" s="1420"/>
      <c r="E6" s="5"/>
    </row>
    <row r="7" spans="1:8">
      <c r="A7" s="7"/>
      <c r="B7" s="29"/>
      <c r="C7" s="503"/>
      <c r="D7" s="7"/>
      <c r="E7" s="7"/>
    </row>
    <row r="8" spans="1:8">
      <c r="A8" s="1598"/>
      <c r="B8" s="1598"/>
      <c r="C8" s="503"/>
      <c r="D8" s="7"/>
      <c r="E8" s="7"/>
    </row>
    <row r="9" spans="1:8">
      <c r="A9" s="631" t="s">
        <v>39</v>
      </c>
      <c r="B9" s="600" t="s">
        <v>1064</v>
      </c>
      <c r="C9" s="646" t="s">
        <v>1065</v>
      </c>
      <c r="D9" s="646" t="s">
        <v>1066</v>
      </c>
      <c r="E9" s="646" t="s">
        <v>1067</v>
      </c>
    </row>
    <row r="10" spans="1:8">
      <c r="A10" s="646" t="s">
        <v>671</v>
      </c>
      <c r="B10" s="1672" t="s">
        <v>1068</v>
      </c>
      <c r="C10" s="1672"/>
      <c r="D10" s="1672"/>
      <c r="E10" s="646"/>
    </row>
    <row r="11" spans="1:8" ht="25.5">
      <c r="A11" s="615">
        <v>1</v>
      </c>
      <c r="B11" s="632" t="s">
        <v>1069</v>
      </c>
      <c r="C11" s="633">
        <f>+A!F11+A!F18+A!F25</f>
        <v>0</v>
      </c>
      <c r="D11" s="633">
        <f>+A!G12+A!G19+A!G26</f>
        <v>0</v>
      </c>
      <c r="E11" s="1068">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673" t="s">
        <v>1075</v>
      </c>
      <c r="C15" s="1673"/>
      <c r="D15" s="1673"/>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1043">
        <f>+Balance!H97</f>
        <v>0</v>
      </c>
      <c r="E22" s="1069" t="str">
        <f>IF(C22&lt;D22,"Хангасан","Хангаагүй")</f>
        <v>Хангаагүй</v>
      </c>
      <c r="H22" s="551"/>
    </row>
    <row r="23" spans="1:8" ht="25.5">
      <c r="A23" s="602">
        <v>8</v>
      </c>
      <c r="B23" s="636" t="s">
        <v>1088</v>
      </c>
      <c r="C23" s="639">
        <f>+IF(Balancesheet!G69&gt;0,Balancesheet!G69*5%,0)</f>
        <v>0</v>
      </c>
      <c r="D23" s="1043">
        <f>+Balancesheet!G72</f>
        <v>0</v>
      </c>
      <c r="E23" s="1069" t="str">
        <f>IF(C23&lt;D23,IF(Balancesheet!G69&gt;0,"Хангасан","Хангаагүй"),"Хангаагүй")</f>
        <v>Хангаагүй</v>
      </c>
      <c r="H23" s="551"/>
    </row>
    <row r="24" spans="1:8" ht="25.5">
      <c r="A24" s="602">
        <v>9</v>
      </c>
      <c r="B24" s="636" t="s">
        <v>1089</v>
      </c>
      <c r="C24" s="639">
        <f>+IF(Balancesheet!G69&gt;0,Balancesheet!G69*5%,0)</f>
        <v>0</v>
      </c>
      <c r="D24" s="1043">
        <f>+Balancesheet!G71</f>
        <v>0</v>
      </c>
      <c r="E24" s="1069" t="str">
        <f>IF(C24&lt;=D24,IF(Balancesheet!G69&gt;0,"Хангасан","Хангаагүй"),"Хангаагүй")</f>
        <v>Хангаагүй</v>
      </c>
      <c r="H24" s="551"/>
    </row>
    <row r="25" spans="1:8">
      <c r="A25" s="646" t="s">
        <v>673</v>
      </c>
      <c r="B25" s="1674" t="s">
        <v>1090</v>
      </c>
      <c r="C25" s="1674"/>
      <c r="D25" s="1674"/>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673" t="s">
        <v>1092</v>
      </c>
      <c r="C27" s="1673"/>
      <c r="D27" s="1673"/>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673" t="s">
        <v>1095</v>
      </c>
      <c r="C29" s="1673"/>
      <c r="D29" s="1673"/>
      <c r="E29" s="645"/>
      <c r="H29" s="642"/>
    </row>
    <row r="30" spans="1:8">
      <c r="A30" s="615">
        <v>12</v>
      </c>
      <c r="B30" s="1675" t="s">
        <v>1096</v>
      </c>
      <c r="C30" s="1675"/>
      <c r="D30" s="635" t="e">
        <f>+'R'!C28</f>
        <v>#DIV/0!</v>
      </c>
      <c r="E30" s="635"/>
      <c r="H30" s="642"/>
    </row>
    <row r="31" spans="1:8" ht="19.5" customHeight="1">
      <c r="A31" s="40"/>
      <c r="B31" s="1676" t="s">
        <v>1097</v>
      </c>
      <c r="C31" s="1676"/>
      <c r="D31" s="1676"/>
      <c r="E31" s="1067"/>
    </row>
    <row r="32" spans="1:8">
      <c r="A32" s="40"/>
      <c r="B32" s="678"/>
      <c r="C32" s="678"/>
      <c r="D32" s="678"/>
      <c r="E32" s="678"/>
    </row>
    <row r="33" spans="1:5">
      <c r="A33" s="40"/>
      <c r="B33" s="678" t="s">
        <v>1098</v>
      </c>
      <c r="C33" s="764">
        <f>+COUNTIF(E11:E30,"Хангасан")</f>
        <v>0</v>
      </c>
      <c r="D33" s="40" t="s">
        <v>1099</v>
      </c>
      <c r="E33" s="40"/>
    </row>
    <row r="36" spans="1:5">
      <c r="A36" s="1510" t="s">
        <v>111</v>
      </c>
      <c r="B36" s="1375"/>
      <c r="C36" s="1375"/>
      <c r="D36" s="1375"/>
      <c r="E36" s="248"/>
    </row>
    <row r="37" spans="1:5">
      <c r="A37" s="1375" t="s">
        <v>112</v>
      </c>
      <c r="B37" s="1375"/>
      <c r="C37" s="1375"/>
      <c r="D37" s="1375"/>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C16" sqref="C16"/>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409" t="s">
        <v>36</v>
      </c>
      <c r="B4" s="1409"/>
      <c r="C4" s="1409"/>
    </row>
    <row r="5" spans="1:4">
      <c r="A5" s="1410" t="s">
        <v>37</v>
      </c>
      <c r="B5" s="1410"/>
      <c r="C5" s="1410"/>
    </row>
    <row r="6" spans="1:4">
      <c r="A6" s="1409" t="s">
        <v>38</v>
      </c>
      <c r="B6" s="1409"/>
      <c r="C6" s="1409"/>
    </row>
    <row r="7" spans="1:4">
      <c r="A7" s="305"/>
      <c r="B7" s="305"/>
      <c r="C7" s="305"/>
    </row>
    <row r="8" spans="1:4" ht="15.75" thickBot="1">
      <c r="A8" s="1411"/>
      <c r="B8" s="1411"/>
      <c r="C8" s="307"/>
    </row>
    <row r="9" spans="1:4">
      <c r="A9" s="1412" t="s">
        <v>39</v>
      </c>
      <c r="B9" s="1413" t="s">
        <v>40</v>
      </c>
      <c r="C9" s="1415" t="s">
        <v>41</v>
      </c>
    </row>
    <row r="10" spans="1:4" ht="15.75" thickBot="1">
      <c r="A10" s="1408"/>
      <c r="B10" s="1414"/>
      <c r="C10" s="1416"/>
    </row>
    <row r="11" spans="1:4" ht="15.75" thickBot="1">
      <c r="A11" s="308" t="s">
        <v>42</v>
      </c>
      <c r="B11" s="1402" t="s">
        <v>43</v>
      </c>
      <c r="C11" s="1403"/>
    </row>
    <row r="12" spans="1:4" ht="15.75" thickBot="1">
      <c r="A12" s="1397">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89"/>
      <c r="B13" s="311" t="s">
        <v>45</v>
      </c>
      <c r="C13" s="296"/>
      <c r="D13" s="300" t="str">
        <f>+IF(C13&gt;0,"","Утга нөхөх")</f>
        <v>Утга нөхөх</v>
      </c>
    </row>
    <row r="14" spans="1:4">
      <c r="A14" s="1389"/>
      <c r="B14" s="311" t="s">
        <v>46</v>
      </c>
      <c r="C14" s="297"/>
      <c r="D14" s="300" t="str">
        <f>+IF(C14&gt;0,"","Утга нөхөх")</f>
        <v>Утга нөхөх</v>
      </c>
    </row>
    <row r="15" spans="1:4">
      <c r="A15" s="1389"/>
      <c r="B15" s="311" t="s">
        <v>47</v>
      </c>
      <c r="C15" s="297"/>
      <c r="D15" s="300" t="str">
        <f>+IF(C15="","Утга нөхөх","")</f>
        <v>Утга нөхөх</v>
      </c>
    </row>
    <row r="16" spans="1:4" ht="15.75" thickBot="1">
      <c r="A16" s="1389"/>
      <c r="B16" s="312" t="s">
        <v>48</v>
      </c>
      <c r="C16" s="297"/>
      <c r="D16" s="300" t="str">
        <f>+IF(C16="",IF(C15&gt;0,"Утга нөхөх",""),"")</f>
        <v/>
      </c>
    </row>
    <row r="17" spans="1:4" ht="15.75" thickBot="1">
      <c r="A17" s="1390"/>
      <c r="B17" s="1045" t="s">
        <v>49</v>
      </c>
      <c r="C17" s="1046"/>
      <c r="D17" s="300" t="str">
        <f>+IF(C17="","Утга нөхөх","")</f>
        <v>Утга нөхөх</v>
      </c>
    </row>
    <row r="18" spans="1:4" ht="15.75" thickBot="1">
      <c r="A18" s="1404">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96"/>
      <c r="B19" s="314" t="s">
        <v>51</v>
      </c>
      <c r="C19" s="298"/>
      <c r="D19" s="300" t="str">
        <f>+IF(C19="","Утга нөхөх","")</f>
        <v>Утга нөхөх</v>
      </c>
    </row>
    <row r="20" spans="1:4">
      <c r="A20" s="1396"/>
      <c r="B20" s="314" t="s">
        <v>52</v>
      </c>
      <c r="C20" s="298"/>
      <c r="D20" s="300" t="str">
        <f t="shared" ref="D20:D22" si="0">+IF(C20="","Утга нөхөх","")</f>
        <v>Утга нөхөх</v>
      </c>
    </row>
    <row r="21" spans="1:4">
      <c r="A21" s="1396"/>
      <c r="B21" s="314" t="s">
        <v>53</v>
      </c>
      <c r="C21" s="298"/>
      <c r="D21" s="300" t="str">
        <f t="shared" si="0"/>
        <v>Утга нөхөх</v>
      </c>
    </row>
    <row r="22" spans="1:4" ht="15.75" thickBot="1">
      <c r="A22" s="1396"/>
      <c r="B22" s="314" t="s">
        <v>54</v>
      </c>
      <c r="C22" s="298"/>
      <c r="D22" s="300" t="str">
        <f t="shared" si="0"/>
        <v>Утга нөхөх</v>
      </c>
    </row>
    <row r="23" spans="1:4" ht="15.75" thickBot="1">
      <c r="A23" s="1397">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89"/>
      <c r="B24" s="311" t="s">
        <v>56</v>
      </c>
      <c r="C24" s="298"/>
      <c r="D24" s="300" t="str">
        <f t="shared" ref="D24:D28" si="1">+IF(C24="","Утга нөхөх","")</f>
        <v>Утга нөхөх</v>
      </c>
    </row>
    <row r="25" spans="1:4">
      <c r="A25" s="1389"/>
      <c r="B25" s="311" t="s">
        <v>57</v>
      </c>
      <c r="C25" s="298"/>
      <c r="D25" s="300" t="str">
        <f t="shared" si="1"/>
        <v>Утга нөхөх</v>
      </c>
    </row>
    <row r="26" spans="1:4">
      <c r="A26" s="1389"/>
      <c r="B26" s="311" t="s">
        <v>58</v>
      </c>
      <c r="C26" s="298"/>
      <c r="D26" s="300" t="str">
        <f t="shared" si="1"/>
        <v>Утга нөхөх</v>
      </c>
    </row>
    <row r="27" spans="1:4">
      <c r="A27" s="1389"/>
      <c r="B27" s="311" t="s">
        <v>59</v>
      </c>
      <c r="C27" s="298"/>
      <c r="D27" s="300" t="str">
        <f t="shared" si="1"/>
        <v>Утга нөхөх</v>
      </c>
    </row>
    <row r="28" spans="1:4" ht="15.75" thickBot="1">
      <c r="A28" s="1390"/>
      <c r="B28" s="311" t="s">
        <v>60</v>
      </c>
      <c r="C28" s="298"/>
      <c r="D28" s="300" t="str">
        <f t="shared" si="1"/>
        <v>Утга нөхөх</v>
      </c>
    </row>
    <row r="29" spans="1:4" ht="15.75" thickBot="1">
      <c r="A29" s="317" t="s">
        <v>61</v>
      </c>
      <c r="B29" s="1405" t="s">
        <v>62</v>
      </c>
      <c r="C29" s="1406"/>
    </row>
    <row r="30" spans="1:4" ht="15.75" thickBot="1">
      <c r="A30" s="1397">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404"/>
      <c r="B31" s="319" t="s">
        <v>64</v>
      </c>
      <c r="C31" s="286"/>
      <c r="D31" s="300" t="str">
        <f>+IF(C31="","Утга нөхөх","")</f>
        <v>Утга нөхөх</v>
      </c>
    </row>
    <row r="32" spans="1:4">
      <c r="A32" s="1404"/>
      <c r="B32" s="320" t="s">
        <v>65</v>
      </c>
      <c r="C32" s="287"/>
      <c r="D32" s="300" t="str">
        <f>+IF(C32="","Утга нөхөх","")</f>
        <v>Утга нөхөх</v>
      </c>
    </row>
    <row r="33" spans="1:4">
      <c r="A33" s="1404"/>
      <c r="B33" s="320" t="s">
        <v>66</v>
      </c>
      <c r="C33" s="287"/>
      <c r="D33" s="300" t="str">
        <f>+IF(C33="",IF(C15&gt;0,"Утга нөхөх",""),"")</f>
        <v/>
      </c>
    </row>
    <row r="34" spans="1:4" ht="15.75" thickBot="1">
      <c r="A34" s="1407"/>
      <c r="B34" s="321" t="s">
        <v>67</v>
      </c>
      <c r="C34" s="287"/>
      <c r="D34" s="300" t="str">
        <f>+IF(C34="",IF(C33&gt;0,"Утга нөхөх",""),"")</f>
        <v/>
      </c>
    </row>
    <row r="35" spans="1:4" ht="15.75" thickBot="1">
      <c r="A35" s="1398">
        <v>5</v>
      </c>
      <c r="B35" s="322" t="s">
        <v>68</v>
      </c>
      <c r="C35" s="359">
        <f>+SUM(C36:C38)</f>
        <v>0</v>
      </c>
      <c r="D35" s="301" t="str">
        <f>IF(C35=C30,"","Зээлдэгчдийн тоо зөрүүтэй байна")</f>
        <v/>
      </c>
    </row>
    <row r="36" spans="1:4">
      <c r="A36" s="1398"/>
      <c r="B36" s="323" t="s">
        <v>69</v>
      </c>
      <c r="C36" s="284"/>
      <c r="D36" s="300" t="str">
        <f>+IF(C36="","Утга нөхөх","")</f>
        <v>Утга нөхөх</v>
      </c>
    </row>
    <row r="37" spans="1:4" ht="15.75" thickBot="1">
      <c r="A37" s="1398"/>
      <c r="B37" s="324" t="s">
        <v>70</v>
      </c>
      <c r="C37" s="288"/>
      <c r="D37" s="300" t="str">
        <f>+IF(C37="","Утга нөхөх","")</f>
        <v>Утга нөхөх</v>
      </c>
    </row>
    <row r="38" spans="1:4" ht="15.75" thickBot="1">
      <c r="A38" s="1398"/>
      <c r="B38" s="1044" t="s">
        <v>71</v>
      </c>
      <c r="C38" s="325">
        <f>+SUM(C39:C41)</f>
        <v>0</v>
      </c>
    </row>
    <row r="39" spans="1:4">
      <c r="A39" s="1398"/>
      <c r="B39" s="323" t="s">
        <v>72</v>
      </c>
      <c r="C39" s="287"/>
      <c r="D39" s="300" t="str">
        <f>+IF(C39="","Утга нөхөх","")</f>
        <v>Утга нөхөх</v>
      </c>
    </row>
    <row r="40" spans="1:4">
      <c r="A40" s="1398"/>
      <c r="B40" s="326" t="s">
        <v>73</v>
      </c>
      <c r="C40" s="287"/>
      <c r="D40" s="300" t="str">
        <f>+IF(C40="","Утга нөхөх","")</f>
        <v>Утга нөхөх</v>
      </c>
    </row>
    <row r="41" spans="1:4" ht="15.75" thickBot="1">
      <c r="A41" s="1399"/>
      <c r="B41" s="324" t="s">
        <v>74</v>
      </c>
      <c r="C41" s="289"/>
    </row>
    <row r="42" spans="1:4" ht="15.75" thickBot="1">
      <c r="A42" s="1404">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96"/>
      <c r="B43" s="314" t="s">
        <v>51</v>
      </c>
      <c r="C43" s="298"/>
      <c r="D43" s="300" t="str">
        <f>+IF(C43="","Утга нөхөх","")</f>
        <v>Утга нөхөх</v>
      </c>
    </row>
    <row r="44" spans="1:4">
      <c r="A44" s="1396"/>
      <c r="B44" s="314" t="s">
        <v>52</v>
      </c>
      <c r="C44" s="298"/>
      <c r="D44" s="300" t="str">
        <f>+IF(C44="","Утга нөхөх","")</f>
        <v>Утга нөхөх</v>
      </c>
    </row>
    <row r="45" spans="1:4">
      <c r="A45" s="1396"/>
      <c r="B45" s="314" t="s">
        <v>53</v>
      </c>
      <c r="C45" s="298"/>
      <c r="D45" s="300" t="str">
        <f>+IF(C45="","Утга нөхөх","")</f>
        <v>Утга нөхөх</v>
      </c>
    </row>
    <row r="46" spans="1:4" ht="15.75" thickBot="1">
      <c r="A46" s="1408"/>
      <c r="B46" s="314" t="s">
        <v>54</v>
      </c>
      <c r="C46" s="298"/>
      <c r="D46" s="300" t="str">
        <f>+IF(C46="","Утга нөхөх","")</f>
        <v>Утга нөхөх</v>
      </c>
    </row>
    <row r="47" spans="1:4" ht="15.75" thickBot="1">
      <c r="A47" s="1395">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96"/>
      <c r="B48" s="314" t="s">
        <v>56</v>
      </c>
      <c r="C48" s="298"/>
      <c r="D48" s="300" t="str">
        <f t="shared" ref="D48:D53" si="2">+IF(C48="","Утга нөхөх","")</f>
        <v>Утга нөхөх</v>
      </c>
    </row>
    <row r="49" spans="1:4">
      <c r="A49" s="1396"/>
      <c r="B49" s="314" t="s">
        <v>57</v>
      </c>
      <c r="C49" s="298"/>
      <c r="D49" s="300" t="str">
        <f t="shared" si="2"/>
        <v>Утга нөхөх</v>
      </c>
    </row>
    <row r="50" spans="1:4">
      <c r="A50" s="1396"/>
      <c r="B50" s="314" t="s">
        <v>58</v>
      </c>
      <c r="C50" s="298"/>
      <c r="D50" s="300" t="str">
        <f t="shared" si="2"/>
        <v>Утга нөхөх</v>
      </c>
    </row>
    <row r="51" spans="1:4">
      <c r="A51" s="1396"/>
      <c r="B51" s="314" t="s">
        <v>59</v>
      </c>
      <c r="C51" s="298"/>
      <c r="D51" s="300" t="str">
        <f t="shared" si="2"/>
        <v>Утга нөхөх</v>
      </c>
    </row>
    <row r="52" spans="1:4" ht="15.75" thickBot="1">
      <c r="A52" s="1396"/>
      <c r="B52" s="314" t="s">
        <v>60</v>
      </c>
      <c r="C52" s="298"/>
      <c r="D52" s="300" t="str">
        <f t="shared" si="2"/>
        <v>Утга нөхөх</v>
      </c>
    </row>
    <row r="53" spans="1:4" ht="15.75" thickBot="1">
      <c r="A53" s="327">
        <v>8</v>
      </c>
      <c r="B53" s="1047" t="s">
        <v>77</v>
      </c>
      <c r="C53" s="1048"/>
      <c r="D53" s="300" t="str">
        <f t="shared" si="2"/>
        <v>Утга нөхөх</v>
      </c>
    </row>
    <row r="54" spans="1:4" ht="15.75" thickBot="1">
      <c r="A54" s="1397">
        <v>9</v>
      </c>
      <c r="B54" s="328" t="s">
        <v>78</v>
      </c>
      <c r="C54" s="325"/>
    </row>
    <row r="55" spans="1:4">
      <c r="A55" s="1398"/>
      <c r="B55" s="329" t="s">
        <v>64</v>
      </c>
      <c r="C55" s="299"/>
      <c r="D55" s="300" t="str">
        <f t="shared" ref="D55:D56" si="3">+IF(C55="","Утга нөхөх","")</f>
        <v>Утга нөхөх</v>
      </c>
    </row>
    <row r="56" spans="1:4">
      <c r="A56" s="1398"/>
      <c r="B56" s="330" t="s">
        <v>65</v>
      </c>
      <c r="C56" s="299"/>
      <c r="D56" s="300" t="str">
        <f t="shared" si="3"/>
        <v>Утга нөхөх</v>
      </c>
    </row>
    <row r="57" spans="1:4">
      <c r="A57" s="1398"/>
      <c r="B57" s="330" t="s">
        <v>66</v>
      </c>
      <c r="C57" s="299"/>
      <c r="D57" s="300" t="str">
        <f>+IF(C57="",IF(C15&gt;0,"Утга нөхөх",""),"")</f>
        <v/>
      </c>
    </row>
    <row r="58" spans="1:4" ht="15.75" thickBot="1">
      <c r="A58" s="1399"/>
      <c r="B58" s="321" t="s">
        <v>67</v>
      </c>
      <c r="C58" s="299"/>
      <c r="D58" s="300" t="str">
        <f>+IF(C58="",IF(C57&gt;0,"Утга нөхөх",""),"")</f>
        <v/>
      </c>
    </row>
    <row r="59" spans="1:4" ht="15.75" thickBot="1">
      <c r="A59" s="331" t="s">
        <v>79</v>
      </c>
      <c r="B59" s="1400" t="s">
        <v>80</v>
      </c>
      <c r="C59" s="1401"/>
    </row>
    <row r="60" spans="1:4" ht="15.75" thickBot="1">
      <c r="A60" s="1397">
        <v>10</v>
      </c>
      <c r="B60" s="332" t="s">
        <v>81</v>
      </c>
      <c r="C60" s="333">
        <f>+C61+C66</f>
        <v>0</v>
      </c>
      <c r="D60" s="300" t="str">
        <f>IF(C60&lt;=C12,"","Хадгаламж эзэмшигчдийн тоо нийт гишүүдийн тооноос их байхгүйг анхаарна уу")</f>
        <v/>
      </c>
    </row>
    <row r="61" spans="1:4">
      <c r="A61" s="1398"/>
      <c r="B61" s="334" t="s">
        <v>82</v>
      </c>
      <c r="C61" s="335">
        <f>+C62+C64</f>
        <v>0</v>
      </c>
    </row>
    <row r="62" spans="1:4">
      <c r="A62" s="1398"/>
      <c r="B62" s="326" t="s">
        <v>83</v>
      </c>
      <c r="C62" s="290"/>
      <c r="D62" s="300" t="str">
        <f t="shared" ref="D62:D82" si="4">+IF(C62="","Утга нөхөх","")</f>
        <v>Утга нөхөх</v>
      </c>
    </row>
    <row r="63" spans="1:4">
      <c r="A63" s="1398"/>
      <c r="B63" s="336" t="s">
        <v>84</v>
      </c>
      <c r="C63" s="291"/>
      <c r="D63" s="300" t="str">
        <f t="shared" si="4"/>
        <v>Утга нөхөх</v>
      </c>
    </row>
    <row r="64" spans="1:4">
      <c r="A64" s="1398"/>
      <c r="B64" s="337" t="s">
        <v>85</v>
      </c>
      <c r="C64" s="287"/>
      <c r="D64" s="300" t="str">
        <f>+IF(C64="",IF(C15&gt;0,"Утга нөхөх",""),"")</f>
        <v/>
      </c>
    </row>
    <row r="65" spans="1:6">
      <c r="A65" s="1398"/>
      <c r="B65" s="360" t="s">
        <v>67</v>
      </c>
      <c r="C65" s="287"/>
      <c r="D65" s="300" t="str">
        <f>+IF(C65="",IF(C64&gt;0,"Утга нөхөх",""),"")</f>
        <v/>
      </c>
    </row>
    <row r="66" spans="1:6">
      <c r="A66" s="1398"/>
      <c r="B66" s="338" t="s">
        <v>86</v>
      </c>
      <c r="C66" s="339">
        <f>+C67+C69</f>
        <v>0</v>
      </c>
      <c r="F66" s="340"/>
    </row>
    <row r="67" spans="1:6">
      <c r="A67" s="1398"/>
      <c r="B67" s="326" t="s">
        <v>83</v>
      </c>
      <c r="C67" s="284"/>
      <c r="D67" s="300" t="str">
        <f t="shared" si="4"/>
        <v>Утга нөхөх</v>
      </c>
    </row>
    <row r="68" spans="1:6">
      <c r="A68" s="1398"/>
      <c r="B68" s="336" t="s">
        <v>84</v>
      </c>
      <c r="C68" s="291"/>
      <c r="D68" s="300" t="str">
        <f t="shared" si="4"/>
        <v>Утга нөхөх</v>
      </c>
    </row>
    <row r="69" spans="1:6">
      <c r="A69" s="1398"/>
      <c r="B69" s="337" t="s">
        <v>85</v>
      </c>
      <c r="C69" s="287"/>
      <c r="D69" s="300" t="str">
        <f>+IF(C69="",IF(C15&gt;0,"Утга нөхөх",""),"")</f>
        <v/>
      </c>
    </row>
    <row r="70" spans="1:6" ht="15.75" thickBot="1">
      <c r="A70" s="1399"/>
      <c r="B70" s="361" t="s">
        <v>67</v>
      </c>
      <c r="C70" s="287"/>
      <c r="D70" s="300" t="str">
        <f>+IF(C70="",IF(C69&gt;0,"Утга нөхөх",""),"")</f>
        <v/>
      </c>
    </row>
    <row r="71" spans="1:6" ht="15.75" thickBot="1">
      <c r="A71" s="1404">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96"/>
      <c r="B72" s="314" t="s">
        <v>51</v>
      </c>
      <c r="C72" s="298"/>
      <c r="D72" s="300" t="str">
        <f t="shared" si="4"/>
        <v>Утга нөхөх</v>
      </c>
    </row>
    <row r="73" spans="1:6">
      <c r="A73" s="1396"/>
      <c r="B73" s="314" t="s">
        <v>52</v>
      </c>
      <c r="C73" s="298"/>
      <c r="D73" s="300" t="str">
        <f t="shared" si="4"/>
        <v>Утга нөхөх</v>
      </c>
    </row>
    <row r="74" spans="1:6">
      <c r="A74" s="1396"/>
      <c r="B74" s="314" t="s">
        <v>53</v>
      </c>
      <c r="C74" s="298"/>
      <c r="D74" s="300" t="str">
        <f t="shared" si="4"/>
        <v>Утга нөхөх</v>
      </c>
    </row>
    <row r="75" spans="1:6" ht="15.75" thickBot="1">
      <c r="A75" s="1408"/>
      <c r="B75" s="314" t="s">
        <v>54</v>
      </c>
      <c r="C75" s="298"/>
      <c r="D75" s="300" t="str">
        <f t="shared" si="4"/>
        <v>Утга нөхөх</v>
      </c>
    </row>
    <row r="76" spans="1:6" ht="15.75" thickBot="1">
      <c r="A76" s="1395">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96"/>
      <c r="B77" s="314" t="s">
        <v>56</v>
      </c>
      <c r="C77" s="298"/>
      <c r="D77" s="300" t="str">
        <f t="shared" si="4"/>
        <v>Утга нөхөх</v>
      </c>
    </row>
    <row r="78" spans="1:6">
      <c r="A78" s="1396"/>
      <c r="B78" s="314" t="s">
        <v>57</v>
      </c>
      <c r="C78" s="298"/>
      <c r="D78" s="300" t="str">
        <f t="shared" si="4"/>
        <v>Утга нөхөх</v>
      </c>
    </row>
    <row r="79" spans="1:6">
      <c r="A79" s="1396"/>
      <c r="B79" s="314" t="s">
        <v>58</v>
      </c>
      <c r="C79" s="298"/>
      <c r="D79" s="300" t="str">
        <f t="shared" si="4"/>
        <v>Утга нөхөх</v>
      </c>
    </row>
    <row r="80" spans="1:6">
      <c r="A80" s="1396"/>
      <c r="B80" s="314" t="s">
        <v>59</v>
      </c>
      <c r="C80" s="298"/>
      <c r="D80" s="300" t="str">
        <f t="shared" si="4"/>
        <v>Утга нөхөх</v>
      </c>
    </row>
    <row r="81" spans="1:12" ht="15.75" thickBot="1">
      <c r="A81" s="1396"/>
      <c r="B81" s="314" t="s">
        <v>60</v>
      </c>
      <c r="C81" s="298"/>
      <c r="D81" s="300" t="str">
        <f t="shared" si="4"/>
        <v>Утга нөхөх</v>
      </c>
    </row>
    <row r="82" spans="1:12" ht="15.75" thickBot="1">
      <c r="A82" s="342">
        <v>13</v>
      </c>
      <c r="B82" s="1047" t="s">
        <v>89</v>
      </c>
      <c r="C82" s="1049"/>
      <c r="D82" s="300" t="str">
        <f t="shared" si="4"/>
        <v>Утга нөхөх</v>
      </c>
    </row>
    <row r="83" spans="1:12" ht="15.75" thickBot="1">
      <c r="A83" s="1397">
        <v>14</v>
      </c>
      <c r="B83" s="328" t="s">
        <v>90</v>
      </c>
      <c r="C83" s="325"/>
    </row>
    <row r="84" spans="1:12">
      <c r="A84" s="1398"/>
      <c r="B84" s="329" t="s">
        <v>64</v>
      </c>
      <c r="C84" s="299"/>
      <c r="D84" s="300" t="str">
        <f t="shared" ref="D84:D85" si="5">+IF(C84="","Утга нөхөх","")</f>
        <v>Утга нөхөх</v>
      </c>
    </row>
    <row r="85" spans="1:12">
      <c r="A85" s="1398"/>
      <c r="B85" s="330" t="s">
        <v>65</v>
      </c>
      <c r="C85" s="299"/>
      <c r="D85" s="300" t="str">
        <f t="shared" si="5"/>
        <v>Утга нөхөх</v>
      </c>
    </row>
    <row r="86" spans="1:12">
      <c r="A86" s="1398"/>
      <c r="B86" s="330" t="s">
        <v>66</v>
      </c>
      <c r="C86" s="299"/>
      <c r="D86" s="300" t="str">
        <f>+IF(C86="",IF(C15&gt;0,"Утга нөхөх",""),"")</f>
        <v/>
      </c>
      <c r="L86" s="343"/>
    </row>
    <row r="87" spans="1:12" ht="15.75" thickBot="1">
      <c r="A87" s="1399"/>
      <c r="B87" s="330" t="s">
        <v>67</v>
      </c>
      <c r="C87" s="299"/>
      <c r="D87" s="300" t="str">
        <f>+IF(C87="",IF(C86&gt;0,"Утга нөхөх",""),"")</f>
        <v/>
      </c>
    </row>
    <row r="88" spans="1:12" ht="15.75" thickBot="1">
      <c r="A88" s="951" t="s">
        <v>91</v>
      </c>
      <c r="B88" s="1376" t="s">
        <v>92</v>
      </c>
      <c r="C88" s="1377"/>
    </row>
    <row r="89" spans="1:12">
      <c r="A89" s="1378">
        <v>15</v>
      </c>
      <c r="B89" s="952" t="s">
        <v>93</v>
      </c>
      <c r="C89" s="953"/>
      <c r="D89" s="300" t="str">
        <f>+IF(C89="","Утга нөхөх","")</f>
        <v>Утга нөхөх</v>
      </c>
    </row>
    <row r="90" spans="1:12">
      <c r="A90" s="1379"/>
      <c r="B90" s="344" t="s">
        <v>94</v>
      </c>
      <c r="C90" s="285"/>
      <c r="D90" s="300" t="str">
        <f>+IF(C90="","Утга нөхөх","")</f>
        <v>Утга нөхөх</v>
      </c>
    </row>
    <row r="91" spans="1:12">
      <c r="A91" s="1379"/>
      <c r="B91" s="345" t="s">
        <v>95</v>
      </c>
      <c r="C91" s="285"/>
      <c r="D91" s="300" t="str">
        <f>+IF(C91="","Утга сонгох","")</f>
        <v>Утга сонгох</v>
      </c>
    </row>
    <row r="92" spans="1:12" ht="15.75" thickBot="1">
      <c r="A92" s="1380"/>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393">
        <v>17</v>
      </c>
      <c r="B94" s="348" t="s">
        <v>98</v>
      </c>
      <c r="C94" s="285"/>
      <c r="D94" s="300" t="str">
        <f>+IF(C94="","Утга сонгох","")</f>
        <v>Утга сонгох</v>
      </c>
    </row>
    <row r="95" spans="1:12" ht="15.75" thickBot="1">
      <c r="A95" s="1394"/>
      <c r="B95" s="349" t="s">
        <v>99</v>
      </c>
      <c r="C95" s="304"/>
      <c r="D95" s="300" t="str">
        <f>+IF(C95="",IF(C94="Тийм","Утга нөхөх",""),"")</f>
        <v/>
      </c>
    </row>
    <row r="96" spans="1:12" ht="15.75" thickBot="1">
      <c r="A96" s="1382">
        <v>18</v>
      </c>
      <c r="B96" s="1384" t="s">
        <v>100</v>
      </c>
      <c r="C96" s="1385"/>
    </row>
    <row r="97" spans="1:4">
      <c r="A97" s="1383"/>
      <c r="B97" s="350" t="s">
        <v>101</v>
      </c>
      <c r="C97" s="292"/>
      <c r="D97" s="300" t="str">
        <f>+IF(C97&gt;0,"","Утга нөхөх")</f>
        <v>Утга нөхөх</v>
      </c>
    </row>
    <row r="98" spans="1:4" ht="15.75" thickBot="1">
      <c r="A98" s="1383"/>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386" t="s">
        <v>104</v>
      </c>
      <c r="C99" s="1387"/>
    </row>
    <row r="100" spans="1:4" ht="15.75" thickBot="1">
      <c r="A100" s="1388">
        <v>19</v>
      </c>
      <c r="B100" s="1391" t="s">
        <v>105</v>
      </c>
      <c r="C100" s="1392"/>
    </row>
    <row r="101" spans="1:4">
      <c r="A101" s="1389"/>
      <c r="B101" s="353" t="s">
        <v>106</v>
      </c>
      <c r="C101" s="294"/>
      <c r="D101" s="300" t="str">
        <f>+IF(C101&gt;0,"",IF(C101="","Утга нөхөх",""))</f>
        <v>Утга нөхөх</v>
      </c>
    </row>
    <row r="102" spans="1:4" ht="15.75" thickBot="1">
      <c r="A102" s="1389"/>
      <c r="B102" s="354" t="s">
        <v>107</v>
      </c>
      <c r="C102" s="295"/>
      <c r="D102" s="300" t="str">
        <f>IF(C102="",IF(C101&gt;0,"Утга нөхөх",""),"")</f>
        <v/>
      </c>
    </row>
    <row r="103" spans="1:4" ht="15.75" thickBot="1">
      <c r="A103" s="1389"/>
      <c r="B103" s="1391" t="s">
        <v>108</v>
      </c>
      <c r="C103" s="1392"/>
    </row>
    <row r="104" spans="1:4">
      <c r="A104" s="1389"/>
      <c r="B104" s="353" t="s">
        <v>109</v>
      </c>
      <c r="C104" s="294"/>
      <c r="D104" s="300" t="str">
        <f>+IF(C104&gt;0,"",IF(C104="","Утга нөхөх",""))</f>
        <v>Утга нөхөх</v>
      </c>
    </row>
    <row r="105" spans="1:4" ht="15.75" thickBot="1">
      <c r="A105" s="1390"/>
      <c r="B105" s="355" t="s">
        <v>110</v>
      </c>
      <c r="C105" s="295"/>
      <c r="D105" s="300" t="str">
        <f>IF(C105="",IF(C104&gt;0,"Утга нөхөх",""),"")</f>
        <v/>
      </c>
    </row>
    <row r="109" spans="1:4">
      <c r="A109" s="1381" t="s">
        <v>111</v>
      </c>
      <c r="B109" s="1381"/>
      <c r="C109" s="1381"/>
    </row>
    <row r="110" spans="1:4">
      <c r="A110" s="356"/>
      <c r="B110" s="357" t="s">
        <v>112</v>
      </c>
      <c r="C110" s="356"/>
    </row>
    <row r="111" spans="1:4">
      <c r="A111" s="356"/>
      <c r="B111" s="356"/>
      <c r="C111" s="356"/>
    </row>
    <row r="112" spans="1:4">
      <c r="A112" s="356"/>
      <c r="B112" s="356" t="s">
        <v>113</v>
      </c>
      <c r="C112" s="947" t="s">
        <v>114</v>
      </c>
    </row>
    <row r="113" spans="1:3">
      <c r="A113" s="356"/>
      <c r="B113" s="356"/>
      <c r="C113" s="358"/>
    </row>
    <row r="114" spans="1:3">
      <c r="A114" s="356"/>
      <c r="B114" s="356" t="s">
        <v>115</v>
      </c>
      <c r="C114" s="947" t="s">
        <v>114</v>
      </c>
    </row>
  </sheetData>
  <sheetProtection algorithmName="SHA-512" hashValue="CCgEqNrhuS+dkH0mWZt6TRau6Z8k2nhc6utVON0AQkDAjZHojFdh507VCrlewDKEtlpTfqbzMeBFHsS1h9EzJA==" saltValue="MIfg3KMNxrSs6tbhNJuXVQ==" spinCount="100000" sheet="1" objects="1" scenarios="1"/>
  <mergeCells count="32">
    <mergeCell ref="A4:C4"/>
    <mergeCell ref="A5:C5"/>
    <mergeCell ref="A6:C6"/>
    <mergeCell ref="A8:B8"/>
    <mergeCell ref="A9:A10"/>
    <mergeCell ref="B9:B10"/>
    <mergeCell ref="C9:C10"/>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B88:C88"/>
    <mergeCell ref="A89:A92"/>
    <mergeCell ref="A109:C109"/>
    <mergeCell ref="A96:A98"/>
    <mergeCell ref="B96:C96"/>
    <mergeCell ref="B99:C99"/>
    <mergeCell ref="A100:A105"/>
    <mergeCell ref="B100:C100"/>
    <mergeCell ref="B103:C103"/>
    <mergeCell ref="A94:A95"/>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tabSelected="1" zoomScale="85" zoomScaleNormal="85" workbookViewId="0">
      <pane ySplit="9" topLeftCell="A31" activePane="bottomLeft" state="frozen"/>
      <selection pane="bottomLeft" activeCell="D50" sqref="D50"/>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921"/>
      <c r="E1" s="1"/>
      <c r="F1" s="1419"/>
      <c r="G1" s="1419"/>
      <c r="H1" s="1419"/>
    </row>
    <row r="2" spans="1:8">
      <c r="A2" s="1"/>
      <c r="B2" s="1"/>
      <c r="C2" s="1"/>
      <c r="D2" s="921"/>
      <c r="E2" s="1"/>
      <c r="F2" s="1419"/>
      <c r="G2" s="1419"/>
      <c r="H2" s="1419"/>
    </row>
    <row r="3" spans="1:8">
      <c r="A3" s="1"/>
      <c r="B3" s="1"/>
      <c r="C3" s="1"/>
      <c r="D3" s="921"/>
      <c r="E3" s="1"/>
      <c r="F3" s="58"/>
      <c r="G3" s="58"/>
      <c r="H3" s="922"/>
    </row>
    <row r="4" spans="1:8">
      <c r="A4" s="1420" t="s">
        <v>116</v>
      </c>
      <c r="B4" s="1420"/>
      <c r="C4" s="1420"/>
      <c r="D4" s="1420"/>
      <c r="E4" s="1420"/>
      <c r="F4" s="1420"/>
      <c r="G4" s="1420"/>
      <c r="H4" s="1420"/>
    </row>
    <row r="5" spans="1:8">
      <c r="A5" s="1421" t="str">
        <f>+STATISTICS!A5</f>
        <v>ХАДГАЛАМЖ, ЗЭЭЛИЙН ХОРШООНЫ НЭР</v>
      </c>
      <c r="B5" s="1421"/>
      <c r="C5" s="1421"/>
      <c r="D5" s="1421"/>
      <c r="E5" s="1421"/>
      <c r="F5" s="1421"/>
      <c r="G5" s="1421"/>
      <c r="H5" s="1421"/>
    </row>
    <row r="6" spans="1:8">
      <c r="A6" s="1420" t="s">
        <v>38</v>
      </c>
      <c r="B6" s="1420"/>
      <c r="C6" s="1420"/>
      <c r="D6" s="1420"/>
      <c r="E6" s="1420"/>
      <c r="F6" s="1420"/>
      <c r="G6" s="1420"/>
      <c r="H6" s="1420"/>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957" t="s">
        <v>152</v>
      </c>
      <c r="G27" s="130">
        <v>221100</v>
      </c>
      <c r="H27" s="726">
        <f>ROUND(SUM(H28,H29),2)</f>
        <v>0</v>
      </c>
    </row>
    <row r="28" spans="1:8" ht="15.75" customHeight="1" thickBot="1">
      <c r="B28" s="257" t="s">
        <v>153</v>
      </c>
      <c r="C28" s="168">
        <v>120000</v>
      </c>
      <c r="D28" s="700">
        <f>ROUND(SUM(D29,D32,D35,-D45,D47,-D49,D51),2)</f>
        <v>0</v>
      </c>
      <c r="E28" s="181"/>
      <c r="F28" s="958" t="s">
        <v>154</v>
      </c>
      <c r="G28" s="266">
        <v>221110</v>
      </c>
      <c r="H28" s="729"/>
    </row>
    <row r="29" spans="1:8" ht="15.75" thickBot="1">
      <c r="A29" s="165"/>
      <c r="B29" s="139" t="s">
        <v>155</v>
      </c>
      <c r="C29" s="130">
        <v>121000</v>
      </c>
      <c r="D29" s="703">
        <f>ROUND(SUM(D30,D31),2)</f>
        <v>0</v>
      </c>
      <c r="E29" s="181"/>
      <c r="F29" s="959" t="s">
        <v>156</v>
      </c>
      <c r="G29" s="191">
        <v>221120</v>
      </c>
      <c r="H29" s="733"/>
    </row>
    <row r="30" spans="1:8" ht="15.75" thickBot="1">
      <c r="A30" s="147"/>
      <c r="B30" s="136" t="s">
        <v>157</v>
      </c>
      <c r="C30" s="142">
        <v>121100</v>
      </c>
      <c r="D30" s="701"/>
      <c r="E30" s="181"/>
      <c r="F30" s="957" t="s">
        <v>158</v>
      </c>
      <c r="G30" s="130">
        <v>221200</v>
      </c>
      <c r="H30" s="726">
        <f>ROUND(SUM(H31,H32),2)</f>
        <v>0</v>
      </c>
    </row>
    <row r="31" spans="1:8" ht="15.75" thickBot="1">
      <c r="A31" s="147"/>
      <c r="B31" s="141" t="s">
        <v>159</v>
      </c>
      <c r="C31" s="144">
        <v>121200</v>
      </c>
      <c r="D31" s="702"/>
      <c r="E31" s="181"/>
      <c r="F31" s="958" t="s">
        <v>160</v>
      </c>
      <c r="G31" s="142">
        <v>221210</v>
      </c>
      <c r="H31" s="729"/>
    </row>
    <row r="32" spans="1:8" ht="15.75" thickBot="1">
      <c r="A32" s="147"/>
      <c r="B32" s="139" t="s">
        <v>161</v>
      </c>
      <c r="C32" s="130">
        <v>122000</v>
      </c>
      <c r="D32" s="703">
        <f>ROUND(SUM(D33,D34),2)</f>
        <v>0</v>
      </c>
      <c r="E32" s="181"/>
      <c r="F32" s="960" t="s">
        <v>162</v>
      </c>
      <c r="G32" s="259">
        <v>221220</v>
      </c>
      <c r="H32" s="731"/>
    </row>
    <row r="33" spans="1:8" ht="15.75" thickBot="1">
      <c r="A33" s="147"/>
      <c r="B33" s="136" t="s">
        <v>163</v>
      </c>
      <c r="C33" s="142">
        <v>122100</v>
      </c>
      <c r="D33" s="701"/>
      <c r="E33" s="181"/>
      <c r="F33" s="957" t="s">
        <v>164</v>
      </c>
      <c r="G33" s="130">
        <v>222000</v>
      </c>
      <c r="H33" s="726">
        <f>ROUND(SUM(H34,H35),2)</f>
        <v>0</v>
      </c>
    </row>
    <row r="34" spans="1:8" ht="15.75" thickBot="1">
      <c r="A34" s="147"/>
      <c r="B34" s="141" t="s">
        <v>159</v>
      </c>
      <c r="C34" s="144">
        <v>122200</v>
      </c>
      <c r="D34" s="702"/>
      <c r="E34" s="181"/>
      <c r="F34" s="961" t="s">
        <v>165</v>
      </c>
      <c r="G34" s="142">
        <v>222010</v>
      </c>
      <c r="H34" s="729"/>
    </row>
    <row r="35" spans="1:8" ht="15.75" thickBot="1">
      <c r="A35" s="147"/>
      <c r="B35" s="139" t="s">
        <v>166</v>
      </c>
      <c r="C35" s="130">
        <v>123000</v>
      </c>
      <c r="D35" s="703">
        <f>ROUND(SUM(D36,D39,D42),2)</f>
        <v>0</v>
      </c>
      <c r="E35" s="181"/>
      <c r="F35" s="959" t="s">
        <v>167</v>
      </c>
      <c r="G35" s="174">
        <v>222020</v>
      </c>
      <c r="H35" s="733"/>
    </row>
    <row r="36" spans="1:8" ht="26.25" thickBot="1">
      <c r="A36" s="147"/>
      <c r="B36" s="260" t="s">
        <v>168</v>
      </c>
      <c r="C36" s="156">
        <v>123100</v>
      </c>
      <c r="D36" s="704">
        <f>ROUND(SUM(D37,D38),2)</f>
        <v>0</v>
      </c>
      <c r="E36" s="181"/>
      <c r="F36" s="957" t="s">
        <v>169</v>
      </c>
      <c r="G36" s="130">
        <v>223000</v>
      </c>
      <c r="H36" s="726">
        <f>ROUND(SUM(H37,H38),2)</f>
        <v>0</v>
      </c>
    </row>
    <row r="37" spans="1:8">
      <c r="A37" s="147"/>
      <c r="B37" s="136" t="s">
        <v>170</v>
      </c>
      <c r="C37" s="142">
        <v>123110</v>
      </c>
      <c r="D37" s="701"/>
      <c r="E37" s="181"/>
      <c r="F37" s="962" t="s">
        <v>165</v>
      </c>
      <c r="G37" s="176">
        <v>223010</v>
      </c>
      <c r="H37" s="734"/>
    </row>
    <row r="38" spans="1:8" ht="15.75" thickBot="1">
      <c r="A38" s="147"/>
      <c r="B38" s="141" t="s">
        <v>171</v>
      </c>
      <c r="C38" s="144">
        <v>123120</v>
      </c>
      <c r="D38" s="702"/>
      <c r="E38" s="181"/>
      <c r="F38" s="959"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919"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923"/>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949" t="s">
        <v>371</v>
      </c>
      <c r="C222" s="191">
        <v>610100</v>
      </c>
      <c r="D222" s="738"/>
      <c r="F222" s="757" t="s">
        <v>372</v>
      </c>
      <c r="G222" s="757"/>
      <c r="H222" s="758">
        <f>+H105</f>
        <v>0</v>
      </c>
    </row>
    <row r="223" spans="1:8">
      <c r="B223" s="949" t="s">
        <v>373</v>
      </c>
      <c r="C223" s="191">
        <v>610200</v>
      </c>
      <c r="D223" s="738"/>
      <c r="F223" s="757" t="s">
        <v>374</v>
      </c>
      <c r="G223" s="757"/>
      <c r="H223" s="758">
        <f>+D155</f>
        <v>0</v>
      </c>
    </row>
    <row r="224" spans="1:8">
      <c r="B224" s="949" t="s">
        <v>375</v>
      </c>
      <c r="C224" s="191">
        <v>610300</v>
      </c>
      <c r="D224" s="738"/>
    </row>
    <row r="225" spans="2:4" ht="15.75" thickBot="1">
      <c r="B225" s="949" t="s">
        <v>376</v>
      </c>
      <c r="C225" s="191">
        <v>610400</v>
      </c>
      <c r="D225" s="738"/>
    </row>
    <row r="226" spans="2:4" ht="15.75" thickBot="1">
      <c r="B226" s="240" t="s">
        <v>377</v>
      </c>
      <c r="C226" s="161">
        <v>620000</v>
      </c>
      <c r="D226" s="726">
        <f>ROUND(SUM(D227:D229),2)</f>
        <v>0</v>
      </c>
    </row>
    <row r="227" spans="2:4">
      <c r="B227" s="949" t="s">
        <v>237</v>
      </c>
      <c r="C227" s="191">
        <v>621000</v>
      </c>
      <c r="D227" s="738"/>
    </row>
    <row r="228" spans="2:4">
      <c r="B228" s="949" t="s">
        <v>235</v>
      </c>
      <c r="C228" s="191">
        <v>622000</v>
      </c>
      <c r="D228" s="738"/>
    </row>
    <row r="229" spans="2:4" ht="15.75" thickBot="1">
      <c r="B229" s="949" t="s">
        <v>378</v>
      </c>
      <c r="C229" s="191">
        <v>623000</v>
      </c>
      <c r="D229" s="738"/>
    </row>
    <row r="230" spans="2:4" ht="15.75" thickBot="1">
      <c r="B230" s="240" t="s">
        <v>379</v>
      </c>
      <c r="C230" s="161">
        <v>630000</v>
      </c>
      <c r="D230" s="726">
        <f>ROUND(SUM(D231:D235),2)</f>
        <v>0</v>
      </c>
    </row>
    <row r="231" spans="2:4">
      <c r="B231" s="949" t="s">
        <v>380</v>
      </c>
      <c r="C231" s="191">
        <v>631000</v>
      </c>
      <c r="D231" s="738"/>
    </row>
    <row r="232" spans="2:4">
      <c r="B232" s="949" t="s">
        <v>381</v>
      </c>
      <c r="C232" s="191">
        <v>632000</v>
      </c>
      <c r="D232" s="738"/>
    </row>
    <row r="233" spans="2:4">
      <c r="B233" s="949" t="s">
        <v>382</v>
      </c>
      <c r="C233" s="191">
        <v>633000</v>
      </c>
      <c r="D233" s="738"/>
    </row>
    <row r="234" spans="2:4">
      <c r="B234" s="949" t="s">
        <v>383</v>
      </c>
      <c r="C234" s="191">
        <v>634000</v>
      </c>
      <c r="D234" s="738"/>
    </row>
    <row r="235" spans="2:4" ht="15.75" thickBot="1">
      <c r="B235" s="949" t="s">
        <v>384</v>
      </c>
      <c r="C235" s="191">
        <v>635000</v>
      </c>
      <c r="D235" s="738"/>
    </row>
    <row r="236" spans="2:4" ht="15.75" thickBot="1">
      <c r="B236" s="240" t="s">
        <v>385</v>
      </c>
      <c r="C236" s="161">
        <v>640000</v>
      </c>
      <c r="D236" s="726">
        <f>ROUND(SUM(D237:D239),2)</f>
        <v>0</v>
      </c>
    </row>
    <row r="237" spans="2:4">
      <c r="B237" s="949" t="s">
        <v>237</v>
      </c>
      <c r="C237" s="191">
        <v>641000</v>
      </c>
      <c r="D237" s="738"/>
    </row>
    <row r="238" spans="2:4">
      <c r="B238" s="949" t="s">
        <v>235</v>
      </c>
      <c r="C238" s="191">
        <v>642000</v>
      </c>
      <c r="D238" s="738"/>
    </row>
    <row r="239" spans="2:4" ht="15.75" thickBot="1">
      <c r="B239" s="949" t="s">
        <v>386</v>
      </c>
      <c r="C239" s="191">
        <v>643000</v>
      </c>
      <c r="D239" s="738"/>
    </row>
    <row r="240" spans="2:4" ht="15.75" thickBot="1">
      <c r="B240" s="240" t="s">
        <v>387</v>
      </c>
      <c r="C240" s="161">
        <v>650000</v>
      </c>
      <c r="D240" s="726">
        <f>ROUND(SUM(D241:D245),2)</f>
        <v>0</v>
      </c>
    </row>
    <row r="241" spans="1:8">
      <c r="B241" s="949" t="s">
        <v>388</v>
      </c>
      <c r="C241" s="191">
        <v>651000</v>
      </c>
      <c r="D241" s="738"/>
    </row>
    <row r="242" spans="1:8">
      <c r="B242" s="949" t="s">
        <v>389</v>
      </c>
      <c r="C242" s="191">
        <v>652000</v>
      </c>
      <c r="D242" s="738"/>
    </row>
    <row r="243" spans="1:8">
      <c r="B243" s="949" t="s">
        <v>390</v>
      </c>
      <c r="C243" s="191">
        <v>653000</v>
      </c>
      <c r="D243" s="738"/>
    </row>
    <row r="244" spans="1:8">
      <c r="B244" s="949" t="s">
        <v>391</v>
      </c>
      <c r="C244" s="191">
        <v>654000</v>
      </c>
      <c r="D244" s="738"/>
    </row>
    <row r="245" spans="1:8" ht="15.75" thickBot="1">
      <c r="B245" s="950" t="s">
        <v>211</v>
      </c>
      <c r="C245" s="259">
        <v>655000</v>
      </c>
      <c r="D245" s="728"/>
    </row>
    <row r="247" spans="1:8">
      <c r="A247" s="1417" t="s">
        <v>111</v>
      </c>
      <c r="B247" s="1417"/>
      <c r="C247" s="1417"/>
      <c r="D247" s="1417"/>
      <c r="E247" s="1417"/>
      <c r="F247" s="1417"/>
      <c r="G247" s="1417"/>
      <c r="H247" s="1417"/>
    </row>
    <row r="248" spans="1:8">
      <c r="A248" s="1418" t="s">
        <v>112</v>
      </c>
      <c r="B248" s="1418"/>
      <c r="C248" s="1418"/>
      <c r="D248" s="1418"/>
      <c r="E248" s="1418"/>
      <c r="F248" s="1418"/>
      <c r="G248" s="1418"/>
      <c r="H248" s="1418"/>
    </row>
    <row r="249" spans="1:8">
      <c r="A249" s="3"/>
      <c r="B249" s="3"/>
      <c r="C249" s="3"/>
      <c r="D249" s="1"/>
      <c r="E249" s="1"/>
      <c r="F249" s="1"/>
      <c r="G249" s="1"/>
      <c r="H249" s="948"/>
    </row>
    <row r="250" spans="1:8">
      <c r="A250" s="3"/>
      <c r="B250" s="3"/>
      <c r="C250" s="1"/>
      <c r="D250" s="40" t="s">
        <v>392</v>
      </c>
      <c r="E250" s="1"/>
      <c r="F250" s="1" t="str">
        <f>+STATISTICS!C112</f>
        <v>/Нэр/</v>
      </c>
      <c r="G250" s="1"/>
      <c r="H250" s="948"/>
    </row>
    <row r="251" spans="1:8">
      <c r="A251" s="3"/>
      <c r="B251" s="3"/>
      <c r="C251" s="1"/>
      <c r="D251" s="42"/>
      <c r="E251" s="1"/>
      <c r="F251" s="1"/>
      <c r="G251" s="1"/>
      <c r="H251" s="948"/>
    </row>
    <row r="252" spans="1:8">
      <c r="A252" s="3"/>
      <c r="B252" s="3"/>
      <c r="C252" s="1"/>
      <c r="D252" s="40" t="s">
        <v>115</v>
      </c>
      <c r="E252" s="1"/>
      <c r="F252" s="1" t="str">
        <f>+STATISTICS!C114</f>
        <v>/Нэр/</v>
      </c>
      <c r="G252" s="1"/>
      <c r="H252" s="948"/>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topLeftCell="A52" zoomScale="85" zoomScaleNormal="85" workbookViewId="0">
      <selection activeCell="F12" sqref="F12"/>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1072"/>
      <c r="C1" s="1"/>
      <c r="D1" s="921"/>
      <c r="E1" s="1"/>
      <c r="F1" s="1419"/>
      <c r="G1" s="1419"/>
      <c r="H1" s="1419"/>
    </row>
    <row r="2" spans="1:8" s="166" customFormat="1">
      <c r="A2" s="1"/>
      <c r="B2" s="1072"/>
      <c r="C2" s="1"/>
      <c r="D2" s="921"/>
      <c r="E2" s="1"/>
      <c r="F2" s="1419"/>
      <c r="G2" s="1419"/>
      <c r="H2" s="1419"/>
    </row>
    <row r="3" spans="1:8" s="166" customFormat="1">
      <c r="A3" s="1"/>
      <c r="B3" s="1072"/>
      <c r="C3" s="1"/>
      <c r="D3" s="921"/>
      <c r="E3" s="1"/>
      <c r="F3" s="1018"/>
      <c r="G3" s="58"/>
      <c r="H3" s="922"/>
    </row>
    <row r="4" spans="1:8" s="166" customFormat="1">
      <c r="A4" s="1420" t="s">
        <v>393</v>
      </c>
      <c r="B4" s="1420"/>
      <c r="C4" s="1420"/>
      <c r="D4" s="1420"/>
      <c r="E4" s="1420"/>
      <c r="F4" s="1420"/>
      <c r="G4" s="1420"/>
      <c r="H4" s="1420"/>
    </row>
    <row r="5" spans="1:8" s="166" customFormat="1">
      <c r="A5" s="1421" t="str">
        <f>+STATISTICS!A5</f>
        <v>ХАДГАЛАМЖ, ЗЭЭЛИЙН ХОРШООНЫ НЭР</v>
      </c>
      <c r="B5" s="1421"/>
      <c r="C5" s="1421"/>
      <c r="D5" s="1421"/>
      <c r="E5" s="1421"/>
      <c r="F5" s="1421"/>
      <c r="G5" s="1421"/>
      <c r="H5" s="1421"/>
    </row>
    <row r="6" spans="1:8" s="166" customFormat="1">
      <c r="A6" s="1420" t="s">
        <v>38</v>
      </c>
      <c r="B6" s="1420"/>
      <c r="C6" s="1420"/>
      <c r="D6" s="1420"/>
      <c r="E6" s="1420"/>
      <c r="F6" s="1420"/>
      <c r="G6" s="1420"/>
      <c r="H6" s="1420"/>
    </row>
    <row r="7" spans="1:8" s="166" customFormat="1">
      <c r="A7" s="5"/>
      <c r="B7" s="1073"/>
      <c r="C7" s="5"/>
      <c r="D7" s="5"/>
      <c r="E7" s="5"/>
      <c r="F7" s="1073"/>
      <c r="G7" s="5"/>
      <c r="H7" s="5"/>
    </row>
    <row r="8" spans="1:8" s="166" customFormat="1" ht="15.75" thickBot="1">
      <c r="A8" s="275"/>
      <c r="B8" s="1074"/>
      <c r="C8" s="2"/>
      <c r="D8" s="697"/>
      <c r="E8" s="3"/>
      <c r="F8" s="1082"/>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963" t="s">
        <v>424</v>
      </c>
      <c r="F24" s="964" t="s">
        <v>425</v>
      </c>
      <c r="G24" s="965">
        <f>+G25+G28</f>
        <v>0</v>
      </c>
      <c r="H24" s="80" t="e">
        <f>+G24/$C$78</f>
        <v>#DIV/0!</v>
      </c>
    </row>
    <row r="25" spans="1:8" ht="15.75" thickBot="1">
      <c r="A25" s="87" t="s">
        <v>426</v>
      </c>
      <c r="B25" s="1075" t="s">
        <v>168</v>
      </c>
      <c r="C25" s="95">
        <f>+Balance!D36</f>
        <v>0</v>
      </c>
      <c r="D25" s="80" t="e">
        <f t="shared" si="0"/>
        <v>#DIV/0!</v>
      </c>
      <c r="E25" s="90" t="s">
        <v>427</v>
      </c>
      <c r="F25" s="1083" t="s">
        <v>152</v>
      </c>
      <c r="G25" s="91">
        <f>+SUM(G26,G27)</f>
        <v>0</v>
      </c>
      <c r="H25" s="80" t="e">
        <f>+G25/$C$78</f>
        <v>#DIV/0!</v>
      </c>
    </row>
    <row r="26" spans="1:8" ht="26.25" thickBot="1">
      <c r="A26" s="87" t="s">
        <v>428</v>
      </c>
      <c r="B26" s="1075" t="s">
        <v>172</v>
      </c>
      <c r="C26" s="95">
        <f>+Balance!D39</f>
        <v>0</v>
      </c>
      <c r="D26" s="80" t="e">
        <f t="shared" si="0"/>
        <v>#DIV/0!</v>
      </c>
      <c r="E26" s="90" t="s">
        <v>429</v>
      </c>
      <c r="F26" s="88" t="s">
        <v>154</v>
      </c>
      <c r="G26" s="89">
        <f>+Balance!H28</f>
        <v>0</v>
      </c>
      <c r="H26" s="80" t="e">
        <f>+G26/$C$78</f>
        <v>#DIV/0!</v>
      </c>
    </row>
    <row r="27" spans="1:8" ht="26.25" thickBot="1">
      <c r="A27" s="87" t="s">
        <v>430</v>
      </c>
      <c r="B27" s="1075" t="s">
        <v>175</v>
      </c>
      <c r="C27" s="95">
        <f>+Balance!D42</f>
        <v>0</v>
      </c>
      <c r="D27" s="80" t="e">
        <f t="shared" si="0"/>
        <v>#DIV/0!</v>
      </c>
      <c r="E27" s="90" t="s">
        <v>431</v>
      </c>
      <c r="F27" s="88" t="s">
        <v>156</v>
      </c>
      <c r="G27" s="89">
        <f>+Balance!H29</f>
        <v>0</v>
      </c>
      <c r="H27" s="80" t="e">
        <f t="shared" si="1"/>
        <v>#DIV/0!</v>
      </c>
    </row>
    <row r="28" spans="1:8" ht="15.75" thickBot="1">
      <c r="A28" s="87" t="s">
        <v>432</v>
      </c>
      <c r="B28" s="918" t="s">
        <v>178</v>
      </c>
      <c r="C28" s="89">
        <f>+Balance!D45</f>
        <v>0</v>
      </c>
      <c r="D28" s="80" t="e">
        <f t="shared" si="0"/>
        <v>#DIV/0!</v>
      </c>
      <c r="E28" s="90" t="s">
        <v>433</v>
      </c>
      <c r="F28" s="1083"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967" t="s">
        <v>441</v>
      </c>
      <c r="F31" s="283" t="s">
        <v>442</v>
      </c>
      <c r="G31" s="94">
        <f>+SUM(G32,G33)</f>
        <v>0</v>
      </c>
      <c r="H31" s="80" t="e">
        <f t="shared" si="1"/>
        <v>#DIV/0!</v>
      </c>
    </row>
    <row r="32" spans="1:8" ht="15" customHeight="1" thickBot="1">
      <c r="A32" s="78">
        <v>1.3</v>
      </c>
      <c r="B32" s="1076"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967"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1077" t="s">
        <v>454</v>
      </c>
      <c r="C37" s="95">
        <f>+Balance!D57</f>
        <v>0</v>
      </c>
      <c r="D37" s="80" t="e">
        <f t="shared" si="0"/>
        <v>#DIV/0!</v>
      </c>
      <c r="E37" s="967"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1076"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1078" t="s">
        <v>208</v>
      </c>
      <c r="C51" s="89">
        <f>+Balance!D88</f>
        <v>0</v>
      </c>
      <c r="D51" s="80" t="e">
        <f t="shared" si="2"/>
        <v>#DIV/0!</v>
      </c>
      <c r="E51" s="96" t="s">
        <v>481</v>
      </c>
      <c r="F51" s="29" t="s">
        <v>212</v>
      </c>
      <c r="G51" s="100">
        <f>+Balance!H69</f>
        <v>0</v>
      </c>
      <c r="H51" s="80" t="e">
        <f t="shared" si="1"/>
        <v>#DIV/0!</v>
      </c>
    </row>
    <row r="52" spans="1:8" ht="26.25" thickBot="1">
      <c r="A52" s="87" t="s">
        <v>482</v>
      </c>
      <c r="B52" s="1078"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1078" t="s">
        <v>254</v>
      </c>
      <c r="C56" s="89">
        <f>+Balance!D98</f>
        <v>0</v>
      </c>
      <c r="D56" s="80" t="e">
        <f t="shared" si="2"/>
        <v>#DIV/0!</v>
      </c>
      <c r="E56" s="90" t="s">
        <v>491</v>
      </c>
      <c r="F56" s="88" t="s">
        <v>223</v>
      </c>
      <c r="G56" s="98">
        <f>+Balance!H78</f>
        <v>0</v>
      </c>
      <c r="H56" s="80" t="e">
        <f t="shared" si="1"/>
        <v>#DIV/0!</v>
      </c>
    </row>
    <row r="57" spans="1:8" ht="15.75" thickBot="1">
      <c r="A57" s="87" t="s">
        <v>492</v>
      </c>
      <c r="B57" s="1078"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1078"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1078"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1079"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1078"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1080"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1084" t="s">
        <v>263</v>
      </c>
      <c r="G76" s="1062">
        <f>+Balance!H221</f>
        <v>0</v>
      </c>
      <c r="H76" s="80" t="e">
        <f t="shared" ref="H76:H77" si="3">+G76/$C$78</f>
        <v>#DIV/0!</v>
      </c>
    </row>
    <row r="77" spans="1:8" ht="15.75" thickBot="1">
      <c r="A77" s="87"/>
      <c r="B77" s="29"/>
      <c r="C77" s="109"/>
      <c r="D77" s="108"/>
      <c r="E77" s="90" t="s">
        <v>528</v>
      </c>
      <c r="F77" s="88" t="s">
        <v>264</v>
      </c>
      <c r="G77" s="1062">
        <f>+Balance!H104</f>
        <v>0</v>
      </c>
      <c r="H77" s="80" t="e">
        <f t="shared" si="3"/>
        <v>#DIV/0!</v>
      </c>
    </row>
    <row r="78" spans="1:8" ht="15.75" thickBot="1">
      <c r="A78" s="44"/>
      <c r="B78" s="1081" t="s">
        <v>367</v>
      </c>
      <c r="C78" s="46">
        <f>+SUM(C10,C43)</f>
        <v>0</v>
      </c>
      <c r="D78" s="47">
        <v>1</v>
      </c>
      <c r="E78" s="45"/>
      <c r="F78" s="1081" t="s">
        <v>367</v>
      </c>
      <c r="G78" s="46">
        <f>+SUM(G10,G44,G59)</f>
        <v>0</v>
      </c>
      <c r="H78" s="1050">
        <v>1</v>
      </c>
    </row>
    <row r="79" spans="1:8">
      <c r="C79" s="114"/>
      <c r="D79" s="115"/>
      <c r="G79" s="117"/>
      <c r="H79" s="118"/>
    </row>
    <row r="80" spans="1:8">
      <c r="C80" s="114"/>
      <c r="D80" s="115"/>
      <c r="G80" s="117"/>
      <c r="H80" s="118"/>
    </row>
    <row r="81" spans="1:8">
      <c r="C81" s="114"/>
      <c r="D81" s="115"/>
      <c r="G81" s="117"/>
      <c r="H81" s="118"/>
    </row>
    <row r="82" spans="1:8">
      <c r="A82" s="1417" t="s">
        <v>111</v>
      </c>
      <c r="B82" s="1417"/>
      <c r="C82" s="1417"/>
      <c r="D82" s="1417"/>
      <c r="E82" s="1417"/>
      <c r="F82" s="1417"/>
      <c r="G82" s="1417"/>
      <c r="H82" s="1417"/>
    </row>
    <row r="83" spans="1:8">
      <c r="A83" s="1418" t="s">
        <v>112</v>
      </c>
      <c r="B83" s="1418"/>
      <c r="C83" s="1418"/>
      <c r="D83" s="1418"/>
      <c r="E83" s="1418"/>
      <c r="F83" s="1418"/>
      <c r="G83" s="1418"/>
      <c r="H83" s="1418"/>
    </row>
    <row r="84" spans="1:8">
      <c r="A84" s="3"/>
      <c r="B84" s="1082"/>
      <c r="C84" s="3"/>
      <c r="D84" s="1"/>
      <c r="E84" s="1"/>
      <c r="F84" s="1072"/>
      <c r="G84" s="1"/>
      <c r="H84" s="948"/>
    </row>
    <row r="85" spans="1:8">
      <c r="A85" s="3"/>
      <c r="B85" s="1082"/>
      <c r="C85" s="1"/>
      <c r="D85" s="40" t="s">
        <v>392</v>
      </c>
      <c r="E85" s="1"/>
      <c r="F85" s="1072" t="str">
        <f>+STATISTICS!C112</f>
        <v>/Нэр/</v>
      </c>
      <c r="G85" s="1"/>
      <c r="H85" s="948"/>
    </row>
    <row r="86" spans="1:8">
      <c r="A86" s="3"/>
      <c r="B86" s="1082"/>
      <c r="C86" s="1"/>
      <c r="D86" s="42"/>
      <c r="E86" s="1"/>
      <c r="F86" s="1072"/>
      <c r="G86" s="1"/>
      <c r="H86" s="948"/>
    </row>
    <row r="87" spans="1:8">
      <c r="A87" s="3"/>
      <c r="B87" s="1082"/>
      <c r="C87" s="1"/>
      <c r="D87" s="40" t="s">
        <v>115</v>
      </c>
      <c r="E87" s="1"/>
      <c r="F87" s="1072" t="str">
        <f>+STATISTICS!C114</f>
        <v>/Нэр/</v>
      </c>
      <c r="G87" s="1"/>
      <c r="H87" s="948"/>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C71" sqref="C71"/>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19"/>
      <c r="C1" s="1419"/>
      <c r="D1" s="1419"/>
      <c r="E1" s="6"/>
      <c r="F1" s="7"/>
      <c r="G1" s="6"/>
      <c r="H1" s="6"/>
      <c r="I1" s="6"/>
      <c r="J1" s="6"/>
      <c r="K1" s="6"/>
      <c r="L1" s="6"/>
      <c r="M1" s="6"/>
      <c r="N1" s="6"/>
      <c r="O1" s="6"/>
      <c r="P1" s="6"/>
      <c r="Q1" s="6"/>
      <c r="R1" s="6"/>
      <c r="S1" s="6"/>
      <c r="T1" s="6"/>
      <c r="U1" s="6"/>
      <c r="V1" s="6"/>
    </row>
    <row r="2" spans="1:27" ht="12.75" customHeight="1">
      <c r="A2" s="6"/>
      <c r="B2" s="1419"/>
      <c r="C2" s="1419"/>
      <c r="D2" s="1419"/>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20" t="s">
        <v>530</v>
      </c>
      <c r="B4" s="1424"/>
      <c r="C4" s="1424"/>
      <c r="D4" s="1424"/>
      <c r="E4" s="7"/>
      <c r="F4" s="7"/>
      <c r="G4" s="7"/>
      <c r="H4" s="7"/>
      <c r="I4" s="7"/>
      <c r="J4" s="7"/>
      <c r="K4" s="7"/>
      <c r="L4" s="7"/>
      <c r="M4" s="7"/>
      <c r="N4" s="7"/>
      <c r="O4" s="7"/>
      <c r="P4" s="7"/>
      <c r="Q4" s="7"/>
      <c r="R4" s="7"/>
      <c r="S4" s="7"/>
      <c r="T4" s="7"/>
      <c r="U4" s="7"/>
      <c r="V4" s="7"/>
      <c r="W4" s="7"/>
      <c r="X4" s="7"/>
      <c r="Y4" s="7"/>
      <c r="Z4" s="7"/>
      <c r="AA4" s="7"/>
    </row>
    <row r="5" spans="1:27" ht="12.75" customHeight="1">
      <c r="A5" s="1421" t="str">
        <f>+STATISTICS!A5</f>
        <v>ХАДГАЛАМЖ, ЗЭЭЛИЙН ХОРШООНЫ НЭР</v>
      </c>
      <c r="B5" s="1424"/>
      <c r="C5" s="1424"/>
      <c r="D5" s="1424"/>
      <c r="E5" s="7"/>
      <c r="F5" s="7"/>
      <c r="G5" s="7"/>
      <c r="H5" s="7"/>
      <c r="I5" s="7"/>
      <c r="J5" s="7"/>
      <c r="K5" s="7"/>
      <c r="L5" s="7"/>
      <c r="M5" s="7"/>
      <c r="N5" s="7"/>
      <c r="O5" s="7"/>
      <c r="P5" s="7"/>
      <c r="Q5" s="7"/>
      <c r="R5" s="7"/>
      <c r="S5" s="7"/>
      <c r="T5" s="7"/>
      <c r="U5" s="7"/>
      <c r="V5" s="7"/>
      <c r="W5" s="7"/>
      <c r="X5" s="7"/>
      <c r="Y5" s="7"/>
      <c r="Z5" s="7"/>
      <c r="AA5" s="7"/>
    </row>
    <row r="6" spans="1:27" ht="12.75" customHeight="1">
      <c r="A6" s="1420" t="s">
        <v>38</v>
      </c>
      <c r="B6" s="1424"/>
      <c r="C6" s="1424"/>
      <c r="D6" s="1424"/>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22"/>
      <c r="B8" s="1423"/>
      <c r="C8" s="9"/>
      <c r="D8" s="67" t="s">
        <v>117</v>
      </c>
      <c r="E8" s="9"/>
      <c r="F8" s="9"/>
      <c r="G8" s="9"/>
      <c r="H8" s="9"/>
      <c r="I8" s="9"/>
      <c r="J8" s="9"/>
      <c r="K8" s="9"/>
      <c r="L8" s="9"/>
      <c r="M8" s="9"/>
      <c r="N8" s="9"/>
      <c r="O8" s="9"/>
      <c r="P8" s="9"/>
      <c r="Q8" s="9"/>
      <c r="R8" s="9"/>
      <c r="S8" s="9"/>
      <c r="T8" s="9"/>
    </row>
    <row r="9" spans="1:27" ht="16.5" customHeight="1">
      <c r="A9" s="1425" t="s">
        <v>531</v>
      </c>
      <c r="B9" s="1426"/>
      <c r="C9" s="1428"/>
      <c r="D9" s="1430" t="s">
        <v>532</v>
      </c>
      <c r="E9" s="7"/>
      <c r="F9" s="7"/>
      <c r="G9" s="7"/>
      <c r="H9" s="7"/>
      <c r="I9" s="7"/>
      <c r="J9" s="7"/>
      <c r="K9" s="7"/>
      <c r="L9" s="7"/>
      <c r="M9" s="7"/>
      <c r="N9" s="7"/>
      <c r="O9" s="7"/>
      <c r="P9" s="7"/>
      <c r="Q9" s="7"/>
      <c r="R9" s="7"/>
      <c r="S9" s="7"/>
      <c r="T9" s="7"/>
    </row>
    <row r="10" spans="1:27" ht="14.25" customHeight="1" thickBot="1">
      <c r="A10" s="1427"/>
      <c r="B10" s="1427"/>
      <c r="C10" s="1429"/>
      <c r="D10" s="1431"/>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1063">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920"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1064">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20" t="s">
        <v>111</v>
      </c>
      <c r="B107" s="1420"/>
      <c r="C107" s="1420"/>
      <c r="D107" s="1420"/>
      <c r="E107" s="7"/>
      <c r="F107" s="7"/>
      <c r="G107" s="7"/>
      <c r="H107" s="7"/>
      <c r="I107" s="7"/>
      <c r="J107" s="7"/>
      <c r="K107" s="7"/>
      <c r="L107" s="7"/>
      <c r="M107" s="7"/>
      <c r="N107" s="7"/>
      <c r="O107" s="7"/>
      <c r="P107" s="7"/>
      <c r="Q107" s="7"/>
      <c r="R107" s="7"/>
      <c r="S107" s="7"/>
      <c r="T107" s="7"/>
      <c r="U107" s="7"/>
      <c r="V107" s="7"/>
    </row>
    <row r="108" spans="1:22">
      <c r="A108" s="1432" t="s">
        <v>112</v>
      </c>
      <c r="B108" s="1432"/>
      <c r="C108" s="1432"/>
      <c r="D108" s="1432"/>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fPusIi8N7iutmFVSOroW99SqnoSYC3E9tEkl+wnkcw3ZcAKmX0BALFvC00j8og7//ZAfQggcP4hYyIhOZpIWWg==" saltValue="cT6wXwLhChLzBBOLrJn4pw==" spinCount="100000" sheet="1" objects="1" scenarios="1"/>
  <mergeCells count="11">
    <mergeCell ref="A9:B10"/>
    <mergeCell ref="C9:C10"/>
    <mergeCell ref="D9:D10"/>
    <mergeCell ref="A107:D107"/>
    <mergeCell ref="A108:D108"/>
    <mergeCell ref="A8:B8"/>
    <mergeCell ref="B1:D1"/>
    <mergeCell ref="B2:D2"/>
    <mergeCell ref="A4:D4"/>
    <mergeCell ref="A5:D5"/>
    <mergeCell ref="A6:D6"/>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E13" activePane="bottomRight" state="frozen"/>
      <selection pane="topRight" activeCell="E1" sqref="E1"/>
      <selection pane="bottomLeft" activeCell="A12" sqref="A12"/>
      <selection pane="bottomRight" activeCell="E30" sqref="E30"/>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1102"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1107" bestFit="1" customWidth="1"/>
    <col min="16" max="16" width="19.140625" style="371" bestFit="1" customWidth="1"/>
    <col min="17" max="17" width="7.7109375" style="371" bestFit="1" customWidth="1"/>
    <col min="18" max="18" width="19.140625" style="386" bestFit="1" customWidth="1"/>
    <col min="19" max="19" width="7.7109375" style="1104" bestFit="1" customWidth="1"/>
    <col min="20" max="20" width="19.140625" style="371" bestFit="1" customWidth="1"/>
    <col min="21" max="21" width="7.7109375" style="371" bestFit="1" customWidth="1"/>
    <col min="22" max="22" width="19.140625" style="386" bestFit="1" customWidth="1"/>
    <col min="23" max="23" width="7.7109375" style="1105"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1106" bestFit="1" customWidth="1"/>
    <col min="30" max="30" width="5.140625" style="1106" hidden="1" customWidth="1"/>
    <col min="31" max="31" width="15" style="1103" bestFit="1" customWidth="1"/>
    <col min="32" max="32" width="8" style="1107" bestFit="1" customWidth="1"/>
    <col min="33" max="33" width="8.28515625" style="1107" bestFit="1" customWidth="1"/>
    <col min="34" max="34" width="9.140625" style="1368"/>
    <col min="35" max="16384" width="9.140625" style="371"/>
  </cols>
  <sheetData>
    <row r="1" spans="1:34">
      <c r="O1" s="1103"/>
      <c r="R1" s="1433" t="s">
        <v>553</v>
      </c>
      <c r="S1" s="1433"/>
      <c r="T1" s="1433"/>
      <c r="U1" s="1433"/>
      <c r="V1" s="1433"/>
      <c r="W1" s="1433"/>
      <c r="X1" s="1433"/>
      <c r="Y1" s="1433"/>
      <c r="Z1" s="1433"/>
      <c r="AA1" s="1433"/>
      <c r="AB1" s="1433"/>
      <c r="AC1" s="1433"/>
      <c r="AD1" s="1433"/>
      <c r="AE1" s="1433"/>
      <c r="AF1" s="1433"/>
      <c r="AG1" s="1433"/>
    </row>
    <row r="2" spans="1:34">
      <c r="O2" s="1103"/>
    </row>
    <row r="3" spans="1:34">
      <c r="O3" s="1103"/>
      <c r="AF3" s="1103"/>
      <c r="AG3" s="1103"/>
    </row>
    <row r="4" spans="1:34">
      <c r="A4" s="1435" t="s">
        <v>554</v>
      </c>
      <c r="B4" s="1435"/>
      <c r="C4" s="1435"/>
      <c r="D4" s="1435"/>
      <c r="E4" s="1435"/>
      <c r="F4" s="1435"/>
      <c r="G4" s="1435"/>
      <c r="H4" s="1435"/>
      <c r="I4" s="1435"/>
      <c r="J4" s="1435"/>
      <c r="K4" s="1435"/>
      <c r="L4" s="1435"/>
      <c r="M4" s="1435"/>
      <c r="N4" s="1435"/>
      <c r="O4" s="1435"/>
      <c r="P4" s="1435"/>
      <c r="Q4" s="1435"/>
      <c r="R4" s="1435"/>
      <c r="S4" s="1435"/>
      <c r="T4" s="1435"/>
      <c r="U4" s="1435"/>
      <c r="V4" s="1435"/>
      <c r="W4" s="1435"/>
      <c r="X4" s="1435"/>
      <c r="Y4" s="1435"/>
      <c r="Z4" s="1435"/>
      <c r="AA4" s="1435"/>
      <c r="AB4" s="1435"/>
      <c r="AC4" s="1435"/>
      <c r="AD4" s="1435"/>
      <c r="AE4" s="1435"/>
      <c r="AF4" s="1435"/>
      <c r="AG4" s="1435"/>
    </row>
    <row r="5" spans="1:34">
      <c r="A5" s="1444" t="str">
        <f>+STATISTICS!A5</f>
        <v>ХАДГАЛАМЖ, ЗЭЭЛИЙН ХОРШООНЫ НЭР</v>
      </c>
      <c r="B5" s="1444"/>
      <c r="C5" s="1444"/>
      <c r="D5" s="1444"/>
      <c r="E5" s="1444"/>
      <c r="F5" s="1444"/>
      <c r="G5" s="1444"/>
      <c r="H5" s="1444"/>
      <c r="I5" s="1444"/>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row>
    <row r="6" spans="1:34">
      <c r="A6" s="1435" t="s">
        <v>38</v>
      </c>
      <c r="B6" s="1435"/>
      <c r="C6" s="1435"/>
      <c r="D6" s="1435"/>
      <c r="E6" s="1435"/>
      <c r="F6" s="1435"/>
      <c r="G6" s="1435"/>
      <c r="H6" s="1435"/>
      <c r="I6" s="1435"/>
      <c r="J6" s="1435"/>
      <c r="K6" s="1435"/>
      <c r="L6" s="1435"/>
      <c r="M6" s="1435"/>
      <c r="N6" s="1435"/>
      <c r="O6" s="1435"/>
      <c r="P6" s="1435"/>
      <c r="Q6" s="1435"/>
      <c r="R6" s="1435"/>
      <c r="S6" s="1435"/>
      <c r="T6" s="1435"/>
      <c r="U6" s="1435"/>
      <c r="V6" s="1435"/>
      <c r="W6" s="1435"/>
      <c r="X6" s="1435"/>
      <c r="Y6" s="1435"/>
      <c r="Z6" s="1435"/>
      <c r="AA6" s="1435"/>
      <c r="AB6" s="1435"/>
      <c r="AC6" s="1435"/>
      <c r="AD6" s="1435"/>
      <c r="AE6" s="1435"/>
      <c r="AF6" s="1435"/>
      <c r="AG6" s="1435"/>
    </row>
    <row r="7" spans="1:34">
      <c r="O7" s="1103"/>
      <c r="AF7" s="1103"/>
      <c r="AG7" s="1103"/>
    </row>
    <row r="8" spans="1:34" ht="15.75" thickBot="1">
      <c r="O8" s="1103"/>
      <c r="AF8" s="1103"/>
      <c r="AG8" s="1103"/>
    </row>
    <row r="9" spans="1:34">
      <c r="A9" s="1465" t="s">
        <v>555</v>
      </c>
      <c r="B9" s="1466"/>
      <c r="C9" s="1467"/>
      <c r="D9" s="1473" t="s">
        <v>556</v>
      </c>
      <c r="E9" s="1476" t="s">
        <v>557</v>
      </c>
      <c r="F9" s="1466"/>
      <c r="G9" s="1466"/>
      <c r="H9" s="1477"/>
      <c r="I9" s="1476" t="s">
        <v>558</v>
      </c>
      <c r="J9" s="1466"/>
      <c r="K9" s="1466"/>
      <c r="L9" s="1466"/>
      <c r="M9" s="1466"/>
      <c r="N9" s="1467"/>
      <c r="O9" s="1477"/>
      <c r="P9" s="1478" t="s">
        <v>559</v>
      </c>
      <c r="Q9" s="1466"/>
      <c r="R9" s="1466"/>
      <c r="S9" s="1477"/>
      <c r="T9" s="1476" t="s">
        <v>560</v>
      </c>
      <c r="U9" s="1466"/>
      <c r="V9" s="1466"/>
      <c r="W9" s="1477"/>
      <c r="X9" s="1481" t="s">
        <v>561</v>
      </c>
      <c r="Y9" s="1476" t="s">
        <v>562</v>
      </c>
      <c r="Z9" s="1466"/>
      <c r="AA9" s="1466"/>
      <c r="AB9" s="1466"/>
      <c r="AC9" s="1466"/>
      <c r="AD9" s="1466"/>
      <c r="AE9" s="1466"/>
      <c r="AF9" s="1466"/>
      <c r="AG9" s="1484"/>
    </row>
    <row r="10" spans="1:34">
      <c r="A10" s="1468"/>
      <c r="B10" s="1454"/>
      <c r="C10" s="1469"/>
      <c r="D10" s="1474"/>
      <c r="E10" s="1453" t="s">
        <v>563</v>
      </c>
      <c r="F10" s="1454"/>
      <c r="G10" s="1454" t="s">
        <v>564</v>
      </c>
      <c r="H10" s="1460"/>
      <c r="I10" s="1453" t="s">
        <v>563</v>
      </c>
      <c r="J10" s="1454"/>
      <c r="K10" s="1454" t="s">
        <v>564</v>
      </c>
      <c r="L10" s="1454"/>
      <c r="M10" s="1454" t="s">
        <v>565</v>
      </c>
      <c r="N10" s="971"/>
      <c r="O10" s="1508" t="s">
        <v>566</v>
      </c>
      <c r="P10" s="1453" t="s">
        <v>563</v>
      </c>
      <c r="Q10" s="1454"/>
      <c r="R10" s="1454" t="s">
        <v>564</v>
      </c>
      <c r="S10" s="1460"/>
      <c r="T10" s="1453" t="s">
        <v>563</v>
      </c>
      <c r="U10" s="1454"/>
      <c r="V10" s="1454" t="s">
        <v>564</v>
      </c>
      <c r="W10" s="1460"/>
      <c r="X10" s="1482"/>
      <c r="Y10" s="1453" t="s">
        <v>563</v>
      </c>
      <c r="Z10" s="1454"/>
      <c r="AA10" s="1454" t="s">
        <v>564</v>
      </c>
      <c r="AB10" s="1454"/>
      <c r="AC10" s="1461" t="s">
        <v>565</v>
      </c>
      <c r="AD10" s="1098"/>
      <c r="AE10" s="1463" t="s">
        <v>566</v>
      </c>
      <c r="AF10" s="1463" t="s">
        <v>567</v>
      </c>
      <c r="AG10" s="1503" t="s">
        <v>568</v>
      </c>
    </row>
    <row r="11" spans="1:34" ht="53.25" customHeight="1" thickBot="1">
      <c r="A11" s="1470"/>
      <c r="B11" s="1471"/>
      <c r="C11" s="1472"/>
      <c r="D11" s="1475"/>
      <c r="E11" s="365" t="s">
        <v>569</v>
      </c>
      <c r="F11" s="369" t="s">
        <v>570</v>
      </c>
      <c r="G11" s="366" t="s">
        <v>569</v>
      </c>
      <c r="H11" s="1039" t="s">
        <v>570</v>
      </c>
      <c r="I11" s="1040" t="s">
        <v>569</v>
      </c>
      <c r="J11" s="369" t="s">
        <v>570</v>
      </c>
      <c r="K11" s="367" t="s">
        <v>569</v>
      </c>
      <c r="L11" s="369" t="s">
        <v>570</v>
      </c>
      <c r="M11" s="1507"/>
      <c r="N11" s="972"/>
      <c r="O11" s="1509"/>
      <c r="P11" s="368" t="s">
        <v>569</v>
      </c>
      <c r="Q11" s="369" t="s">
        <v>570</v>
      </c>
      <c r="R11" s="366" t="s">
        <v>569</v>
      </c>
      <c r="S11" s="1039" t="s">
        <v>570</v>
      </c>
      <c r="T11" s="1040" t="s">
        <v>569</v>
      </c>
      <c r="U11" s="369" t="s">
        <v>570</v>
      </c>
      <c r="V11" s="366" t="s">
        <v>569</v>
      </c>
      <c r="W11" s="369" t="s">
        <v>570</v>
      </c>
      <c r="X11" s="1483"/>
      <c r="Y11" s="368" t="s">
        <v>569</v>
      </c>
      <c r="Z11" s="369" t="s">
        <v>570</v>
      </c>
      <c r="AA11" s="369" t="s">
        <v>569</v>
      </c>
      <c r="AB11" s="369" t="s">
        <v>570</v>
      </c>
      <c r="AC11" s="1462"/>
      <c r="AD11" s="1099"/>
      <c r="AE11" s="1464"/>
      <c r="AF11" s="1464"/>
      <c r="AG11" s="1504"/>
    </row>
    <row r="12" spans="1:34" ht="15.75" thickBot="1">
      <c r="A12" s="1108"/>
      <c r="B12" s="767"/>
      <c r="C12" s="973" t="s">
        <v>571</v>
      </c>
      <c r="D12" s="1109"/>
      <c r="E12" s="766">
        <v>1</v>
      </c>
      <c r="F12" s="767">
        <v>2</v>
      </c>
      <c r="G12" s="767">
        <v>3</v>
      </c>
      <c r="H12" s="768">
        <v>4</v>
      </c>
      <c r="I12" s="769">
        <v>5</v>
      </c>
      <c r="J12" s="767">
        <v>6</v>
      </c>
      <c r="K12" s="767">
        <v>7</v>
      </c>
      <c r="L12" s="767">
        <v>8</v>
      </c>
      <c r="M12" s="767">
        <v>9</v>
      </c>
      <c r="N12" s="973"/>
      <c r="O12" s="770">
        <v>10</v>
      </c>
      <c r="P12" s="769">
        <v>11</v>
      </c>
      <c r="Q12" s="767">
        <v>12</v>
      </c>
      <c r="R12" s="767">
        <v>13</v>
      </c>
      <c r="S12" s="771">
        <v>14</v>
      </c>
      <c r="T12" s="769">
        <v>15</v>
      </c>
      <c r="U12" s="767">
        <v>16</v>
      </c>
      <c r="V12" s="767">
        <v>17</v>
      </c>
      <c r="W12" s="772">
        <v>18</v>
      </c>
      <c r="X12" s="573">
        <v>19</v>
      </c>
      <c r="Y12" s="1053">
        <v>20</v>
      </c>
      <c r="Z12" s="767">
        <v>21</v>
      </c>
      <c r="AA12" s="767">
        <v>22</v>
      </c>
      <c r="AB12" s="767">
        <v>23</v>
      </c>
      <c r="AC12" s="782">
        <v>24</v>
      </c>
      <c r="AD12" s="782"/>
      <c r="AE12" s="780">
        <v>25</v>
      </c>
      <c r="AF12" s="780">
        <v>26</v>
      </c>
      <c r="AG12" s="781">
        <v>27</v>
      </c>
    </row>
    <row r="13" spans="1:34">
      <c r="A13" s="1110"/>
      <c r="B13" s="1111"/>
      <c r="C13" s="1112" t="s">
        <v>572</v>
      </c>
      <c r="D13" s="1100">
        <v>1</v>
      </c>
      <c r="E13" s="1113">
        <f>ROUND(SUM(E14:E17),2)</f>
        <v>0</v>
      </c>
      <c r="F13" s="1114">
        <f>+SUM(F14:F17)</f>
        <v>0</v>
      </c>
      <c r="G13" s="1115">
        <f>ROUND(SUM(G14:G17),2)</f>
        <v>0</v>
      </c>
      <c r="H13" s="1116">
        <f>+SUM(H14:H17)</f>
        <v>0</v>
      </c>
      <c r="I13" s="1117">
        <f>ROUND(SUM(I14:I17),2)</f>
        <v>0</v>
      </c>
      <c r="J13" s="1114">
        <f t="shared" ref="J13:L13" si="0">+SUM(J14:J17)</f>
        <v>0</v>
      </c>
      <c r="K13" s="1115">
        <f>ROUND(SUM(K14:K17),2)</f>
        <v>0</v>
      </c>
      <c r="L13" s="1114">
        <f t="shared" si="0"/>
        <v>0</v>
      </c>
      <c r="M13" s="1118" t="str">
        <f ca="1">IFERROR(AVERAGE(M14:M17),"")</f>
        <v/>
      </c>
      <c r="N13" s="1119">
        <f>+SUM(N14:N17)</f>
        <v>0</v>
      </c>
      <c r="O13" s="1125" t="str">
        <f>IFERROR(N13/I13,"")</f>
        <v/>
      </c>
      <c r="P13" s="1113">
        <f>ROUND(SUM(P14:P17),2)</f>
        <v>0</v>
      </c>
      <c r="Q13" s="1114">
        <f t="shared" ref="Q13:W13" si="1">+SUM(Q14:Q17)</f>
        <v>0</v>
      </c>
      <c r="R13" s="1115">
        <f>ROUND(SUM(R14:R17),2)</f>
        <v>0</v>
      </c>
      <c r="S13" s="1120">
        <f t="shared" si="1"/>
        <v>0</v>
      </c>
      <c r="T13" s="1117">
        <f>ROUND(SUM(T14:T17),2)</f>
        <v>0</v>
      </c>
      <c r="U13" s="1114">
        <f t="shared" si="1"/>
        <v>0</v>
      </c>
      <c r="V13" s="1115">
        <f>ROUND(SUM(V14:V17),2)</f>
        <v>0</v>
      </c>
      <c r="W13" s="1120">
        <f t="shared" si="1"/>
        <v>0</v>
      </c>
      <c r="X13" s="1505" t="s">
        <v>573</v>
      </c>
      <c r="Y13" s="1121">
        <f>ROUND(SUM(Y14:Y17),2)</f>
        <v>0</v>
      </c>
      <c r="Z13" s="1114">
        <f t="shared" ref="Z13:AB13" si="2">+SUM(Z14:Z17)</f>
        <v>0</v>
      </c>
      <c r="AA13" s="1115">
        <f>ROUND(SUM(AA14:AA17),2)</f>
        <v>0</v>
      </c>
      <c r="AB13" s="1114">
        <f t="shared" si="2"/>
        <v>0</v>
      </c>
      <c r="AC13" s="1122" t="e">
        <f ca="1">AVERAGEIF(AC14:AC17,"&gt;0")</f>
        <v>#DIV/0!</v>
      </c>
      <c r="AD13" s="1123">
        <f>+SUM(AD14:AD17)</f>
        <v>0</v>
      </c>
      <c r="AE13" s="1124" t="e">
        <f>+AD13/Y13</f>
        <v>#DIV/0!</v>
      </c>
      <c r="AF13" s="1125">
        <f>+MAX(AF31:AF149)</f>
        <v>0</v>
      </c>
      <c r="AG13" s="1126">
        <f t="array" ref="AG13">+MIN(IF(AG31:AG149&gt;0,AG31:AG149))</f>
        <v>0</v>
      </c>
      <c r="AH13" s="1369" t="str">
        <f>IF(Y13=Balancesheet!C19,"","Балансын дүнгээс "&amp;Y13-Balancesheet!C19&amp;"-ээр зөрүүтэй байна")</f>
        <v/>
      </c>
    </row>
    <row r="14" spans="1:34">
      <c r="A14" s="1455"/>
      <c r="B14" s="1127">
        <v>1</v>
      </c>
      <c r="C14" s="775" t="s">
        <v>163</v>
      </c>
      <c r="D14" s="1128">
        <v>2</v>
      </c>
      <c r="E14" s="1129">
        <f>+ROUND(SUM(E34,E39,E44,E49,E54,E59,E64,E69,E74,E79,E84,E89,E94,E99,E104,E110,E116,E121,E126,E131,E136,E140),2)</f>
        <v>0</v>
      </c>
      <c r="F14" s="1130">
        <f>+F34+F39+F44+F49+F54++F59+F64+F69+F74+F79+F84+F89+F94+F99+F104+F110+F116+F121+F126+F131+F136+F140</f>
        <v>0</v>
      </c>
      <c r="G14" s="1131">
        <f>ROUND(SUM(G34,G39,G44,G49,G54,G59,G64,G69,G74,G79,G84,G89,G94,G99,G104,G110,G116,G121,G126,G131,G136,G140),2)</f>
        <v>0</v>
      </c>
      <c r="H14" s="1132">
        <f>+H34+H39+H44+H49+H54++H59+H64+H69+H74+H79+H84+H89+H94+H99+H104+H110+H116+H121+H126+H131+H136+H140</f>
        <v>0</v>
      </c>
      <c r="I14" s="1129">
        <f>ROUND(SUM(I34,I39,I44,I49,I54,I59,I64,I69,I74,I79,I84,I89,I94,I99,I104,I110,I116,I121,I126,I131,I136,I140),2)</f>
        <v>0</v>
      </c>
      <c r="J14" s="1130">
        <f>+J34+J39+J44+J49+J54++J59+J64+J69+J74+J79+J84+J89+J94+J99+J104+J110+J116+J121+J126+J131+J136+J140</f>
        <v>0</v>
      </c>
      <c r="K14" s="1131">
        <f>ROUND(SUM(K34,K39,K44,K49,K54,K59,K64,K69,K74,K79,K84,K89,K94,K99,K104,K110,K116,K121,K126,K131,K136,K140),2)</f>
        <v>0</v>
      </c>
      <c r="L14" s="1130">
        <f>+L34+L39+L44+L49+L54++L59+L64+L69+L74+L79+L84+L89+L94+L99+L104+L110+L116+L121+L126+L131+L136+L140</f>
        <v>0</v>
      </c>
      <c r="M14" s="1133" t="str">
        <f ca="1">+IFERROR(SUM(M34,M39,M44,M49,M54,M59,M64,M69,M74,M79,M84,M89,M94,M99,M104,M110,M116,M121,M126,M131,M136,M140)/SUM(COUNTIF(INDIRECT({"M34","M39","M44","M49","M54","M59","M64","M69","M74","M79","M84","M89","M94","M99","M104","M110","M116","M121","M126","M131","M136","M140"}),"&gt;0")),"")</f>
        <v/>
      </c>
      <c r="N14" s="1134">
        <f>+SUM(N34+N39+N44+N49+N54+N59+N64+N69+N74+N79+N84+N89+N94+N99+N104+N110+N116+N121+N126+N131+N136+N140)</f>
        <v>0</v>
      </c>
      <c r="O14" s="1135" t="e">
        <f>+N14/I14</f>
        <v>#DIV/0!</v>
      </c>
      <c r="P14" s="1129">
        <f>ROUND(SUM(P34,P39,P44,P49,P54,P59,P64,P69,P74,P79,P84,P89,P94,P99,P104,P110,P116,P121,P126,P131,P136,P140),2)</f>
        <v>0</v>
      </c>
      <c r="Q14" s="1130">
        <f>+Q34+Q39+Q44+Q49+Q54++Q59+Q64+Q69+Q74+Q79+Q84+Q89+Q94+Q99+Q104+Q110+Q116+Q121+Q126+Q131+Q136+Q140</f>
        <v>0</v>
      </c>
      <c r="R14" s="1131">
        <f>ROUND(SUM(R34,R39,R44,R49,R54,R59,R64,R69,R74,R79,R84,R89,R94,R99,R104,R110,R116,R121,R126,R131,R136,R140),2)</f>
        <v>0</v>
      </c>
      <c r="S14" s="1136">
        <f>+S34+S39+S44+S49+S54++S59+S64+S69+S74+S79+S84+S89+S94+S99+S104+S110+S116+S121+S126+S131+S136+S140</f>
        <v>0</v>
      </c>
      <c r="T14" s="1129">
        <f>ROUND(SUM(T34,T39,T44,T49,T54,T59,T64,T69,T74,T79,T84,T89,T94,T99,T104,T110,T116,T121,T126,T131,T136,T140),2)</f>
        <v>0</v>
      </c>
      <c r="U14" s="1130">
        <f>+U34+U39+U44+U49+U54++U59+U64+U69+U74+U79+U84+U89+U94+U99+U104+U110+U116+U121+U126+U131+U136+U140</f>
        <v>0</v>
      </c>
      <c r="V14" s="1131">
        <f>ROUND(SUM(V34,V39,V44,V49,V54,V59,V64,V69,V74,V79,V84,V89,V94,V99,V104,V110,V116,V121,V126,V131,V136,V140),2)</f>
        <v>0</v>
      </c>
      <c r="W14" s="1136">
        <f>+W34+W39+W44+W49+W54++W59+W64+W69+W74+W79+W84+W89+W94+W99+W104+W110+W116+W121+W126+W131+W136+W140</f>
        <v>0</v>
      </c>
      <c r="X14" s="1506"/>
      <c r="Y14" s="1137">
        <f>ROUND(SUM(E14,I14,-P14,-T14),2)</f>
        <v>0</v>
      </c>
      <c r="Z14" s="1130">
        <f>+F14+J14-U14</f>
        <v>0</v>
      </c>
      <c r="AA14" s="1131">
        <f>ROUND(SUM(G14,K14,-R14,-V14),2)</f>
        <v>0</v>
      </c>
      <c r="AB14" s="1130">
        <f>+H14+L14-W14</f>
        <v>0</v>
      </c>
      <c r="AC14" s="1138" t="str">
        <f ca="1">+IFERROR(SUM(AC34,AC39,AC44,AC49,AC54,AC59,AC64,AC69,AC74,AC79,AC84,AC89,AC94,AC99,AC104,AC110,AC116,AC121,AC126,AC131,AC136,AC140)/SUM(COUNTIF(INDIRECT({"AC34","AC39","AC44","AC49","AC54","AC59","AC64","AC69","AC74","AC79","AC84","AC89","AC94","AC99","AC104","AC110","AC116","AC121","AC126","AC131","AC136","AC140"}),"&gt;0")),"")</f>
        <v/>
      </c>
      <c r="AD14" s="1139">
        <f>+SUM(AD34+AD39+AD44+AD49+AD54+AD59+AD64+AD69+AD74+AD79+AD84+AD89+AD94+AD99+AD104+AD110+AD116+AD121+AD126+AD131+AD136+AD140)</f>
        <v>0</v>
      </c>
      <c r="AE14" s="1140" t="e">
        <f>+AD14/Y14</f>
        <v>#DIV/0!</v>
      </c>
      <c r="AF14" s="1140"/>
      <c r="AG14" s="1141"/>
      <c r="AH14" s="1369" t="str">
        <f>IF(Y14=Balancesheet!C20,"","Балансын дүнгээс "&amp;Y14-Balancesheet!C20&amp;"-ээр зөрүүтэй байна")</f>
        <v/>
      </c>
    </row>
    <row r="15" spans="1:34">
      <c r="A15" s="1455"/>
      <c r="B15" s="1127">
        <v>2</v>
      </c>
      <c r="C15" s="1142" t="s">
        <v>574</v>
      </c>
      <c r="D15" s="1128">
        <v>3</v>
      </c>
      <c r="E15" s="1129">
        <f>ROUND(SUM(E35,E40,E45,E50,E55,E60,E65,E70,E75,E80,E85,E90,E95,E100,E105,E111,E117,E122,E127,E132,E137),2)</f>
        <v>0</v>
      </c>
      <c r="F15" s="1130">
        <f t="shared" ref="F15:F17" si="3">+F35+F40+F45+F50+F55++F60+F65+F70+F75+F80+F85+F90+F95+F100+F105+F111+F117+F122+F127+F132+F137</f>
        <v>0</v>
      </c>
      <c r="G15" s="1131">
        <f>ROUND(SUM(G35,G40,G45,G50,G55,G60,G65,G70,G75,G80,G85,G90,G95,G100,G105,G111,G117,G122,G127,G132,G137),2)</f>
        <v>0</v>
      </c>
      <c r="H15" s="1132">
        <f t="shared" ref="H15" si="4">+H35+H40+H45+H50+H55++H60+H65+H70+H75+H80+H85+H90+H95+H100+H105+H111+H117+H122+H127+H132+H137</f>
        <v>0</v>
      </c>
      <c r="I15" s="1129">
        <f>ROUND(SUM(I35,I40,I45,I50,I55,I60,I65,I70,I75,I80,I85,I90,I95,I100,I105,I111,I117,I122,I127,I132,I137),2)</f>
        <v>0</v>
      </c>
      <c r="J15" s="1130">
        <f t="shared" ref="J15" si="5">+J35+J40+J45+J50+J55++J60+J65+J70+J75+J80+J85+J90+J95+J100+J105+J111+J117+J122+J127+J132+J137</f>
        <v>0</v>
      </c>
      <c r="K15" s="1131">
        <f>ROUND(SUM(K35,K40,K45,K50,K55,K60,K65,K70,K75,K80,K85,K90,K95,K100,K105,K111,K117,K122,K127,K132,K137),2)</f>
        <v>0</v>
      </c>
      <c r="L15" s="1130">
        <f t="shared" ref="L15" si="6">+L35+L40+L45+L50+L55++L60+L65+L70+L75+L80+L85+L90+L95+L100+L105+L111+L117+L122+L127+L132+L137</f>
        <v>0</v>
      </c>
      <c r="M15" s="1133" t="str">
        <f ca="1">+IFERROR(SUM(M35,M40,M45,M50,M55,M60,M65,M70,M75,M80,M85,M90,M95,M100,M105,M111,M117,M122,M127,M132,M137)/SUM(COUNTIF(INDIRECT({"M35","M40","M45","M50","M55","M60","M65","M70","M75","M80","M85","M90","M95","M100","M105","M111","M117","M122","M127","M132","M137"}),"&gt;0")),"")</f>
        <v/>
      </c>
      <c r="N15" s="1134">
        <f>+SUM(N35+N40+N45+N50+N55+N60+N65+N70+N75+N80+N85+N90+N95+N100+N105+N111+N117+N122+N127+N132+N137)</f>
        <v>0</v>
      </c>
      <c r="O15" s="1135" t="e">
        <f>+N15/I15</f>
        <v>#DIV/0!</v>
      </c>
      <c r="P15" s="1129">
        <f>ROUND(SUM(P35,P40,P45,P50,P55,P60,P65,P70,P75,P80,P85,P90,P95,P100,P105,P111,P117,P122,P127,P132,P137),2)</f>
        <v>0</v>
      </c>
      <c r="Q15" s="1130">
        <f t="shared" ref="Q15" si="7">+Q35+Q40+Q45+Q50+Q55++Q60+Q65+Q70+Q75+Q80+Q85+Q90+Q95+Q100+Q105+Q111+Q117+Q122+Q127+Q132+Q137</f>
        <v>0</v>
      </c>
      <c r="R15" s="1131">
        <f>ROUND(SUM(R35,R40,R45,R50,R55,R60,R65,R70,R75,R80,R85,R90,R95,R100,R105,R111,R117,R122,R127,R132,R137),2)</f>
        <v>0</v>
      </c>
      <c r="S15" s="1136">
        <f t="shared" ref="S15:S17" si="8">+S35+S40+S45+S50+S55++S60+S65+S70+S75+S80+S85+S90+S95+S100+S105+S111+S117+S122+S127+S132+S137</f>
        <v>0</v>
      </c>
      <c r="T15" s="1129">
        <f>ROUND(SUM(T35,T40,T45,T50,T55,T60,T65,T70,T75,T80,T85,T90,T95,T100,T105,T111,T117,T122,T127,T132,T137),2)</f>
        <v>0</v>
      </c>
      <c r="U15" s="1130">
        <f t="shared" ref="U15" si="9">+U35+U40+U45+U50+U55++U60+U65+U70+U75+U80+U85+U90+U95+U100+U105+U111+U117+U122+U127+U132+U137</f>
        <v>0</v>
      </c>
      <c r="V15" s="1131">
        <f>ROUND(SUM(V35,V40,V45,V50,V55,V60,V65,V70,V75,V80,V85,V90,V95,V100,V105,V111,V117,V122,V127,V132,V137),2)</f>
        <v>0</v>
      </c>
      <c r="W15" s="1136">
        <f t="shared" ref="W15:W17" si="10">+W35+W40+W45+W50+W55++W60+W65+W70+W75+W80+W85+W90+W95+W100+W105+W111+W117+W122+W127+W132+W137</f>
        <v>0</v>
      </c>
      <c r="X15" s="1506"/>
      <c r="Y15" s="1137">
        <f>ROUND(SUM(E15,I15,-P15,-T15),2)</f>
        <v>0</v>
      </c>
      <c r="Z15" s="1130">
        <f t="shared" ref="Z15:Z79" si="11">+F15+J15-U15</f>
        <v>0</v>
      </c>
      <c r="AA15" s="1131">
        <f>ROUND(SUM(G15,K15,-R15,-V15),2)</f>
        <v>0</v>
      </c>
      <c r="AB15" s="1130">
        <f t="shared" ref="AB15:AB29" si="12">+H15+L15-W15</f>
        <v>0</v>
      </c>
      <c r="AC15" s="1138" t="str">
        <f ca="1">+IFERROR(SUM(AC35,AC40,AC45,AC50,AC55,AC60,AC65,AC70,AC75,AC80,AC85,AC90,AC95,AC100,AC105,AC111,AC117,AC122,AC127,AC132,AC137)/SUM(COUNTIF(INDIRECT({"AC35","AC40","AC45","AC50","AC55","AC60","AC65","AC70","AC75","AC80","AC85","AC90","AC95","AC100","AC105","AC111","AC117","AC122","AC127","AC132","AC137"}),"&gt;0")),"")</f>
        <v/>
      </c>
      <c r="AD15" s="1139">
        <f>+SUM(AD35+AD40+AD45+AD50+AD55+AD60+AD65+AD70+AD75+AD80+AD85+AD90+AD95+AD100+AD105+AD111+AD117+AD122+AD127+AD132+AD137)</f>
        <v>0</v>
      </c>
      <c r="AE15" s="1140" t="e">
        <f>+AD15/Y15</f>
        <v>#DIV/0!</v>
      </c>
      <c r="AF15" s="1140"/>
      <c r="AG15" s="1141"/>
      <c r="AH15" s="1369" t="str">
        <f>IF((Y15+Y16+Y17)=Balancesheet!C21,"","Балансын дүнгээс "&amp;(Y15+Y16+Y17)-Balancesheet!C21&amp;"-ээр зөрүүтэй байна")</f>
        <v/>
      </c>
    </row>
    <row r="16" spans="1:34">
      <c r="A16" s="1455"/>
      <c r="B16" s="1127">
        <v>3</v>
      </c>
      <c r="C16" s="1142" t="s">
        <v>575</v>
      </c>
      <c r="D16" s="1128">
        <v>4</v>
      </c>
      <c r="E16" s="1129">
        <f>ROUND(SUM(E36,E41,E46,E51,E56,E61,E66,E71,E76,E81,E86,E91,E96,E101,E106,E112,E118,E123,E128,E133,E138),2)</f>
        <v>0</v>
      </c>
      <c r="F16" s="1130">
        <f t="shared" si="3"/>
        <v>0</v>
      </c>
      <c r="G16" s="1131">
        <f>ROUND(SUM(G36,G41,G46,G51,G56,G61,G66,G71,G76,G81,G86,G91,G96,G101,G106,G112,G118,G123,G128,G133,G138),2)</f>
        <v>0</v>
      </c>
      <c r="H16" s="1132">
        <f t="shared" ref="H16" si="13">+H36+H41+H46+H51+H56++H61+H66+H71+H76+H81+H86+H91+H96+H101+H106+H112+H118+H123+H128+H133+H138</f>
        <v>0</v>
      </c>
      <c r="I16" s="1129">
        <f>ROUND(SUM(I36,I41,I46,I51,I56,I61,I66,I71,I76,I81,I86,I91,I96,I101,I106,I112,I118,I123,I128,I133,I138),2)</f>
        <v>0</v>
      </c>
      <c r="J16" s="1130">
        <f t="shared" ref="J16" si="14">+J36+J41+J46+J51+J56++J61+J66+J71+J76+J81+J86+J91+J96+J101+J106+J112+J118+J123+J128+J133+J138</f>
        <v>0</v>
      </c>
      <c r="K16" s="1131">
        <f>ROUND(SUM(K36,K41,K46,K51,K56,K61,K66,K71,K76,K81,K86,K91,K96,K101,K106,K112,K118,K123,K128,K133,K138),2)</f>
        <v>0</v>
      </c>
      <c r="L16" s="1130">
        <f t="shared" ref="L16" si="15">+L36+L41+L46+L51+L56++L61+L66+L71+L76+L81+L86+L91+L96+L101+L106+L112+L118+L123+L128+L133+L138</f>
        <v>0</v>
      </c>
      <c r="M16" s="1133" t="str">
        <f ca="1">+IFERROR(SUM(M36,M41,M46,M51,M56,M61,M66,M71,M76,M81,M86,M91,M96,M101,M106,M112,M118,M123,M128,M133,M138)/SUM(COUNTIF(INDIRECT({"M36","M41","M46","M51","M56","M61","M66","M71","M76","M81","M86","M91","M96","M101","M106","M112","M118","M123","M128","M133","M138"}),"&gt;0")),"")</f>
        <v/>
      </c>
      <c r="N16" s="1134">
        <f>+SUM(N36+N41+N46+N51+N56+N61+N66+N71+N76+N81+N86+N91+N96+N101+N106+N112+N118+N123+N128+N133+N138)</f>
        <v>0</v>
      </c>
      <c r="O16" s="1135" t="e">
        <f>+N16/I16</f>
        <v>#DIV/0!</v>
      </c>
      <c r="P16" s="1129">
        <f>+ROUND(SUM(P36,P41,P46,P51,P56,P61,P66,P71,P76,P81,P86,P91,P96,P101,P106,P112,P118,P123,P128,P133,P138),2)</f>
        <v>0</v>
      </c>
      <c r="Q16" s="1130">
        <f t="shared" ref="Q16" si="16">+Q36+Q41+Q46+Q51+Q56++Q61+Q66+Q71+Q76+Q81+Q86+Q91+Q96+Q101+Q106+Q112+Q118+Q123+Q128+Q133+Q138</f>
        <v>0</v>
      </c>
      <c r="R16" s="1131">
        <f>ROUND(SUM(R36,R41,R46,R51,R56,R61,R66,R71,R76,R81,R86,R91,R96,R101,R106,R112,R118,R123,R128,R133,R138),2)</f>
        <v>0</v>
      </c>
      <c r="S16" s="1136">
        <f t="shared" si="8"/>
        <v>0</v>
      </c>
      <c r="T16" s="1129">
        <f>ROUND(SUM(T36,T41,T46,T51,T56,T61,T66,T71,T76,T81,T86,T91,T96,T101,T106,T112,T118,T123,T128,T133,T138),2)</f>
        <v>0</v>
      </c>
      <c r="U16" s="1130">
        <f t="shared" ref="U16" si="17">+U36+U41+U46+U51+U56++U61+U66+U71+U76+U81+U86+U91+U96+U101+U106+U112+U118+U123+U128+U133+U138</f>
        <v>0</v>
      </c>
      <c r="V16" s="1131">
        <f>ROUND(SUM(V36,V41,V46,V51,V56,V61,V66,V71,V76,V81,V86,V91,V96,V101,V106,V112,V118,V123,V128,V133,V138),2)</f>
        <v>0</v>
      </c>
      <c r="W16" s="1136">
        <f t="shared" si="10"/>
        <v>0</v>
      </c>
      <c r="X16" s="1506"/>
      <c r="Y16" s="1137">
        <f>ROUND(SUM(E16,I16,-P16,-T16),2)</f>
        <v>0</v>
      </c>
      <c r="Z16" s="1130">
        <f t="shared" si="11"/>
        <v>0</v>
      </c>
      <c r="AA16" s="1131">
        <f>ROUND(SUM(G16,K16,-R16,-V16),2)</f>
        <v>0</v>
      </c>
      <c r="AB16" s="1130">
        <f t="shared" si="12"/>
        <v>0</v>
      </c>
      <c r="AC16" s="1138" t="str">
        <f ca="1">+IFERROR(SUM(AC36,AC41,AC46,AC51,AC56,AC61,AC66,AC71,AC76,AC81,AC86,AC91,AC96,AC101,AC106,AC112,AC118,AC123,AC128,AC133,AC138)/SUM(COUNTIF(INDIRECT({"AC36","AC41","AC46","AC51","AC56","AC61","AC66","AC71","AC76","AC81","AC86","AC91","AC96","AC101","AC106","AC112","AC118","AC123","AC128","AC133","AC138"}),"&gt;0")),"")</f>
        <v/>
      </c>
      <c r="AD16" s="1139">
        <f>+SUM(AD36+AD41+AD46+AD51+AD56+AD61+AD66+AD71+AD76+AD81+AD86+AD91+AD96+AD101+AD106+AD112+AD118+AD123+AD128+AD133+AD138)</f>
        <v>0</v>
      </c>
      <c r="AE16" s="1140" t="e">
        <f>+AD16/Y16</f>
        <v>#DIV/0!</v>
      </c>
      <c r="AF16" s="1140"/>
      <c r="AG16" s="1141"/>
    </row>
    <row r="17" spans="1:34">
      <c r="A17" s="1455"/>
      <c r="B17" s="1127">
        <v>4</v>
      </c>
      <c r="C17" s="1142" t="s">
        <v>576</v>
      </c>
      <c r="D17" s="1128">
        <v>5</v>
      </c>
      <c r="E17" s="1129">
        <f>ROUND(SUM(E37,E42,E47,E52,E57,E62,E67,E72,E77,E82,E87,E92,E97,E102,E107,E113,E119,E124,E129,E134,E139),2)</f>
        <v>0</v>
      </c>
      <c r="F17" s="1130">
        <f t="shared" si="3"/>
        <v>0</v>
      </c>
      <c r="G17" s="1131">
        <f>ROUND(SUM(G37,G42,G47,G52,G57,G62,G67,G72,G77,G82,G87,G92,G97,G102,G107,G113,G119,G124,G129,G134,G139),2)</f>
        <v>0</v>
      </c>
      <c r="H17" s="1132">
        <f t="shared" ref="H17" si="18">+H37+H42+H47+H52+H57++H62+H67+H72+H77+H82+H87+H92+H97+H102+H107+H113+H119+H124+H129+H134+H139</f>
        <v>0</v>
      </c>
      <c r="I17" s="1129">
        <f>ROUND(SUM(I37,I42,I47,I52,I57,I62,I67,I72,I77,I82,I87,I92,I97,I102,I107,I113,I119,I124,I129,I134,I139),2)</f>
        <v>0</v>
      </c>
      <c r="J17" s="1130">
        <f t="shared" ref="J17" si="19">+J37+J42+J47+J52+J57++J62+J67+J72+J77+J82+J87+J92+J97+J102+J107+J113+J119+J124+J129+J134+J139</f>
        <v>0</v>
      </c>
      <c r="K17" s="1131">
        <f>ROUND(SUM(K37,K42,K47,K52,K57,K62,K67,K72,K77,K82,K87,K92,K97,K102,K107,K113,K119,K124,K129,K134,K139),2)</f>
        <v>0</v>
      </c>
      <c r="L17" s="1130">
        <f t="shared" ref="L17" si="20">+L37+L42+L47+L52+L57++L62+L67+L72+L77+L82+L87+L92+L97+L102+L107+L113+L119+L124+L129+L134+L139</f>
        <v>0</v>
      </c>
      <c r="M17" s="1133" t="str">
        <f ca="1">+IFERROR(SUM(M37,M42,M47,M52,M57,M62,M67,M72,M77,M82,M87,M92,M97,M102,M107,M113,M119,M124,M129,M134,M139)/SUM(COUNTIF(INDIRECT({"M37","M42","M47","M52","M57","M62","M67","M72","M77","M82","M87","M92","M97","M102","M107","M113","M119","M124","M129","M134","M139"}),"&gt;0")),"")</f>
        <v/>
      </c>
      <c r="N17" s="1134">
        <f>+SUM(N37+N42+N47+N52+N57+N62+N67+N72+N77+N82+N87+N92+N97+N102+N107+N113+N119+N124+N129+N134+N139)</f>
        <v>0</v>
      </c>
      <c r="O17" s="1135" t="e">
        <f>+N17/I17</f>
        <v>#DIV/0!</v>
      </c>
      <c r="P17" s="1129">
        <f>ROUND(SUM(P37,P42,P47,P52,P57,P62,P67,P72,P77,P82,P87,P92,P97,P102,P107,P113,P119,P124,P129,P134,P139),2)</f>
        <v>0</v>
      </c>
      <c r="Q17" s="1130">
        <f t="shared" ref="Q17" si="21">+Q37+Q42+Q47+Q52+Q57++Q62+Q67+Q72+Q77+Q82+Q87+Q92+Q97+Q102+Q107+Q113+Q119+Q124+Q129+Q134+Q139</f>
        <v>0</v>
      </c>
      <c r="R17" s="1131">
        <f>ROUND(SUM(R37,R42,R47,R52,R57,R62,R67,R72,R77,R82,R87,R92,R97,R102,R107,R113,R119,R124,R129,R134,R139),2)</f>
        <v>0</v>
      </c>
      <c r="S17" s="1136">
        <f t="shared" si="8"/>
        <v>0</v>
      </c>
      <c r="T17" s="1129">
        <f>ROUND(SUM(T37,T42,T47,T52,T57,T62,T67,T72,T77,T82,T87,T92,T97,T102,T107,T113,T119,T124,T129,T134,T139),2)</f>
        <v>0</v>
      </c>
      <c r="U17" s="1130">
        <f t="shared" ref="U17" si="22">+U37+U42+U47+U52+U57++U62+U67+U72+U77+U82+U87+U92+U97+U102+U107+U113+U119+U124+U129+U134+U139</f>
        <v>0</v>
      </c>
      <c r="V17" s="1131">
        <f>ROUND(SUM(V37,V42,V47,V52,V57,V62,V67,V72,V77,V82,V87,V92,V97,V102,V107,V113,V119,V124,V129,V134,V139),2)</f>
        <v>0</v>
      </c>
      <c r="W17" s="1136">
        <f t="shared" si="10"/>
        <v>0</v>
      </c>
      <c r="X17" s="1506"/>
      <c r="Y17" s="1137">
        <f>ROUND(SUM(E17,I17,-P17,-T17),2)</f>
        <v>0</v>
      </c>
      <c r="Z17" s="1130">
        <f t="shared" si="11"/>
        <v>0</v>
      </c>
      <c r="AA17" s="1131">
        <f>ROUND(SUM(G17,K17,-R17,-V17),2)</f>
        <v>0</v>
      </c>
      <c r="AB17" s="1130">
        <f t="shared" si="12"/>
        <v>0</v>
      </c>
      <c r="AC17" s="1138" t="str">
        <f ca="1">+IFERROR(SUM(AC37,AC42,AC47,AC52,AC57,AC62,AC67,AC72,AC77,AC82,AC87,AC92,AC97,AC102,AC107,AC113,AC119,AC124,AC129,AC134,AC139)/SUM(COUNTIF(INDIRECT({"AC37","AC42","AC47","AC52","AC57","AC62","AC67","AC72","AC77","AC82","AC87","AC92","AC97","AC102","AC107","AC113","AC119","AC124","AC129","AC134","AC139"}),"&gt;0")),"")</f>
        <v/>
      </c>
      <c r="AD17" s="1139">
        <f>+SUM(AD37+AD42+AD47+AD52+AD57+AD62+AD67+AD72+AD77+AD82+AD87+AD92+AD97+AD102+AD107+AD113+AD119+AD124+AD129+AD134+AD139)</f>
        <v>0</v>
      </c>
      <c r="AE17" s="1140" t="e">
        <f>+AD17/Y17</f>
        <v>#DIV/0!</v>
      </c>
      <c r="AF17" s="1140"/>
      <c r="AG17" s="1141"/>
    </row>
    <row r="18" spans="1:34">
      <c r="A18" s="1438" t="s">
        <v>577</v>
      </c>
      <c r="B18" s="1143">
        <v>5</v>
      </c>
      <c r="C18" s="1144" t="s">
        <v>578</v>
      </c>
      <c r="D18" s="1128">
        <v>6</v>
      </c>
      <c r="E18" s="1145"/>
      <c r="F18" s="1146"/>
      <c r="G18" s="1147"/>
      <c r="H18" s="1148"/>
      <c r="I18" s="1145"/>
      <c r="J18" s="1146"/>
      <c r="K18" s="1147"/>
      <c r="L18" s="1146"/>
      <c r="M18" s="1149"/>
      <c r="N18" s="1150">
        <f>+I18*O18</f>
        <v>0</v>
      </c>
      <c r="O18" s="1151"/>
      <c r="P18" s="1152"/>
      <c r="Q18" s="1146"/>
      <c r="R18" s="1147"/>
      <c r="S18" s="1153"/>
      <c r="T18" s="1145"/>
      <c r="U18" s="1146"/>
      <c r="V18" s="1147"/>
      <c r="W18" s="1153"/>
      <c r="X18" s="1506"/>
      <c r="Y18" s="1154">
        <f t="shared" ref="Y18:Y81" si="23">ROUND(SUM(E18,I18,-P18,-T18),2)</f>
        <v>0</v>
      </c>
      <c r="Z18" s="1155">
        <f t="shared" si="11"/>
        <v>0</v>
      </c>
      <c r="AA18" s="1156">
        <f t="shared" ref="AA18:AA29" si="24">ROUND(SUM(G18,K18,-R18,-V18),2)</f>
        <v>0</v>
      </c>
      <c r="AB18" s="1155">
        <f t="shared" si="12"/>
        <v>0</v>
      </c>
      <c r="AC18" s="1157"/>
      <c r="AD18" s="1158"/>
      <c r="AE18" s="1159"/>
      <c r="AF18" s="1159"/>
      <c r="AG18" s="1160"/>
      <c r="AH18" s="1370" t="str">
        <f t="shared" ref="AH18:AH24" si="25">IF(I18&gt;0,IF(AND(O18&gt;0,O18&lt;0.15,AE18&gt;0,AE18&lt;0.15,AF18&gt;0,AF18&lt;0.15,AG18&gt;0,AG18&lt;0.15),"","ЗЖДХ болон дээд хүүг сараар шивнэ үү."),"")</f>
        <v/>
      </c>
    </row>
    <row r="19" spans="1:34" ht="15" customHeight="1">
      <c r="A19" s="1439"/>
      <c r="B19" s="1143">
        <v>6</v>
      </c>
      <c r="C19" s="1144" t="s">
        <v>579</v>
      </c>
      <c r="D19" s="1128">
        <v>7</v>
      </c>
      <c r="E19" s="1145"/>
      <c r="F19" s="1146"/>
      <c r="G19" s="1147"/>
      <c r="H19" s="1148"/>
      <c r="I19" s="1145"/>
      <c r="J19" s="1146"/>
      <c r="K19" s="1147"/>
      <c r="L19" s="1146"/>
      <c r="M19" s="1161"/>
      <c r="N19" s="1150">
        <f>+I19*O19</f>
        <v>0</v>
      </c>
      <c r="O19" s="1162"/>
      <c r="P19" s="1145"/>
      <c r="Q19" s="1146"/>
      <c r="R19" s="1147"/>
      <c r="S19" s="1153"/>
      <c r="T19" s="1145"/>
      <c r="U19" s="1146"/>
      <c r="V19" s="1147"/>
      <c r="W19" s="1153"/>
      <c r="X19" s="1506"/>
      <c r="Y19" s="1154">
        <f t="shared" si="23"/>
        <v>0</v>
      </c>
      <c r="Z19" s="1155">
        <f t="shared" si="11"/>
        <v>0</v>
      </c>
      <c r="AA19" s="1156">
        <f t="shared" si="24"/>
        <v>0</v>
      </c>
      <c r="AB19" s="1155">
        <f t="shared" si="12"/>
        <v>0</v>
      </c>
      <c r="AC19" s="1157"/>
      <c r="AD19" s="1158">
        <f>+Y19*AE19</f>
        <v>0</v>
      </c>
      <c r="AE19" s="1159"/>
      <c r="AF19" s="1159"/>
      <c r="AG19" s="1160"/>
      <c r="AH19" s="1370" t="str">
        <f t="shared" si="25"/>
        <v/>
      </c>
    </row>
    <row r="20" spans="1:34">
      <c r="A20" s="1439"/>
      <c r="B20" s="1143">
        <v>7</v>
      </c>
      <c r="C20" s="1144" t="s">
        <v>580</v>
      </c>
      <c r="D20" s="1128">
        <v>8</v>
      </c>
      <c r="E20" s="1145"/>
      <c r="F20" s="1146"/>
      <c r="G20" s="1147"/>
      <c r="H20" s="1148"/>
      <c r="I20" s="1145"/>
      <c r="J20" s="1146"/>
      <c r="K20" s="1147"/>
      <c r="L20" s="1146"/>
      <c r="M20" s="1161"/>
      <c r="N20" s="1150">
        <f>+I20*O20</f>
        <v>0</v>
      </c>
      <c r="O20" s="1162"/>
      <c r="P20" s="1145"/>
      <c r="Q20" s="1146"/>
      <c r="R20" s="1147"/>
      <c r="S20" s="1153"/>
      <c r="T20" s="1145"/>
      <c r="U20" s="1146"/>
      <c r="V20" s="1147"/>
      <c r="W20" s="1153"/>
      <c r="X20" s="1506"/>
      <c r="Y20" s="1154">
        <f t="shared" si="23"/>
        <v>0</v>
      </c>
      <c r="Z20" s="1155">
        <f t="shared" si="11"/>
        <v>0</v>
      </c>
      <c r="AA20" s="1156">
        <f t="shared" si="24"/>
        <v>0</v>
      </c>
      <c r="AB20" s="1155">
        <f t="shared" si="12"/>
        <v>0</v>
      </c>
      <c r="AC20" s="1157"/>
      <c r="AD20" s="1158">
        <f>+Y20*AE20</f>
        <v>0</v>
      </c>
      <c r="AE20" s="1159"/>
      <c r="AF20" s="1159"/>
      <c r="AG20" s="1160"/>
      <c r="AH20" s="1370" t="str">
        <f t="shared" si="25"/>
        <v/>
      </c>
    </row>
    <row r="21" spans="1:34">
      <c r="A21" s="1439"/>
      <c r="B21" s="1143">
        <v>8</v>
      </c>
      <c r="C21" s="1144" t="s">
        <v>581</v>
      </c>
      <c r="D21" s="1128">
        <v>9</v>
      </c>
      <c r="E21" s="1145"/>
      <c r="F21" s="1146"/>
      <c r="G21" s="1147"/>
      <c r="H21" s="1148"/>
      <c r="I21" s="1145"/>
      <c r="J21" s="1146"/>
      <c r="K21" s="1147"/>
      <c r="L21" s="1146"/>
      <c r="M21" s="1161"/>
      <c r="N21" s="1150">
        <f t="shared" ref="N21:N24" si="26">+I21*O21</f>
        <v>0</v>
      </c>
      <c r="O21" s="1162"/>
      <c r="P21" s="1145"/>
      <c r="Q21" s="1146"/>
      <c r="R21" s="1147"/>
      <c r="S21" s="1153"/>
      <c r="T21" s="1145"/>
      <c r="U21" s="1146"/>
      <c r="V21" s="1147"/>
      <c r="W21" s="1153"/>
      <c r="X21" s="1506"/>
      <c r="Y21" s="1154">
        <f t="shared" si="23"/>
        <v>0</v>
      </c>
      <c r="Z21" s="1155">
        <f t="shared" si="11"/>
        <v>0</v>
      </c>
      <c r="AA21" s="1156">
        <f t="shared" si="24"/>
        <v>0</v>
      </c>
      <c r="AB21" s="1155">
        <f t="shared" si="12"/>
        <v>0</v>
      </c>
      <c r="AC21" s="1157"/>
      <c r="AD21" s="1158">
        <f t="shared" ref="AD21:AD24" si="27">+Y21*AE21</f>
        <v>0</v>
      </c>
      <c r="AE21" s="1159"/>
      <c r="AF21" s="1159"/>
      <c r="AG21" s="1160"/>
      <c r="AH21" s="1370" t="str">
        <f t="shared" si="25"/>
        <v/>
      </c>
    </row>
    <row r="22" spans="1:34">
      <c r="A22" s="1439"/>
      <c r="B22" s="1143">
        <v>9</v>
      </c>
      <c r="C22" s="1144" t="s">
        <v>582</v>
      </c>
      <c r="D22" s="1128">
        <v>10</v>
      </c>
      <c r="E22" s="1145"/>
      <c r="F22" s="1146"/>
      <c r="G22" s="1147"/>
      <c r="H22" s="1148"/>
      <c r="I22" s="1145"/>
      <c r="J22" s="1146"/>
      <c r="K22" s="1147"/>
      <c r="L22" s="1146"/>
      <c r="M22" s="1161"/>
      <c r="N22" s="1150">
        <f t="shared" si="26"/>
        <v>0</v>
      </c>
      <c r="O22" s="1162"/>
      <c r="P22" s="1145"/>
      <c r="Q22" s="1146"/>
      <c r="R22" s="1147"/>
      <c r="S22" s="1153"/>
      <c r="T22" s="1145"/>
      <c r="U22" s="1146"/>
      <c r="V22" s="1147"/>
      <c r="W22" s="1153"/>
      <c r="X22" s="1506"/>
      <c r="Y22" s="1154">
        <f t="shared" si="23"/>
        <v>0</v>
      </c>
      <c r="Z22" s="1155">
        <f t="shared" si="11"/>
        <v>0</v>
      </c>
      <c r="AA22" s="1156">
        <f t="shared" si="24"/>
        <v>0</v>
      </c>
      <c r="AB22" s="1155">
        <f t="shared" si="12"/>
        <v>0</v>
      </c>
      <c r="AC22" s="1157"/>
      <c r="AD22" s="1158">
        <f t="shared" si="27"/>
        <v>0</v>
      </c>
      <c r="AE22" s="1159"/>
      <c r="AF22" s="1159"/>
      <c r="AG22" s="1160"/>
      <c r="AH22" s="1370" t="str">
        <f t="shared" si="25"/>
        <v/>
      </c>
    </row>
    <row r="23" spans="1:34">
      <c r="A23" s="1439"/>
      <c r="B23" s="1143">
        <v>10</v>
      </c>
      <c r="C23" s="1144" t="s">
        <v>583</v>
      </c>
      <c r="D23" s="1128">
        <v>11</v>
      </c>
      <c r="E23" s="1145"/>
      <c r="F23" s="1146"/>
      <c r="G23" s="1147"/>
      <c r="H23" s="1148"/>
      <c r="I23" s="1145"/>
      <c r="J23" s="1146"/>
      <c r="K23" s="1147"/>
      <c r="L23" s="1146"/>
      <c r="M23" s="1161"/>
      <c r="N23" s="1150">
        <f t="shared" si="26"/>
        <v>0</v>
      </c>
      <c r="O23" s="1162"/>
      <c r="P23" s="1145"/>
      <c r="Q23" s="1146"/>
      <c r="R23" s="1147"/>
      <c r="S23" s="1153"/>
      <c r="T23" s="1145"/>
      <c r="U23" s="1146"/>
      <c r="V23" s="1147"/>
      <c r="W23" s="1153"/>
      <c r="X23" s="1506"/>
      <c r="Y23" s="1154">
        <f t="shared" si="23"/>
        <v>0</v>
      </c>
      <c r="Z23" s="1155">
        <f t="shared" si="11"/>
        <v>0</v>
      </c>
      <c r="AA23" s="1156">
        <f t="shared" si="24"/>
        <v>0</v>
      </c>
      <c r="AB23" s="1155">
        <f t="shared" si="12"/>
        <v>0</v>
      </c>
      <c r="AC23" s="1157"/>
      <c r="AD23" s="1158">
        <f t="shared" si="27"/>
        <v>0</v>
      </c>
      <c r="AE23" s="1159"/>
      <c r="AF23" s="1159"/>
      <c r="AG23" s="1160"/>
      <c r="AH23" s="1370" t="str">
        <f t="shared" si="25"/>
        <v/>
      </c>
    </row>
    <row r="24" spans="1:34">
      <c r="A24" s="1440"/>
      <c r="B24" s="1143">
        <v>11</v>
      </c>
      <c r="C24" s="1144" t="s">
        <v>584</v>
      </c>
      <c r="D24" s="1128">
        <v>12</v>
      </c>
      <c r="E24" s="1145"/>
      <c r="F24" s="1146"/>
      <c r="G24" s="1147"/>
      <c r="H24" s="1148"/>
      <c r="I24" s="1145"/>
      <c r="J24" s="1146"/>
      <c r="K24" s="1147"/>
      <c r="L24" s="1146"/>
      <c r="M24" s="1161"/>
      <c r="N24" s="1150">
        <f t="shared" si="26"/>
        <v>0</v>
      </c>
      <c r="O24" s="1162"/>
      <c r="P24" s="1145"/>
      <c r="Q24" s="1146"/>
      <c r="R24" s="1147"/>
      <c r="S24" s="1153"/>
      <c r="T24" s="1145"/>
      <c r="U24" s="1146"/>
      <c r="V24" s="1147"/>
      <c r="W24" s="1153"/>
      <c r="X24" s="1506"/>
      <c r="Y24" s="1154">
        <f t="shared" si="23"/>
        <v>0</v>
      </c>
      <c r="Z24" s="1155">
        <f t="shared" si="11"/>
        <v>0</v>
      </c>
      <c r="AA24" s="1156">
        <f t="shared" si="24"/>
        <v>0</v>
      </c>
      <c r="AB24" s="1155">
        <f t="shared" si="12"/>
        <v>0</v>
      </c>
      <c r="AC24" s="1157"/>
      <c r="AD24" s="1158">
        <f t="shared" si="27"/>
        <v>0</v>
      </c>
      <c r="AE24" s="1159"/>
      <c r="AF24" s="1159"/>
      <c r="AG24" s="1160"/>
      <c r="AH24" s="1370" t="str">
        <f t="shared" si="25"/>
        <v/>
      </c>
    </row>
    <row r="25" spans="1:34" ht="15.75" customHeight="1">
      <c r="A25" s="1456" t="s">
        <v>585</v>
      </c>
      <c r="B25" s="1163">
        <v>12</v>
      </c>
      <c r="C25" s="1164" t="s">
        <v>586</v>
      </c>
      <c r="D25" s="1128">
        <v>13</v>
      </c>
      <c r="E25" s="1165"/>
      <c r="F25" s="1166"/>
      <c r="G25" s="1167"/>
      <c r="H25" s="1168"/>
      <c r="I25" s="1165"/>
      <c r="J25" s="1166"/>
      <c r="K25" s="1167"/>
      <c r="L25" s="1166"/>
      <c r="M25" s="1485" t="s">
        <v>573</v>
      </c>
      <c r="N25" s="1486"/>
      <c r="O25" s="1487"/>
      <c r="P25" s="1165"/>
      <c r="Q25" s="1166"/>
      <c r="R25" s="1167"/>
      <c r="S25" s="1169"/>
      <c r="T25" s="1165"/>
      <c r="U25" s="1166"/>
      <c r="V25" s="1170"/>
      <c r="W25" s="1169"/>
      <c r="X25" s="1506"/>
      <c r="Y25" s="1171">
        <f t="shared" si="23"/>
        <v>0</v>
      </c>
      <c r="Z25" s="1172">
        <f t="shared" si="11"/>
        <v>0</v>
      </c>
      <c r="AA25" s="1173">
        <f t="shared" si="24"/>
        <v>0</v>
      </c>
      <c r="AB25" s="1172">
        <f t="shared" si="12"/>
        <v>0</v>
      </c>
      <c r="AC25" s="1494" t="s">
        <v>587</v>
      </c>
      <c r="AD25" s="1495"/>
      <c r="AE25" s="1495"/>
      <c r="AF25" s="1495"/>
      <c r="AG25" s="1496"/>
      <c r="AH25" s="1369" t="str">
        <f>IF(Y25=Balancesheet!C22,"","Балансын дүнгээс "&amp;Y25-Balancesheet!C22&amp;"-ээр зөрүүтэй байна")</f>
        <v/>
      </c>
    </row>
    <row r="26" spans="1:34" ht="15.75" customHeight="1">
      <c r="A26" s="1456"/>
      <c r="B26" s="1163">
        <v>13</v>
      </c>
      <c r="C26" s="1164" t="s">
        <v>588</v>
      </c>
      <c r="D26" s="1128">
        <v>14</v>
      </c>
      <c r="E26" s="1165"/>
      <c r="F26" s="1166"/>
      <c r="G26" s="1167"/>
      <c r="H26" s="1168"/>
      <c r="I26" s="1165"/>
      <c r="J26" s="1166"/>
      <c r="K26" s="1167"/>
      <c r="L26" s="1166"/>
      <c r="M26" s="1488"/>
      <c r="N26" s="1489"/>
      <c r="O26" s="1490"/>
      <c r="P26" s="1165"/>
      <c r="Q26" s="1166"/>
      <c r="R26" s="1167"/>
      <c r="S26" s="1169"/>
      <c r="T26" s="1165"/>
      <c r="U26" s="1174"/>
      <c r="V26" s="1167"/>
      <c r="W26" s="1175"/>
      <c r="X26" s="1176"/>
      <c r="Y26" s="1171">
        <f t="shared" si="23"/>
        <v>0</v>
      </c>
      <c r="Z26" s="1172">
        <f t="shared" si="11"/>
        <v>0</v>
      </c>
      <c r="AA26" s="1173">
        <f t="shared" si="24"/>
        <v>0</v>
      </c>
      <c r="AB26" s="1172">
        <f t="shared" si="12"/>
        <v>0</v>
      </c>
      <c r="AC26" s="1497"/>
      <c r="AD26" s="1498"/>
      <c r="AE26" s="1498"/>
      <c r="AF26" s="1498"/>
      <c r="AG26" s="1499"/>
      <c r="AH26" s="1369" t="str">
        <f>IF(Y26=Balancesheet!C23,"","Балансын дүнгээс "&amp;Y26-Balancesheet!C23&amp;"-ээр зөрүүтэй байна")</f>
        <v/>
      </c>
    </row>
    <row r="27" spans="1:34" ht="15.75" customHeight="1">
      <c r="A27" s="1456"/>
      <c r="B27" s="1163">
        <v>14</v>
      </c>
      <c r="C27" s="1164" t="s">
        <v>589</v>
      </c>
      <c r="D27" s="1128">
        <v>15</v>
      </c>
      <c r="E27" s="1165"/>
      <c r="F27" s="1166"/>
      <c r="G27" s="1167"/>
      <c r="H27" s="1168"/>
      <c r="I27" s="1165"/>
      <c r="J27" s="1166"/>
      <c r="K27" s="1167"/>
      <c r="L27" s="1166"/>
      <c r="M27" s="1488"/>
      <c r="N27" s="1489"/>
      <c r="O27" s="1490"/>
      <c r="P27" s="1165"/>
      <c r="Q27" s="1166"/>
      <c r="R27" s="1167"/>
      <c r="S27" s="1169"/>
      <c r="T27" s="1165"/>
      <c r="U27" s="1166"/>
      <c r="V27" s="1167"/>
      <c r="W27" s="1169"/>
      <c r="X27" s="1176"/>
      <c r="Y27" s="1171">
        <f t="shared" si="23"/>
        <v>0</v>
      </c>
      <c r="Z27" s="1172">
        <f t="shared" si="11"/>
        <v>0</v>
      </c>
      <c r="AA27" s="1173">
        <f t="shared" si="24"/>
        <v>0</v>
      </c>
      <c r="AB27" s="1172">
        <f t="shared" si="12"/>
        <v>0</v>
      </c>
      <c r="AC27" s="1497"/>
      <c r="AD27" s="1498"/>
      <c r="AE27" s="1498"/>
      <c r="AF27" s="1498"/>
      <c r="AG27" s="1499"/>
      <c r="AH27" s="1369" t="str">
        <f>IF(Y27=Balancesheet!C25,"","Балансын дүнгээс "&amp;Y27-Balancesheet!C25&amp;"-ээр зөрүүтэй байна")</f>
        <v/>
      </c>
    </row>
    <row r="28" spans="1:34" ht="15.75" customHeight="1">
      <c r="A28" s="1456"/>
      <c r="B28" s="1163">
        <v>15</v>
      </c>
      <c r="C28" s="1164" t="s">
        <v>172</v>
      </c>
      <c r="D28" s="1128">
        <v>16</v>
      </c>
      <c r="E28" s="1165"/>
      <c r="F28" s="1166"/>
      <c r="G28" s="1167"/>
      <c r="H28" s="1168"/>
      <c r="I28" s="1165"/>
      <c r="J28" s="1166"/>
      <c r="K28" s="1167"/>
      <c r="L28" s="1166"/>
      <c r="M28" s="1488"/>
      <c r="N28" s="1489"/>
      <c r="O28" s="1490"/>
      <c r="P28" s="1165"/>
      <c r="Q28" s="1166"/>
      <c r="R28" s="1167"/>
      <c r="S28" s="1169"/>
      <c r="T28" s="1165"/>
      <c r="U28" s="1166"/>
      <c r="V28" s="1167"/>
      <c r="W28" s="1169"/>
      <c r="X28" s="1176"/>
      <c r="Y28" s="1171">
        <f t="shared" si="23"/>
        <v>0</v>
      </c>
      <c r="Z28" s="1172">
        <f t="shared" si="11"/>
        <v>0</v>
      </c>
      <c r="AA28" s="1173">
        <f>ROUND(SUM(G28,K28,-R28,-V28),2)</f>
        <v>0</v>
      </c>
      <c r="AB28" s="1172">
        <f>+H28+L28-W28</f>
        <v>0</v>
      </c>
      <c r="AC28" s="1497"/>
      <c r="AD28" s="1498"/>
      <c r="AE28" s="1498"/>
      <c r="AF28" s="1498"/>
      <c r="AG28" s="1499"/>
      <c r="AH28" s="1369" t="str">
        <f>IF(Y28=Balancesheet!C26,"","Балансын дүнгээс "&amp;Y28-Balancesheet!C26&amp;"-ээр зөрүүтэй байна")</f>
        <v/>
      </c>
    </row>
    <row r="29" spans="1:34" ht="15.75" customHeight="1">
      <c r="A29" s="1456"/>
      <c r="B29" s="1163">
        <v>16</v>
      </c>
      <c r="C29" s="1164" t="s">
        <v>590</v>
      </c>
      <c r="D29" s="1128">
        <v>17</v>
      </c>
      <c r="E29" s="1177"/>
      <c r="F29" s="1178"/>
      <c r="G29" s="1179"/>
      <c r="H29" s="1180"/>
      <c r="I29" s="1177"/>
      <c r="J29" s="1178"/>
      <c r="K29" s="1179"/>
      <c r="L29" s="1178"/>
      <c r="M29" s="1491"/>
      <c r="N29" s="1492"/>
      <c r="O29" s="1493"/>
      <c r="P29" s="1177"/>
      <c r="Q29" s="1178"/>
      <c r="R29" s="1179"/>
      <c r="S29" s="1181"/>
      <c r="T29" s="1177"/>
      <c r="U29" s="1178"/>
      <c r="V29" s="1179"/>
      <c r="W29" s="1181"/>
      <c r="X29" s="1182"/>
      <c r="Y29" s="1183">
        <f t="shared" si="23"/>
        <v>0</v>
      </c>
      <c r="Z29" s="1184">
        <f t="shared" si="11"/>
        <v>0</v>
      </c>
      <c r="AA29" s="1185">
        <f t="shared" si="24"/>
        <v>0</v>
      </c>
      <c r="AB29" s="1186">
        <f t="shared" si="12"/>
        <v>0</v>
      </c>
      <c r="AC29" s="1500"/>
      <c r="AD29" s="1501"/>
      <c r="AE29" s="1501"/>
      <c r="AF29" s="1501"/>
      <c r="AG29" s="1502"/>
      <c r="AH29" s="1369" t="str">
        <f>IF(Y29=Balancesheet!C27,"","Балансын дүнгээс "&amp;Y29-Balancesheet!C27&amp;"-ээр зөрүүтэй байна")</f>
        <v/>
      </c>
    </row>
    <row r="30" spans="1:34" ht="15.75" thickBot="1">
      <c r="A30" s="1097"/>
      <c r="B30" s="1187">
        <v>17</v>
      </c>
      <c r="C30" s="1188" t="s">
        <v>591</v>
      </c>
      <c r="D30" s="1128">
        <v>18</v>
      </c>
      <c r="E30" s="1189"/>
      <c r="F30" s="1190"/>
      <c r="G30" s="1479" t="s">
        <v>573</v>
      </c>
      <c r="H30" s="1480"/>
      <c r="I30" s="1191"/>
      <c r="J30" s="1192"/>
      <c r="K30" s="1479" t="s">
        <v>573</v>
      </c>
      <c r="L30" s="1480"/>
      <c r="M30" s="1480"/>
      <c r="N30" s="1480"/>
      <c r="O30" s="1480"/>
      <c r="P30" s="1193"/>
      <c r="Q30" s="1194"/>
      <c r="R30" s="1479" t="s">
        <v>573</v>
      </c>
      <c r="S30" s="1480"/>
      <c r="T30" s="1193"/>
      <c r="U30" s="1194"/>
      <c r="V30" s="1479" t="s">
        <v>573</v>
      </c>
      <c r="W30" s="1480"/>
      <c r="X30" s="1195">
        <f>P30+T30</f>
        <v>0</v>
      </c>
      <c r="Y30" s="1196">
        <f>ROUND(SUM(E30,I30,-P30-T30),2)</f>
        <v>0</v>
      </c>
      <c r="Z30" s="1197">
        <f>F30+J30-Q30-U30</f>
        <v>0</v>
      </c>
      <c r="AA30" s="1457" t="s">
        <v>573</v>
      </c>
      <c r="AB30" s="1458"/>
      <c r="AC30" s="1458"/>
      <c r="AD30" s="1458"/>
      <c r="AE30" s="1458"/>
      <c r="AF30" s="1458"/>
      <c r="AG30" s="1459"/>
      <c r="AH30" s="1369" t="str">
        <f>IF(Y30=Balancesheet!C30,"","Балансын дүнгээс "&amp;Y30-Balancesheet!C30&amp;"-ээр зөрүүтэй байна")</f>
        <v/>
      </c>
    </row>
    <row r="31" spans="1:34" ht="25.5">
      <c r="A31" s="1450" t="s">
        <v>592</v>
      </c>
      <c r="B31" s="1198">
        <v>18</v>
      </c>
      <c r="C31" s="773" t="s">
        <v>593</v>
      </c>
      <c r="D31" s="1128">
        <v>19</v>
      </c>
      <c r="E31" s="1199">
        <f>+SUM(E34:E37)</f>
        <v>0</v>
      </c>
      <c r="F31" s="1200">
        <f t="shared" ref="F31" si="28">+SUM(F34:F37)</f>
        <v>0</v>
      </c>
      <c r="G31" s="1201">
        <f t="shared" ref="G31:K31" si="29">+SUM(G34:G37)</f>
        <v>0</v>
      </c>
      <c r="H31" s="1202">
        <f t="shared" ref="H31" si="30">+SUM(H34:H37)</f>
        <v>0</v>
      </c>
      <c r="I31" s="1199">
        <f t="shared" si="29"/>
        <v>0</v>
      </c>
      <c r="J31" s="1200">
        <f t="shared" ref="J31" si="31">+SUM(J34:J37)</f>
        <v>0</v>
      </c>
      <c r="K31" s="1201">
        <f t="shared" si="29"/>
        <v>0</v>
      </c>
      <c r="L31" s="1200">
        <f t="shared" ref="L31" si="32">+SUM(L34:L37)</f>
        <v>0</v>
      </c>
      <c r="M31" s="1201" t="str">
        <f>IFERROR(AVERAGE(M34:M37),"")</f>
        <v/>
      </c>
      <c r="N31" s="1203">
        <f>+SUM(N34:N37)</f>
        <v>0</v>
      </c>
      <c r="O31" s="1204" t="e">
        <f>(I34*O34+I35*O35+I36*O36+I37*O37)/I31</f>
        <v>#DIV/0!</v>
      </c>
      <c r="P31" s="1199">
        <f t="shared" ref="P31:W31" si="33">+SUM(P34:P37)</f>
        <v>0</v>
      </c>
      <c r="Q31" s="1200">
        <f t="shared" ref="Q31" si="34">+SUM(Q34:Q37)</f>
        <v>0</v>
      </c>
      <c r="R31" s="1201">
        <f t="shared" si="33"/>
        <v>0</v>
      </c>
      <c r="S31" s="1205">
        <f t="shared" ref="S31" si="35">+SUM(S34:S37)</f>
        <v>0</v>
      </c>
      <c r="T31" s="1199">
        <f t="shared" si="33"/>
        <v>0</v>
      </c>
      <c r="U31" s="1200">
        <f t="shared" ref="U31" si="36">+SUM(U34:U37)</f>
        <v>0</v>
      </c>
      <c r="V31" s="1201">
        <f t="shared" si="33"/>
        <v>0</v>
      </c>
      <c r="W31" s="1200">
        <f t="shared" si="33"/>
        <v>0</v>
      </c>
      <c r="X31" s="1447" t="s">
        <v>573</v>
      </c>
      <c r="Y31" s="1199">
        <f t="shared" si="23"/>
        <v>0</v>
      </c>
      <c r="Z31" s="1206">
        <f t="shared" si="11"/>
        <v>0</v>
      </c>
      <c r="AA31" s="1207">
        <f t="shared" ref="AA31:AA94" si="37">ROUND(SUM(G31,K31,-R31,-V31),2)</f>
        <v>0</v>
      </c>
      <c r="AB31" s="1208">
        <f t="shared" ref="AB31:AB94" si="38">+H31+L31-W31</f>
        <v>0</v>
      </c>
      <c r="AC31" s="1209" t="str">
        <f>IFERROR(AVERAGE(AC34:AC37),"")</f>
        <v/>
      </c>
      <c r="AD31" s="1210">
        <f>+SUM(AD34:AD37)</f>
        <v>0</v>
      </c>
      <c r="AE31" s="1204" t="e">
        <f>(Y34*AE34+Y35*AE35+Y36*AE36+Y37*AE37)/Y31</f>
        <v>#DIV/0!</v>
      </c>
      <c r="AF31" s="1211">
        <f>+MAX(AF32:AF37)</f>
        <v>0</v>
      </c>
      <c r="AG31" s="1212">
        <f t="array" ref="AG31">+MIN(IF(AG34:AG37&gt;0,AG34:AG37))</f>
        <v>0</v>
      </c>
      <c r="AH31" s="1370" t="str">
        <f>IF(SUM(Y34:Y37)&gt;0,IF(SUM(Z34:Z37)=0,"Зээлдэгчийн тоог бүрэн шивнэ үү.",""),"")</f>
        <v/>
      </c>
    </row>
    <row r="32" spans="1:34">
      <c r="A32" s="1442"/>
      <c r="B32" s="1213">
        <v>1</v>
      </c>
      <c r="C32" s="774" t="s">
        <v>594</v>
      </c>
      <c r="D32" s="1128">
        <v>20</v>
      </c>
      <c r="E32" s="1214"/>
      <c r="F32" s="1215"/>
      <c r="G32" s="1216"/>
      <c r="H32" s="1217"/>
      <c r="I32" s="1218"/>
      <c r="J32" s="1215"/>
      <c r="K32" s="1216"/>
      <c r="L32" s="1215"/>
      <c r="M32" s="1219"/>
      <c r="N32" s="1220">
        <f t="shared" ref="N32:N95" si="39">+I32*O32</f>
        <v>0</v>
      </c>
      <c r="O32" s="1221"/>
      <c r="P32" s="1222"/>
      <c r="Q32" s="1215"/>
      <c r="R32" s="1216"/>
      <c r="S32" s="1217"/>
      <c r="T32" s="1218"/>
      <c r="U32" s="1215"/>
      <c r="V32" s="1216"/>
      <c r="W32" s="1215"/>
      <c r="X32" s="1448"/>
      <c r="Y32" s="1223">
        <f t="shared" si="23"/>
        <v>0</v>
      </c>
      <c r="Z32" s="1224">
        <f t="shared" si="11"/>
        <v>0</v>
      </c>
      <c r="AA32" s="1225">
        <f t="shared" si="37"/>
        <v>0</v>
      </c>
      <c r="AB32" s="1224">
        <f t="shared" si="38"/>
        <v>0</v>
      </c>
      <c r="AC32" s="1226"/>
      <c r="AD32" s="1227">
        <f t="shared" ref="AD32:AD95" si="40">+Y32*AE32</f>
        <v>0</v>
      </c>
      <c r="AE32" s="1228"/>
      <c r="AF32" s="1228"/>
      <c r="AG32" s="1229"/>
      <c r="AH32" s="1370" t="str">
        <f>IF(I33&gt;0,IF(AND(O33&gt;0,O33&lt;0.15,AE33&gt;0,AE33&lt;0.15,AF33&gt;0,AF33&lt;0.15,AG33&gt;0,AG33&lt;0.15),"","ЗЖДХ болон дээд хүүг сараар шивнэ үү."),"")</f>
        <v/>
      </c>
    </row>
    <row r="33" spans="1:34">
      <c r="A33" s="1442"/>
      <c r="B33" s="1127">
        <v>2</v>
      </c>
      <c r="C33" s="775" t="s">
        <v>595</v>
      </c>
      <c r="D33" s="1128">
        <v>21</v>
      </c>
      <c r="E33" s="1165"/>
      <c r="F33" s="1174"/>
      <c r="G33" s="1167"/>
      <c r="H33" s="1169"/>
      <c r="I33" s="1230"/>
      <c r="J33" s="1174"/>
      <c r="K33" s="1167"/>
      <c r="L33" s="1174"/>
      <c r="M33" s="1231"/>
      <c r="N33" s="1232">
        <f t="shared" si="39"/>
        <v>0</v>
      </c>
      <c r="O33" s="1233"/>
      <c r="P33" s="1234"/>
      <c r="Q33" s="1174"/>
      <c r="R33" s="1167"/>
      <c r="S33" s="1169"/>
      <c r="T33" s="1230"/>
      <c r="U33" s="1174"/>
      <c r="V33" s="1167"/>
      <c r="W33" s="1174"/>
      <c r="X33" s="1448"/>
      <c r="Y33" s="1235">
        <f t="shared" si="23"/>
        <v>0</v>
      </c>
      <c r="Z33" s="1130">
        <f t="shared" si="11"/>
        <v>0</v>
      </c>
      <c r="AA33" s="1131">
        <f t="shared" si="37"/>
        <v>0</v>
      </c>
      <c r="AB33" s="1130">
        <f t="shared" si="38"/>
        <v>0</v>
      </c>
      <c r="AC33" s="1236"/>
      <c r="AD33" s="1237">
        <f t="shared" si="40"/>
        <v>0</v>
      </c>
      <c r="AE33" s="1238"/>
      <c r="AF33" s="1238"/>
      <c r="AG33" s="1239"/>
      <c r="AH33" s="1370" t="str">
        <f>IF(I34&gt;0,IF(AND(O34&gt;0,O34&lt;0.15,AE34&gt;0,AE34&lt;0.15,AF34&gt;0,AF34&lt;0.15,AG34&gt;0,AG34&lt;0.15),"","ЗЖДХ болон дээд хүүг сараар шивнэ үү."),"")</f>
        <v/>
      </c>
    </row>
    <row r="34" spans="1:34">
      <c r="A34" s="1442"/>
      <c r="B34" s="1127">
        <v>3</v>
      </c>
      <c r="C34" s="775" t="s">
        <v>163</v>
      </c>
      <c r="D34" s="1128">
        <v>22</v>
      </c>
      <c r="E34" s="1165"/>
      <c r="F34" s="1174"/>
      <c r="G34" s="1167"/>
      <c r="H34" s="1169"/>
      <c r="I34" s="1230"/>
      <c r="J34" s="1174"/>
      <c r="K34" s="1167"/>
      <c r="L34" s="1174"/>
      <c r="M34" s="1231"/>
      <c r="N34" s="1232">
        <f>+I34*O34</f>
        <v>0</v>
      </c>
      <c r="O34" s="1233"/>
      <c r="P34" s="1234"/>
      <c r="Q34" s="1174"/>
      <c r="R34" s="1167"/>
      <c r="S34" s="1169"/>
      <c r="T34" s="1230"/>
      <c r="U34" s="1174"/>
      <c r="V34" s="1167"/>
      <c r="W34" s="1174"/>
      <c r="X34" s="1448"/>
      <c r="Y34" s="1235">
        <f t="shared" si="23"/>
        <v>0</v>
      </c>
      <c r="Z34" s="1130">
        <f t="shared" si="11"/>
        <v>0</v>
      </c>
      <c r="AA34" s="1131">
        <f t="shared" si="37"/>
        <v>0</v>
      </c>
      <c r="AB34" s="1130">
        <f t="shared" si="38"/>
        <v>0</v>
      </c>
      <c r="AC34" s="1236"/>
      <c r="AD34" s="1237">
        <f t="shared" si="40"/>
        <v>0</v>
      </c>
      <c r="AE34" s="1238"/>
      <c r="AF34" s="1238"/>
      <c r="AG34" s="1239"/>
      <c r="AH34" s="1370" t="str">
        <f>IF(I35&gt;0,IF(AND(O35&gt;0,O35&lt;0.15,AE35&gt;0,AE35&lt;0.15,AF35&gt;0,AF35&lt;0.15,AG35&gt;0,AG35&lt;0.15),"","ЗЖДХ болон дээд хүүг сараар шивнэ үү."),"")</f>
        <v/>
      </c>
    </row>
    <row r="35" spans="1:34">
      <c r="A35" s="1442"/>
      <c r="B35" s="1127">
        <v>4</v>
      </c>
      <c r="C35" s="1142" t="s">
        <v>574</v>
      </c>
      <c r="D35" s="1128">
        <v>23</v>
      </c>
      <c r="E35" s="1165"/>
      <c r="F35" s="1174"/>
      <c r="G35" s="1167"/>
      <c r="H35" s="1169"/>
      <c r="I35" s="1230"/>
      <c r="J35" s="1174"/>
      <c r="K35" s="1167"/>
      <c r="L35" s="1174"/>
      <c r="M35" s="1231"/>
      <c r="N35" s="1232">
        <f>+I35*O35</f>
        <v>0</v>
      </c>
      <c r="O35" s="1233"/>
      <c r="P35" s="1234"/>
      <c r="Q35" s="1174"/>
      <c r="R35" s="1167"/>
      <c r="S35" s="1169"/>
      <c r="T35" s="1230"/>
      <c r="U35" s="1174"/>
      <c r="V35" s="1167"/>
      <c r="W35" s="1174"/>
      <c r="X35" s="1448"/>
      <c r="Y35" s="1235">
        <f t="shared" si="23"/>
        <v>0</v>
      </c>
      <c r="Z35" s="1130">
        <f t="shared" si="11"/>
        <v>0</v>
      </c>
      <c r="AA35" s="1131">
        <f t="shared" si="37"/>
        <v>0</v>
      </c>
      <c r="AB35" s="1130">
        <f t="shared" si="38"/>
        <v>0</v>
      </c>
      <c r="AC35" s="1236"/>
      <c r="AD35" s="1237">
        <f t="shared" si="40"/>
        <v>0</v>
      </c>
      <c r="AE35" s="1238"/>
      <c r="AF35" s="1238"/>
      <c r="AG35" s="1239"/>
      <c r="AH35" s="1370" t="str">
        <f>IF(I36&gt;0,IF(AND(O36&gt;0,O36&lt;0.15,AE36&gt;0,AE36&lt;0.15,AF36&gt;0,AF36&lt;0.15,AG36&gt;0,AG36&lt;0.15),"","ЗЖДХ болон дээд хүүг сараар шивнэ үү."),"")</f>
        <v/>
      </c>
    </row>
    <row r="36" spans="1:34">
      <c r="A36" s="1442"/>
      <c r="B36" s="1127">
        <v>5</v>
      </c>
      <c r="C36" s="1142" t="s">
        <v>575</v>
      </c>
      <c r="D36" s="1128">
        <v>24</v>
      </c>
      <c r="E36" s="1165"/>
      <c r="F36" s="1174"/>
      <c r="G36" s="1167"/>
      <c r="H36" s="1169"/>
      <c r="I36" s="1230"/>
      <c r="J36" s="1174"/>
      <c r="K36" s="1167"/>
      <c r="L36" s="1174"/>
      <c r="M36" s="1231"/>
      <c r="N36" s="1232">
        <f t="shared" si="39"/>
        <v>0</v>
      </c>
      <c r="O36" s="1233"/>
      <c r="P36" s="1234"/>
      <c r="Q36" s="1174"/>
      <c r="R36" s="1167"/>
      <c r="S36" s="1169"/>
      <c r="T36" s="1230"/>
      <c r="U36" s="1174"/>
      <c r="V36" s="1167"/>
      <c r="W36" s="1174"/>
      <c r="X36" s="1448"/>
      <c r="Y36" s="1235">
        <f t="shared" si="23"/>
        <v>0</v>
      </c>
      <c r="Z36" s="1130">
        <f t="shared" si="11"/>
        <v>0</v>
      </c>
      <c r="AA36" s="1131">
        <f t="shared" si="37"/>
        <v>0</v>
      </c>
      <c r="AB36" s="1130">
        <f t="shared" si="38"/>
        <v>0</v>
      </c>
      <c r="AC36" s="1236"/>
      <c r="AD36" s="1237">
        <f t="shared" si="40"/>
        <v>0</v>
      </c>
      <c r="AE36" s="1238"/>
      <c r="AF36" s="1238"/>
      <c r="AG36" s="1239"/>
      <c r="AH36" s="1370" t="str">
        <f>IF(I37&gt;0,IF(AND(O37&gt;0,O37&lt;0.15,AE37&gt;0,AE37&lt;0.15,AF37&gt;0,AF37&lt;0.15,AG37&gt;0,AG37&lt;0.15),"","ЗЖДХ болон дээд хүүг сараар шивнэ үү."),"")</f>
        <v/>
      </c>
    </row>
    <row r="37" spans="1:34">
      <c r="A37" s="1451"/>
      <c r="B37" s="1240">
        <v>6</v>
      </c>
      <c r="C37" s="1241" t="s">
        <v>576</v>
      </c>
      <c r="D37" s="1128">
        <v>25</v>
      </c>
      <c r="E37" s="1242"/>
      <c r="F37" s="1243"/>
      <c r="G37" s="1170"/>
      <c r="H37" s="1244"/>
      <c r="I37" s="1245"/>
      <c r="J37" s="1243"/>
      <c r="K37" s="1170"/>
      <c r="L37" s="1243"/>
      <c r="M37" s="1246"/>
      <c r="N37" s="1247">
        <f t="shared" si="39"/>
        <v>0</v>
      </c>
      <c r="O37" s="1248"/>
      <c r="P37" s="1249"/>
      <c r="Q37" s="1243"/>
      <c r="R37" s="1170"/>
      <c r="S37" s="1244"/>
      <c r="T37" s="1245"/>
      <c r="U37" s="1243"/>
      <c r="V37" s="1170"/>
      <c r="W37" s="1243"/>
      <c r="X37" s="1448"/>
      <c r="Y37" s="1250">
        <f t="shared" si="23"/>
        <v>0</v>
      </c>
      <c r="Z37" s="1251">
        <f t="shared" si="11"/>
        <v>0</v>
      </c>
      <c r="AA37" s="1252">
        <f t="shared" si="37"/>
        <v>0</v>
      </c>
      <c r="AB37" s="1251">
        <f t="shared" si="38"/>
        <v>0</v>
      </c>
      <c r="AC37" s="1253"/>
      <c r="AD37" s="1254">
        <f t="shared" si="40"/>
        <v>0</v>
      </c>
      <c r="AE37" s="1255"/>
      <c r="AF37" s="1255"/>
      <c r="AG37" s="1256"/>
      <c r="AH37" s="1370"/>
    </row>
    <row r="38" spans="1:34">
      <c r="A38" s="1452" t="s">
        <v>596</v>
      </c>
      <c r="B38" s="1257">
        <v>19</v>
      </c>
      <c r="C38" s="777" t="s">
        <v>597</v>
      </c>
      <c r="D38" s="1128">
        <v>26</v>
      </c>
      <c r="E38" s="1258">
        <f>+SUM(E39:E42)</f>
        <v>0</v>
      </c>
      <c r="F38" s="1259">
        <f t="shared" ref="F38" si="41">+SUM(F39:F42)</f>
        <v>0</v>
      </c>
      <c r="G38" s="1260">
        <f t="shared" ref="G38:W38" si="42">+SUM(G39:G42)</f>
        <v>0</v>
      </c>
      <c r="H38" s="1261">
        <f t="shared" ref="H38" si="43">+SUM(H39:H42)</f>
        <v>0</v>
      </c>
      <c r="I38" s="1258">
        <f t="shared" si="42"/>
        <v>0</v>
      </c>
      <c r="J38" s="1259">
        <f t="shared" ref="J38" si="44">+SUM(J39:J42)</f>
        <v>0</v>
      </c>
      <c r="K38" s="1260">
        <f t="shared" si="42"/>
        <v>0</v>
      </c>
      <c r="L38" s="1259">
        <f t="shared" ref="L38" si="45">+SUM(L39:L42)</f>
        <v>0</v>
      </c>
      <c r="M38" s="1262" t="str">
        <f>IFERROR(AVERAGE(M39:M42),"")</f>
        <v/>
      </c>
      <c r="N38" s="1263">
        <f t="shared" ref="N38" si="46">+SUM(N39:N42)</f>
        <v>0</v>
      </c>
      <c r="O38" s="1264" t="e">
        <f>(I39*O39+I40*O40+I41*O41+I42*O42)/I38</f>
        <v>#DIV/0!</v>
      </c>
      <c r="P38" s="1258">
        <f t="shared" si="42"/>
        <v>0</v>
      </c>
      <c r="Q38" s="1259">
        <f t="shared" ref="Q38" si="47">+SUM(Q39:Q42)</f>
        <v>0</v>
      </c>
      <c r="R38" s="1260">
        <f t="shared" si="42"/>
        <v>0</v>
      </c>
      <c r="S38" s="1261">
        <f t="shared" ref="S38" si="48">+SUM(S39:S42)</f>
        <v>0</v>
      </c>
      <c r="T38" s="1258">
        <f t="shared" si="42"/>
        <v>0</v>
      </c>
      <c r="U38" s="1259">
        <f t="shared" ref="U38" si="49">+SUM(U39:U42)</f>
        <v>0</v>
      </c>
      <c r="V38" s="1260">
        <f t="shared" si="42"/>
        <v>0</v>
      </c>
      <c r="W38" s="1259">
        <f t="shared" si="42"/>
        <v>0</v>
      </c>
      <c r="X38" s="1448"/>
      <c r="Y38" s="1258">
        <f t="shared" si="23"/>
        <v>0</v>
      </c>
      <c r="Z38" s="1265">
        <f t="shared" si="11"/>
        <v>0</v>
      </c>
      <c r="AA38" s="1260">
        <f t="shared" si="37"/>
        <v>0</v>
      </c>
      <c r="AB38" s="1265">
        <f t="shared" si="38"/>
        <v>0</v>
      </c>
      <c r="AC38" s="1209" t="str">
        <f>IFERROR(AVERAGE(AC39:AC42),"")</f>
        <v/>
      </c>
      <c r="AD38" s="1266">
        <f t="shared" ref="AD38" si="50">+SUM(AD39:AD42)</f>
        <v>0</v>
      </c>
      <c r="AE38" s="1267" t="e">
        <f>(Y39*AE39+Y40*AE40+Y41*AE41+Y42*AE42)/Y38</f>
        <v>#DIV/0!</v>
      </c>
      <c r="AF38" s="1268">
        <f>+MAX(AF39:AF42)</f>
        <v>0</v>
      </c>
      <c r="AG38" s="1269">
        <f t="array" ref="AG38">+MIN(IF(AG39:AG42&gt;0,AG39:AG42))</f>
        <v>0</v>
      </c>
      <c r="AH38" s="1370" t="str">
        <f>IF(SUM(Y39:Y42)&gt;0,IF(SUM(Z39:Z42)=0,"Зээлдэгчийн тоог бүрэн шивнэ үү.",""),"")</f>
        <v/>
      </c>
    </row>
    <row r="39" spans="1:34">
      <c r="A39" s="1442"/>
      <c r="B39" s="1270">
        <v>1</v>
      </c>
      <c r="C39" s="774" t="s">
        <v>163</v>
      </c>
      <c r="D39" s="1128">
        <v>27</v>
      </c>
      <c r="E39" s="1214"/>
      <c r="F39" s="1215"/>
      <c r="G39" s="1216"/>
      <c r="H39" s="1217"/>
      <c r="I39" s="1271"/>
      <c r="J39" s="1215"/>
      <c r="K39" s="1216"/>
      <c r="L39" s="1215"/>
      <c r="M39" s="1272"/>
      <c r="N39" s="1273">
        <f t="shared" si="39"/>
        <v>0</v>
      </c>
      <c r="O39" s="1274"/>
      <c r="P39" s="1275"/>
      <c r="Q39" s="1215"/>
      <c r="R39" s="1216"/>
      <c r="S39" s="1217"/>
      <c r="T39" s="1271"/>
      <c r="U39" s="1215"/>
      <c r="V39" s="1216"/>
      <c r="W39" s="1215"/>
      <c r="X39" s="1448"/>
      <c r="Y39" s="1276">
        <f t="shared" si="23"/>
        <v>0</v>
      </c>
      <c r="Z39" s="1277">
        <f t="shared" si="11"/>
        <v>0</v>
      </c>
      <c r="AA39" s="1278">
        <f t="shared" si="37"/>
        <v>0</v>
      </c>
      <c r="AB39" s="1277">
        <f t="shared" si="38"/>
        <v>0</v>
      </c>
      <c r="AC39" s="1279"/>
      <c r="AD39" s="1280">
        <f t="shared" si="40"/>
        <v>0</v>
      </c>
      <c r="AE39" s="1281"/>
      <c r="AF39" s="1281"/>
      <c r="AG39" s="1282"/>
      <c r="AH39" s="1370" t="str">
        <f>IF(I39&gt;0,IF(AND(O39&gt;0,O39&lt;0.15,AE39&gt;0,AE39&lt;0.15,AF39&gt;0,AF39&lt;0.15,AG39&gt;0,AG39&lt;0.15),"","ЗЖДХ болон дээд хүүг сараар шивнэ үү."),"")</f>
        <v/>
      </c>
    </row>
    <row r="40" spans="1:34">
      <c r="A40" s="1442"/>
      <c r="B40" s="1163">
        <v>2</v>
      </c>
      <c r="C40" s="1142" t="s">
        <v>574</v>
      </c>
      <c r="D40" s="1128">
        <v>28</v>
      </c>
      <c r="E40" s="1165"/>
      <c r="F40" s="1174"/>
      <c r="G40" s="1167"/>
      <c r="H40" s="1169"/>
      <c r="I40" s="1283"/>
      <c r="J40" s="1174"/>
      <c r="K40" s="1167"/>
      <c r="L40" s="1174"/>
      <c r="M40" s="1284"/>
      <c r="N40" s="1285">
        <f t="shared" si="39"/>
        <v>0</v>
      </c>
      <c r="O40" s="1286"/>
      <c r="P40" s="1287"/>
      <c r="Q40" s="1174"/>
      <c r="R40" s="1167"/>
      <c r="S40" s="1169"/>
      <c r="T40" s="1283"/>
      <c r="U40" s="1174"/>
      <c r="V40" s="1167"/>
      <c r="W40" s="1174"/>
      <c r="X40" s="1448"/>
      <c r="Y40" s="1288">
        <f t="shared" si="23"/>
        <v>0</v>
      </c>
      <c r="Z40" s="1172">
        <f t="shared" si="11"/>
        <v>0</v>
      </c>
      <c r="AA40" s="1173">
        <f t="shared" si="37"/>
        <v>0</v>
      </c>
      <c r="AB40" s="1172">
        <f t="shared" si="38"/>
        <v>0</v>
      </c>
      <c r="AC40" s="1289"/>
      <c r="AD40" s="1290">
        <f t="shared" si="40"/>
        <v>0</v>
      </c>
      <c r="AE40" s="1291"/>
      <c r="AF40" s="1291"/>
      <c r="AG40" s="1292"/>
      <c r="AH40" s="1370" t="str">
        <f>IF(I40&gt;0,IF(AND(O40&gt;0,O40&lt;0.15,AE40&gt;0,AE40&lt;0.15,AF40&gt;0,AF40&lt;0.15,AG40&gt;0,AG40&lt;0.15),"","ЗЖДХ болон дээд хүүг сараар шивнэ үү."),"")</f>
        <v/>
      </c>
    </row>
    <row r="41" spans="1:34">
      <c r="A41" s="1442"/>
      <c r="B41" s="1163">
        <v>3</v>
      </c>
      <c r="C41" s="1142" t="s">
        <v>575</v>
      </c>
      <c r="D41" s="1128">
        <v>29</v>
      </c>
      <c r="E41" s="1165"/>
      <c r="F41" s="1174"/>
      <c r="G41" s="1167"/>
      <c r="H41" s="1169"/>
      <c r="I41" s="1283"/>
      <c r="J41" s="1174"/>
      <c r="K41" s="1167"/>
      <c r="L41" s="1174"/>
      <c r="M41" s="1284"/>
      <c r="N41" s="1285">
        <f t="shared" si="39"/>
        <v>0</v>
      </c>
      <c r="O41" s="1286"/>
      <c r="P41" s="1287"/>
      <c r="Q41" s="1174"/>
      <c r="R41" s="1167"/>
      <c r="S41" s="1169"/>
      <c r="T41" s="1283"/>
      <c r="U41" s="1174"/>
      <c r="V41" s="1167"/>
      <c r="W41" s="1174"/>
      <c r="X41" s="1448"/>
      <c r="Y41" s="1288">
        <f t="shared" si="23"/>
        <v>0</v>
      </c>
      <c r="Z41" s="1172">
        <f t="shared" si="11"/>
        <v>0</v>
      </c>
      <c r="AA41" s="1173">
        <f t="shared" si="37"/>
        <v>0</v>
      </c>
      <c r="AB41" s="1172">
        <f t="shared" si="38"/>
        <v>0</v>
      </c>
      <c r="AC41" s="1289"/>
      <c r="AD41" s="1290">
        <f t="shared" si="40"/>
        <v>0</v>
      </c>
      <c r="AE41" s="1291"/>
      <c r="AF41" s="1291"/>
      <c r="AG41" s="1292"/>
      <c r="AH41" s="1370" t="str">
        <f>IF(I41&gt;0,IF(AND(O41&gt;0,O41&lt;0.15,AE41&gt;0,AE41&lt;0.15,AF41&gt;0,AF41&lt;0.15,AG41&gt;0,AG41&lt;0.15),"","ЗЖДХ болон дээд хүүг сараар шивнэ үү."),"")</f>
        <v/>
      </c>
    </row>
    <row r="42" spans="1:34">
      <c r="A42" s="1442"/>
      <c r="B42" s="1293">
        <v>4</v>
      </c>
      <c r="C42" s="1241" t="s">
        <v>576</v>
      </c>
      <c r="D42" s="1128">
        <v>30</v>
      </c>
      <c r="E42" s="1242"/>
      <c r="F42" s="1243"/>
      <c r="G42" s="1170"/>
      <c r="H42" s="1244"/>
      <c r="I42" s="1294"/>
      <c r="J42" s="1243"/>
      <c r="K42" s="1170"/>
      <c r="L42" s="1243"/>
      <c r="M42" s="1295"/>
      <c r="N42" s="1296">
        <f t="shared" si="39"/>
        <v>0</v>
      </c>
      <c r="O42" s="1297"/>
      <c r="P42" s="1298"/>
      <c r="Q42" s="1243"/>
      <c r="R42" s="1170"/>
      <c r="S42" s="1244"/>
      <c r="T42" s="1294"/>
      <c r="U42" s="1243"/>
      <c r="V42" s="1170"/>
      <c r="W42" s="1243"/>
      <c r="X42" s="1448"/>
      <c r="Y42" s="1299">
        <f t="shared" si="23"/>
        <v>0</v>
      </c>
      <c r="Z42" s="1186">
        <f t="shared" si="11"/>
        <v>0</v>
      </c>
      <c r="AA42" s="1185">
        <f t="shared" si="37"/>
        <v>0</v>
      </c>
      <c r="AB42" s="1186">
        <f t="shared" si="38"/>
        <v>0</v>
      </c>
      <c r="AC42" s="1300"/>
      <c r="AD42" s="1301">
        <f t="shared" si="40"/>
        <v>0</v>
      </c>
      <c r="AE42" s="1302"/>
      <c r="AF42" s="1302"/>
      <c r="AG42" s="1303"/>
      <c r="AH42" s="1370" t="str">
        <f>IF(I42&gt;0,IF(AND(O42&gt;0,O42&lt;0.15,AE42&gt;0,AE42&lt;0.15,AF42&gt;0,AF42&lt;0.15,AG42&gt;0,AG42&lt;0.15),"","ЗЖДХ болон дээд хүүг сараар шивнэ үү."),"")</f>
        <v/>
      </c>
    </row>
    <row r="43" spans="1:34">
      <c r="A43" s="1442" t="s">
        <v>598</v>
      </c>
      <c r="B43" s="1304">
        <v>20</v>
      </c>
      <c r="C43" s="1305" t="s">
        <v>599</v>
      </c>
      <c r="D43" s="1128">
        <v>31</v>
      </c>
      <c r="E43" s="1258">
        <f t="shared" ref="E43:W43" si="51">+SUM(E44:E47)</f>
        <v>0</v>
      </c>
      <c r="F43" s="1259">
        <f t="shared" ref="F43" si="52">+SUM(F44:F47)</f>
        <v>0</v>
      </c>
      <c r="G43" s="1260">
        <f t="shared" si="51"/>
        <v>0</v>
      </c>
      <c r="H43" s="1261">
        <f t="shared" ref="H43" si="53">+SUM(H44:H47)</f>
        <v>0</v>
      </c>
      <c r="I43" s="1258">
        <f t="shared" si="51"/>
        <v>0</v>
      </c>
      <c r="J43" s="1259">
        <f t="shared" ref="J43" si="54">+SUM(J44:J47)</f>
        <v>0</v>
      </c>
      <c r="K43" s="1260">
        <f t="shared" si="51"/>
        <v>0</v>
      </c>
      <c r="L43" s="1259">
        <f t="shared" ref="L43" si="55">+SUM(L44:L47)</f>
        <v>0</v>
      </c>
      <c r="M43" s="1260" t="str">
        <f>IFERROR(AVERAGE(M44:M47),"")</f>
        <v/>
      </c>
      <c r="N43" s="1262">
        <f t="shared" ref="N43" si="56">+SUM(N44:N47)</f>
        <v>0</v>
      </c>
      <c r="O43" s="1306" t="e">
        <f>(I44*O44+I45*O45+I46*O46+I47*O47)/I43</f>
        <v>#DIV/0!</v>
      </c>
      <c r="P43" s="1258">
        <f t="shared" si="51"/>
        <v>0</v>
      </c>
      <c r="Q43" s="1259">
        <f t="shared" ref="Q43" si="57">+SUM(Q44:Q47)</f>
        <v>0</v>
      </c>
      <c r="R43" s="1260">
        <f t="shared" si="51"/>
        <v>0</v>
      </c>
      <c r="S43" s="1261">
        <f t="shared" ref="S43" si="58">+SUM(S44:S47)</f>
        <v>0</v>
      </c>
      <c r="T43" s="1258">
        <f t="shared" si="51"/>
        <v>0</v>
      </c>
      <c r="U43" s="1259">
        <f t="shared" ref="U43" si="59">+SUM(U44:U47)</f>
        <v>0</v>
      </c>
      <c r="V43" s="1260">
        <f t="shared" si="51"/>
        <v>0</v>
      </c>
      <c r="W43" s="1259">
        <f t="shared" si="51"/>
        <v>0</v>
      </c>
      <c r="X43" s="1448"/>
      <c r="Y43" s="1258">
        <f t="shared" si="23"/>
        <v>0</v>
      </c>
      <c r="Z43" s="1265">
        <f t="shared" si="11"/>
        <v>0</v>
      </c>
      <c r="AA43" s="1260">
        <f t="shared" si="37"/>
        <v>0</v>
      </c>
      <c r="AB43" s="1265">
        <f t="shared" si="38"/>
        <v>0</v>
      </c>
      <c r="AC43" s="1209" t="str">
        <f>IFERROR(AVERAGE(AC44:AC47),"")</f>
        <v/>
      </c>
      <c r="AD43" s="1266">
        <f t="shared" ref="AD43" si="60">+SUM(AD44:AD47)</f>
        <v>0</v>
      </c>
      <c r="AE43" s="1267" t="e">
        <f>(Y44*AE44+Y45*AE45+Y46*AE46+Y47*AE47)/Y43</f>
        <v>#DIV/0!</v>
      </c>
      <c r="AF43" s="1268">
        <f>+MAX(AF44:AF47)</f>
        <v>0</v>
      </c>
      <c r="AG43" s="1269">
        <f t="array" ref="AG43">+MIN(IF(AG44:AG47&gt;0,AG44:AG47))</f>
        <v>0</v>
      </c>
      <c r="AH43" s="1370" t="str">
        <f>IF(SUM(Y44:Y47)&gt;0,IF(SUM(Z44:Z47)=0,"Зээлдэгчийн тоог бүрэн шивнэ үү.",""),"")</f>
        <v/>
      </c>
    </row>
    <row r="44" spans="1:34">
      <c r="A44" s="1442"/>
      <c r="B44" s="1270">
        <v>1</v>
      </c>
      <c r="C44" s="774" t="s">
        <v>163</v>
      </c>
      <c r="D44" s="1128">
        <v>32</v>
      </c>
      <c r="E44" s="1214"/>
      <c r="F44" s="1215"/>
      <c r="G44" s="1216"/>
      <c r="H44" s="1217"/>
      <c r="I44" s="1271"/>
      <c r="J44" s="1215"/>
      <c r="K44" s="1216"/>
      <c r="L44" s="1215"/>
      <c r="M44" s="1272"/>
      <c r="N44" s="1273">
        <f t="shared" si="39"/>
        <v>0</v>
      </c>
      <c r="O44" s="1274"/>
      <c r="P44" s="1275"/>
      <c r="Q44" s="1215"/>
      <c r="R44" s="1216"/>
      <c r="S44" s="1217"/>
      <c r="T44" s="1271"/>
      <c r="U44" s="1215"/>
      <c r="V44" s="1216"/>
      <c r="W44" s="1215"/>
      <c r="X44" s="1448"/>
      <c r="Y44" s="1276">
        <f t="shared" si="23"/>
        <v>0</v>
      </c>
      <c r="Z44" s="1277">
        <f t="shared" si="11"/>
        <v>0</v>
      </c>
      <c r="AA44" s="1278">
        <f t="shared" si="37"/>
        <v>0</v>
      </c>
      <c r="AB44" s="1277">
        <f t="shared" si="38"/>
        <v>0</v>
      </c>
      <c r="AC44" s="1279"/>
      <c r="AD44" s="1280">
        <f t="shared" si="40"/>
        <v>0</v>
      </c>
      <c r="AE44" s="1281"/>
      <c r="AF44" s="1281"/>
      <c r="AG44" s="1282"/>
      <c r="AH44" s="1370" t="str">
        <f>IF(I44&gt;0,IF(AND(O44&gt;0,O44&lt;0.15,AE44&gt;0,AE44&lt;0.15,AF44&gt;0,AF44&lt;0.15,AG44&gt;0,AG44&lt;0.15),"","ЗЖДХ болон дээд хүүг сараар шивнэ үү."),"")</f>
        <v/>
      </c>
    </row>
    <row r="45" spans="1:34">
      <c r="A45" s="1442"/>
      <c r="B45" s="1163">
        <v>2</v>
      </c>
      <c r="C45" s="1142" t="s">
        <v>574</v>
      </c>
      <c r="D45" s="1128">
        <v>33</v>
      </c>
      <c r="E45" s="1165"/>
      <c r="F45" s="1174"/>
      <c r="G45" s="1167"/>
      <c r="H45" s="1169"/>
      <c r="I45" s="1283"/>
      <c r="J45" s="1174"/>
      <c r="K45" s="1167"/>
      <c r="L45" s="1174"/>
      <c r="M45" s="1284"/>
      <c r="N45" s="1285">
        <f t="shared" si="39"/>
        <v>0</v>
      </c>
      <c r="O45" s="1286"/>
      <c r="P45" s="1287"/>
      <c r="Q45" s="1174"/>
      <c r="R45" s="1167"/>
      <c r="S45" s="1169"/>
      <c r="T45" s="1283"/>
      <c r="U45" s="1174"/>
      <c r="V45" s="1167"/>
      <c r="W45" s="1174"/>
      <c r="X45" s="1448"/>
      <c r="Y45" s="1288">
        <f t="shared" si="23"/>
        <v>0</v>
      </c>
      <c r="Z45" s="1172">
        <f t="shared" si="11"/>
        <v>0</v>
      </c>
      <c r="AA45" s="1173">
        <f t="shared" si="37"/>
        <v>0</v>
      </c>
      <c r="AB45" s="1172">
        <f t="shared" si="38"/>
        <v>0</v>
      </c>
      <c r="AC45" s="1289"/>
      <c r="AD45" s="1290">
        <f t="shared" si="40"/>
        <v>0</v>
      </c>
      <c r="AE45" s="1291"/>
      <c r="AF45" s="1291"/>
      <c r="AG45" s="1292"/>
      <c r="AH45" s="1370" t="str">
        <f>IF(I45&gt;0,IF(AND(O45&gt;0,O45&lt;0.15,AE45&gt;0,AE45&lt;0.15,AF45&gt;0,AF45&lt;0.15,AG45&gt;0,AG45&lt;0.15),"","ЗЖДХ болон дээд хүүг сараар шивнэ үү."),"")</f>
        <v/>
      </c>
    </row>
    <row r="46" spans="1:34">
      <c r="A46" s="1442"/>
      <c r="B46" s="1163">
        <v>3</v>
      </c>
      <c r="C46" s="1142" t="s">
        <v>575</v>
      </c>
      <c r="D46" s="1128">
        <v>34</v>
      </c>
      <c r="E46" s="1165"/>
      <c r="F46" s="1174"/>
      <c r="G46" s="1167"/>
      <c r="H46" s="1169"/>
      <c r="I46" s="1283"/>
      <c r="J46" s="1174"/>
      <c r="K46" s="1167"/>
      <c r="L46" s="1174"/>
      <c r="M46" s="1284"/>
      <c r="N46" s="1285">
        <f t="shared" si="39"/>
        <v>0</v>
      </c>
      <c r="O46" s="1286"/>
      <c r="P46" s="1287"/>
      <c r="Q46" s="1174"/>
      <c r="R46" s="1167"/>
      <c r="S46" s="1169"/>
      <c r="T46" s="1283"/>
      <c r="U46" s="1174"/>
      <c r="V46" s="1167"/>
      <c r="W46" s="1174"/>
      <c r="X46" s="1448"/>
      <c r="Y46" s="1288">
        <f t="shared" si="23"/>
        <v>0</v>
      </c>
      <c r="Z46" s="1172">
        <f t="shared" si="11"/>
        <v>0</v>
      </c>
      <c r="AA46" s="1173">
        <f t="shared" si="37"/>
        <v>0</v>
      </c>
      <c r="AB46" s="1172">
        <f t="shared" si="38"/>
        <v>0</v>
      </c>
      <c r="AC46" s="1289"/>
      <c r="AD46" s="1290">
        <f t="shared" si="40"/>
        <v>0</v>
      </c>
      <c r="AE46" s="1291"/>
      <c r="AF46" s="1291"/>
      <c r="AG46" s="1292"/>
      <c r="AH46" s="1370" t="str">
        <f>IF(I46&gt;0,IF(AND(O46&gt;0,O46&lt;0.15,AE46&gt;0,AE46&lt;0.15,AF46&gt;0,AF46&lt;0.15,AG46&gt;0,AG46&lt;0.15),"","ЗЖДХ болон дээд хүүг сараар шивнэ үү."),"")</f>
        <v/>
      </c>
    </row>
    <row r="47" spans="1:34">
      <c r="A47" s="1442"/>
      <c r="B47" s="1307">
        <v>4</v>
      </c>
      <c r="C47" s="1241" t="s">
        <v>576</v>
      </c>
      <c r="D47" s="1128">
        <v>35</v>
      </c>
      <c r="E47" s="1242"/>
      <c r="F47" s="1243"/>
      <c r="G47" s="1170"/>
      <c r="H47" s="1244"/>
      <c r="I47" s="1294"/>
      <c r="J47" s="1243"/>
      <c r="K47" s="1170"/>
      <c r="L47" s="1243"/>
      <c r="M47" s="1295"/>
      <c r="N47" s="1296">
        <f t="shared" si="39"/>
        <v>0</v>
      </c>
      <c r="O47" s="1297"/>
      <c r="P47" s="1298"/>
      <c r="Q47" s="1243"/>
      <c r="R47" s="1170"/>
      <c r="S47" s="1244"/>
      <c r="T47" s="1294"/>
      <c r="U47" s="1243"/>
      <c r="V47" s="1170"/>
      <c r="W47" s="1243"/>
      <c r="X47" s="1448"/>
      <c r="Y47" s="1299">
        <f t="shared" si="23"/>
        <v>0</v>
      </c>
      <c r="Z47" s="1186">
        <f t="shared" si="11"/>
        <v>0</v>
      </c>
      <c r="AA47" s="1185">
        <f t="shared" si="37"/>
        <v>0</v>
      </c>
      <c r="AB47" s="1186">
        <f t="shared" si="38"/>
        <v>0</v>
      </c>
      <c r="AC47" s="1300"/>
      <c r="AD47" s="1301">
        <f t="shared" si="40"/>
        <v>0</v>
      </c>
      <c r="AE47" s="1302"/>
      <c r="AF47" s="1302"/>
      <c r="AG47" s="1303"/>
      <c r="AH47" s="1370" t="str">
        <f>IF(I47&gt;0,IF(AND(O47&gt;0,O47&lt;0.15,AE47&gt;0,AE47&lt;0.15,AF47&gt;0,AF47&lt;0.15,AG47&gt;0,AG47&lt;0.15),"","ЗЖДХ болон дээд хүүг сараар шивнэ үү."),"")</f>
        <v/>
      </c>
    </row>
    <row r="48" spans="1:34">
      <c r="A48" s="1441" t="s">
        <v>600</v>
      </c>
      <c r="B48" s="1308">
        <v>21</v>
      </c>
      <c r="C48" s="777" t="s">
        <v>601</v>
      </c>
      <c r="D48" s="1128">
        <v>36</v>
      </c>
      <c r="E48" s="1258">
        <f t="shared" ref="E48:W48" si="61">+SUM(E49:E52)</f>
        <v>0</v>
      </c>
      <c r="F48" s="1259">
        <f t="shared" ref="F48" si="62">+SUM(F49:F52)</f>
        <v>0</v>
      </c>
      <c r="G48" s="1260">
        <f t="shared" si="61"/>
        <v>0</v>
      </c>
      <c r="H48" s="1261">
        <f t="shared" ref="H48" si="63">+SUM(H49:H52)</f>
        <v>0</v>
      </c>
      <c r="I48" s="1258">
        <f t="shared" si="61"/>
        <v>0</v>
      </c>
      <c r="J48" s="1259">
        <f t="shared" ref="J48" si="64">+SUM(J49:J52)</f>
        <v>0</v>
      </c>
      <c r="K48" s="1260">
        <f t="shared" si="61"/>
        <v>0</v>
      </c>
      <c r="L48" s="1259">
        <f t="shared" ref="L48" si="65">+SUM(L49:L52)</f>
        <v>0</v>
      </c>
      <c r="M48" s="1260" t="str">
        <f>IFERROR(AVERAGE(M49:M52),"")</f>
        <v/>
      </c>
      <c r="N48" s="1262">
        <f t="shared" ref="N48" si="66">+SUM(N49:N52)</f>
        <v>0</v>
      </c>
      <c r="O48" s="1306" t="e">
        <f>(I49*O49+I50*O50+I51*O51+I52*O52)/I48</f>
        <v>#DIV/0!</v>
      </c>
      <c r="P48" s="1258">
        <f t="shared" si="61"/>
        <v>0</v>
      </c>
      <c r="Q48" s="1259">
        <f t="shared" ref="Q48" si="67">+SUM(Q49:Q52)</f>
        <v>0</v>
      </c>
      <c r="R48" s="1260">
        <f t="shared" si="61"/>
        <v>0</v>
      </c>
      <c r="S48" s="1261">
        <f t="shared" ref="S48" si="68">+SUM(S49:S52)</f>
        <v>0</v>
      </c>
      <c r="T48" s="1258">
        <f t="shared" si="61"/>
        <v>0</v>
      </c>
      <c r="U48" s="1259">
        <f t="shared" ref="U48" si="69">+SUM(U49:U52)</f>
        <v>0</v>
      </c>
      <c r="V48" s="1260">
        <f t="shared" si="61"/>
        <v>0</v>
      </c>
      <c r="W48" s="1259">
        <f t="shared" si="61"/>
        <v>0</v>
      </c>
      <c r="X48" s="1448"/>
      <c r="Y48" s="1258">
        <f t="shared" si="23"/>
        <v>0</v>
      </c>
      <c r="Z48" s="1265">
        <f t="shared" si="11"/>
        <v>0</v>
      </c>
      <c r="AA48" s="1260">
        <f t="shared" si="37"/>
        <v>0</v>
      </c>
      <c r="AB48" s="1265">
        <f t="shared" si="38"/>
        <v>0</v>
      </c>
      <c r="AC48" s="1209" t="str">
        <f>IFERROR(AVERAGE(AC49:AC52),"")</f>
        <v/>
      </c>
      <c r="AD48" s="1266">
        <f t="shared" ref="AD48" si="70">+SUM(AD49:AD52)</f>
        <v>0</v>
      </c>
      <c r="AE48" s="1267" t="e">
        <f>(Y49*AE49+Y50*AE50+Y51*AE51+Y52*AE52)/Y48</f>
        <v>#DIV/0!</v>
      </c>
      <c r="AF48" s="1268">
        <f>+MAX(AF49:AF52)</f>
        <v>0</v>
      </c>
      <c r="AG48" s="1269">
        <f t="array" ref="AG48">+MIN(IF(AG49:AG52&gt;0,AG49:AG52))</f>
        <v>0</v>
      </c>
      <c r="AH48" s="1370" t="str">
        <f>IF(SUM(Y49:Y52)&gt;0,IF(SUM(Z49:Z52)=0,"Зээлдэгчийн тоог бүрэн шивнэ үү.",""),"")</f>
        <v/>
      </c>
    </row>
    <row r="49" spans="1:34">
      <c r="A49" s="1442"/>
      <c r="B49" s="1270">
        <v>1</v>
      </c>
      <c r="C49" s="774" t="s">
        <v>163</v>
      </c>
      <c r="D49" s="1128">
        <v>37</v>
      </c>
      <c r="E49" s="1214"/>
      <c r="F49" s="1215"/>
      <c r="G49" s="1216"/>
      <c r="H49" s="1217"/>
      <c r="I49" s="1271"/>
      <c r="J49" s="1215"/>
      <c r="K49" s="1216"/>
      <c r="L49" s="1215"/>
      <c r="M49" s="1272"/>
      <c r="N49" s="1273">
        <f t="shared" si="39"/>
        <v>0</v>
      </c>
      <c r="O49" s="1274"/>
      <c r="P49" s="1275"/>
      <c r="Q49" s="1215"/>
      <c r="R49" s="1216"/>
      <c r="S49" s="1217"/>
      <c r="T49" s="1271"/>
      <c r="U49" s="1215"/>
      <c r="V49" s="1216"/>
      <c r="W49" s="1215"/>
      <c r="X49" s="1448"/>
      <c r="Y49" s="1276">
        <f t="shared" si="23"/>
        <v>0</v>
      </c>
      <c r="Z49" s="1277">
        <f t="shared" si="11"/>
        <v>0</v>
      </c>
      <c r="AA49" s="1278">
        <f t="shared" si="37"/>
        <v>0</v>
      </c>
      <c r="AB49" s="1277">
        <f t="shared" si="38"/>
        <v>0</v>
      </c>
      <c r="AC49" s="1279"/>
      <c r="AD49" s="1280">
        <f t="shared" si="40"/>
        <v>0</v>
      </c>
      <c r="AE49" s="1281"/>
      <c r="AF49" s="1281"/>
      <c r="AG49" s="1282"/>
      <c r="AH49" s="1370" t="str">
        <f>IF(I49&gt;0,IF(AND(O49&gt;0,O49&lt;0.15,AE49&gt;0,AE49&lt;0.15,AF49&gt;0,AF49&lt;0.15,AG49&gt;0,AG49&lt;0.15),"","ЗЖДХ болон дээд хүүг сараар шивнэ үү."),"")</f>
        <v/>
      </c>
    </row>
    <row r="50" spans="1:34">
      <c r="A50" s="1442"/>
      <c r="B50" s="1163">
        <v>2</v>
      </c>
      <c r="C50" s="1142" t="s">
        <v>574</v>
      </c>
      <c r="D50" s="1128">
        <v>38</v>
      </c>
      <c r="E50" s="1165"/>
      <c r="F50" s="1174"/>
      <c r="G50" s="1167"/>
      <c r="H50" s="1169"/>
      <c r="I50" s="1283"/>
      <c r="J50" s="1174"/>
      <c r="K50" s="1167"/>
      <c r="L50" s="1174"/>
      <c r="M50" s="1284"/>
      <c r="N50" s="1285">
        <f t="shared" si="39"/>
        <v>0</v>
      </c>
      <c r="O50" s="1286"/>
      <c r="P50" s="1287"/>
      <c r="Q50" s="1174"/>
      <c r="R50" s="1167"/>
      <c r="S50" s="1169"/>
      <c r="T50" s="1283"/>
      <c r="U50" s="1174"/>
      <c r="V50" s="1167"/>
      <c r="W50" s="1174"/>
      <c r="X50" s="1448"/>
      <c r="Y50" s="1288">
        <f t="shared" si="23"/>
        <v>0</v>
      </c>
      <c r="Z50" s="1172">
        <f t="shared" si="11"/>
        <v>0</v>
      </c>
      <c r="AA50" s="1173">
        <f t="shared" si="37"/>
        <v>0</v>
      </c>
      <c r="AB50" s="1172">
        <f t="shared" si="38"/>
        <v>0</v>
      </c>
      <c r="AC50" s="1289"/>
      <c r="AD50" s="1290">
        <f t="shared" si="40"/>
        <v>0</v>
      </c>
      <c r="AE50" s="1291"/>
      <c r="AF50" s="1291"/>
      <c r="AG50" s="1292"/>
      <c r="AH50" s="1370" t="str">
        <f>IF(I50&gt;0,IF(AND(O50&gt;0,O50&lt;0.15,AE50&gt;0,AE50&lt;0.15,AF50&gt;0,AF50&lt;0.15,AG50&gt;0,AG50&lt;0.15),"","ЗЖДХ болон дээд хүүг сараар шивнэ үү."),"")</f>
        <v/>
      </c>
    </row>
    <row r="51" spans="1:34">
      <c r="A51" s="1442"/>
      <c r="B51" s="1163">
        <v>3</v>
      </c>
      <c r="C51" s="1142" t="s">
        <v>575</v>
      </c>
      <c r="D51" s="1128">
        <v>39</v>
      </c>
      <c r="E51" s="1165"/>
      <c r="F51" s="1174"/>
      <c r="G51" s="1167"/>
      <c r="H51" s="1169"/>
      <c r="I51" s="1283"/>
      <c r="J51" s="1174"/>
      <c r="K51" s="1167"/>
      <c r="L51" s="1174"/>
      <c r="M51" s="1284"/>
      <c r="N51" s="1285">
        <f t="shared" si="39"/>
        <v>0</v>
      </c>
      <c r="O51" s="1286"/>
      <c r="P51" s="1287"/>
      <c r="Q51" s="1174"/>
      <c r="R51" s="1167"/>
      <c r="S51" s="1169"/>
      <c r="T51" s="1283"/>
      <c r="U51" s="1174"/>
      <c r="V51" s="1167"/>
      <c r="W51" s="1174"/>
      <c r="X51" s="1448"/>
      <c r="Y51" s="1288">
        <f t="shared" si="23"/>
        <v>0</v>
      </c>
      <c r="Z51" s="1172">
        <f t="shared" si="11"/>
        <v>0</v>
      </c>
      <c r="AA51" s="1173">
        <f t="shared" si="37"/>
        <v>0</v>
      </c>
      <c r="AB51" s="1172">
        <f t="shared" si="38"/>
        <v>0</v>
      </c>
      <c r="AC51" s="1289"/>
      <c r="AD51" s="1290">
        <f t="shared" si="40"/>
        <v>0</v>
      </c>
      <c r="AE51" s="1291"/>
      <c r="AF51" s="1291"/>
      <c r="AG51" s="1292"/>
      <c r="AH51" s="1370" t="str">
        <f>IF(I51&gt;0,IF(AND(O51&gt;0,O51&lt;0.15,AE51&gt;0,AE51&lt;0.15,AF51&gt;0,AF51&lt;0.15,AG51&gt;0,AG51&lt;0.15),"","ЗЖДХ болон дээд хүүг сараар шивнэ үү."),"")</f>
        <v/>
      </c>
    </row>
    <row r="52" spans="1:34">
      <c r="A52" s="1442"/>
      <c r="B52" s="1307">
        <v>4</v>
      </c>
      <c r="C52" s="1241" t="s">
        <v>576</v>
      </c>
      <c r="D52" s="1128">
        <v>40</v>
      </c>
      <c r="E52" s="1242"/>
      <c r="F52" s="1243"/>
      <c r="G52" s="1170"/>
      <c r="H52" s="1244"/>
      <c r="I52" s="1294"/>
      <c r="J52" s="1243"/>
      <c r="K52" s="1170"/>
      <c r="L52" s="1243"/>
      <c r="M52" s="1295"/>
      <c r="N52" s="1296">
        <f t="shared" si="39"/>
        <v>0</v>
      </c>
      <c r="O52" s="1297"/>
      <c r="P52" s="1298"/>
      <c r="Q52" s="1243"/>
      <c r="R52" s="1170"/>
      <c r="S52" s="1244"/>
      <c r="T52" s="1294"/>
      <c r="U52" s="1243"/>
      <c r="V52" s="1170"/>
      <c r="W52" s="1243"/>
      <c r="X52" s="1448"/>
      <c r="Y52" s="1309">
        <f t="shared" si="23"/>
        <v>0</v>
      </c>
      <c r="Z52" s="1184">
        <f t="shared" si="11"/>
        <v>0</v>
      </c>
      <c r="AA52" s="1310">
        <f t="shared" si="37"/>
        <v>0</v>
      </c>
      <c r="AB52" s="1184">
        <f t="shared" si="38"/>
        <v>0</v>
      </c>
      <c r="AC52" s="1311"/>
      <c r="AD52" s="1312">
        <f t="shared" si="40"/>
        <v>0</v>
      </c>
      <c r="AE52" s="1302"/>
      <c r="AF52" s="1313"/>
      <c r="AG52" s="1314"/>
      <c r="AH52" s="1370" t="str">
        <f>IF(I52&gt;0,IF(AND(O52&gt;0,O52&lt;0.15,AE52&gt;0,AE52&lt;0.15,AF52&gt;0,AF52&lt;0.15,AG52&gt;0,AG52&lt;0.15),"","ЗЖДХ болон дээд хүүг сараар шивнэ үү."),"")</f>
        <v/>
      </c>
    </row>
    <row r="53" spans="1:34" ht="51">
      <c r="A53" s="1441" t="s">
        <v>602</v>
      </c>
      <c r="B53" s="1308">
        <v>22</v>
      </c>
      <c r="C53" s="776" t="s">
        <v>603</v>
      </c>
      <c r="D53" s="1128">
        <v>41</v>
      </c>
      <c r="E53" s="1258">
        <f t="shared" ref="E53:W53" si="71">+SUM(E54:E57)</f>
        <v>0</v>
      </c>
      <c r="F53" s="1259">
        <f t="shared" ref="F53" si="72">+SUM(F54:F57)</f>
        <v>0</v>
      </c>
      <c r="G53" s="1260">
        <f t="shared" si="71"/>
        <v>0</v>
      </c>
      <c r="H53" s="1261">
        <f t="shared" ref="H53" si="73">+SUM(H54:H57)</f>
        <v>0</v>
      </c>
      <c r="I53" s="1258">
        <f t="shared" si="71"/>
        <v>0</v>
      </c>
      <c r="J53" s="1259">
        <f t="shared" ref="J53" si="74">+SUM(J54:J57)</f>
        <v>0</v>
      </c>
      <c r="K53" s="1260">
        <f t="shared" si="71"/>
        <v>0</v>
      </c>
      <c r="L53" s="1259">
        <f t="shared" ref="L53" si="75">+SUM(L54:L57)</f>
        <v>0</v>
      </c>
      <c r="M53" s="1260" t="str">
        <f>IFERROR(AVERAGE(M54:M57),"")</f>
        <v/>
      </c>
      <c r="N53" s="1262">
        <f t="shared" ref="N53" si="76">+SUM(N54:N57)</f>
        <v>0</v>
      </c>
      <c r="O53" s="1306" t="e">
        <f>(I54*O54+I55*O55+I56*O56+I57*O57)/I53</f>
        <v>#DIV/0!</v>
      </c>
      <c r="P53" s="1258">
        <f t="shared" si="71"/>
        <v>0</v>
      </c>
      <c r="Q53" s="1259">
        <f t="shared" ref="Q53" si="77">+SUM(Q54:Q57)</f>
        <v>0</v>
      </c>
      <c r="R53" s="1260">
        <f t="shared" si="71"/>
        <v>0</v>
      </c>
      <c r="S53" s="1261">
        <f t="shared" ref="S53" si="78">+SUM(S54:S57)</f>
        <v>0</v>
      </c>
      <c r="T53" s="1258">
        <f t="shared" si="71"/>
        <v>0</v>
      </c>
      <c r="U53" s="1259">
        <f t="shared" ref="U53" si="79">+SUM(U54:U57)</f>
        <v>0</v>
      </c>
      <c r="V53" s="1260">
        <f t="shared" si="71"/>
        <v>0</v>
      </c>
      <c r="W53" s="1259">
        <f t="shared" si="71"/>
        <v>0</v>
      </c>
      <c r="X53" s="1448"/>
      <c r="Y53" s="1258">
        <f t="shared" si="23"/>
        <v>0</v>
      </c>
      <c r="Z53" s="1265">
        <f t="shared" si="11"/>
        <v>0</v>
      </c>
      <c r="AA53" s="1260">
        <f t="shared" si="37"/>
        <v>0</v>
      </c>
      <c r="AB53" s="1265">
        <f t="shared" si="38"/>
        <v>0</v>
      </c>
      <c r="AC53" s="1209" t="str">
        <f>IFERROR(AVERAGE(AC54:AC57),"")</f>
        <v/>
      </c>
      <c r="AD53" s="1315">
        <f t="shared" ref="AD53" si="80">+SUM(AD54:AD57)</f>
        <v>0</v>
      </c>
      <c r="AE53" s="1264" t="e">
        <f>(Y54*AE54+Y55*AE55+Y56*AE56+Y57*AE57)/Y53</f>
        <v>#DIV/0!</v>
      </c>
      <c r="AF53" s="1268">
        <f>+MAX(AF54:AF57)</f>
        <v>0</v>
      </c>
      <c r="AG53" s="1269">
        <f t="array" ref="AG53">+MIN(IF(AG54:AG57&gt;0,AG54:AG57))</f>
        <v>0</v>
      </c>
      <c r="AH53" s="1370" t="str">
        <f>IF(SUM(Y54:Y57)&gt;0,IF(SUM(Z54:Z57)=0,"Зээлдэгчийн тоог бүрэн шивнэ үү.",""),"")</f>
        <v/>
      </c>
    </row>
    <row r="54" spans="1:34">
      <c r="A54" s="1442"/>
      <c r="B54" s="1270">
        <v>1</v>
      </c>
      <c r="C54" s="774" t="s">
        <v>163</v>
      </c>
      <c r="D54" s="1128">
        <v>42</v>
      </c>
      <c r="E54" s="1214"/>
      <c r="F54" s="1215"/>
      <c r="G54" s="1216"/>
      <c r="H54" s="1217"/>
      <c r="I54" s="1271"/>
      <c r="J54" s="1215"/>
      <c r="K54" s="1216"/>
      <c r="L54" s="1215"/>
      <c r="M54" s="1272"/>
      <c r="N54" s="1273">
        <f t="shared" si="39"/>
        <v>0</v>
      </c>
      <c r="O54" s="1274"/>
      <c r="P54" s="1275"/>
      <c r="Q54" s="1215"/>
      <c r="R54" s="1216"/>
      <c r="S54" s="1217"/>
      <c r="T54" s="1271"/>
      <c r="U54" s="1215"/>
      <c r="V54" s="1216"/>
      <c r="W54" s="1215"/>
      <c r="X54" s="1448"/>
      <c r="Y54" s="1276">
        <f t="shared" si="23"/>
        <v>0</v>
      </c>
      <c r="Z54" s="1277">
        <f t="shared" si="11"/>
        <v>0</v>
      </c>
      <c r="AA54" s="1278">
        <f t="shared" si="37"/>
        <v>0</v>
      </c>
      <c r="AB54" s="1277">
        <f t="shared" si="38"/>
        <v>0</v>
      </c>
      <c r="AC54" s="1279"/>
      <c r="AD54" s="1280">
        <f t="shared" si="40"/>
        <v>0</v>
      </c>
      <c r="AE54" s="1281"/>
      <c r="AF54" s="1281"/>
      <c r="AG54" s="1282"/>
      <c r="AH54" s="1370" t="str">
        <f>IF(I54&gt;0,IF(AND(O54&gt;0,O54&lt;0.15,AE54&gt;0,AE54&lt;0.15,AF54&gt;0,AF54&lt;0.15,AG54&gt;0,AG54&lt;0.15),"","ЗЖДХ болон дээд хүүг сараар шивнэ үү."),"")</f>
        <v/>
      </c>
    </row>
    <row r="55" spans="1:34">
      <c r="A55" s="1442"/>
      <c r="B55" s="1163">
        <v>2</v>
      </c>
      <c r="C55" s="1142" t="s">
        <v>574</v>
      </c>
      <c r="D55" s="1128">
        <v>43</v>
      </c>
      <c r="E55" s="1165"/>
      <c r="F55" s="1174"/>
      <c r="G55" s="1167"/>
      <c r="H55" s="1169"/>
      <c r="I55" s="1283"/>
      <c r="J55" s="1174"/>
      <c r="K55" s="1167"/>
      <c r="L55" s="1174"/>
      <c r="M55" s="1284"/>
      <c r="N55" s="1285">
        <f t="shared" si="39"/>
        <v>0</v>
      </c>
      <c r="O55" s="1286"/>
      <c r="P55" s="1287"/>
      <c r="Q55" s="1174"/>
      <c r="R55" s="1167"/>
      <c r="S55" s="1169"/>
      <c r="T55" s="1283"/>
      <c r="U55" s="1174"/>
      <c r="V55" s="1167"/>
      <c r="W55" s="1174"/>
      <c r="X55" s="1448"/>
      <c r="Y55" s="1288">
        <f t="shared" si="23"/>
        <v>0</v>
      </c>
      <c r="Z55" s="1172">
        <f t="shared" si="11"/>
        <v>0</v>
      </c>
      <c r="AA55" s="1173">
        <f t="shared" si="37"/>
        <v>0</v>
      </c>
      <c r="AB55" s="1172">
        <f t="shared" si="38"/>
        <v>0</v>
      </c>
      <c r="AC55" s="1289"/>
      <c r="AD55" s="1290">
        <f t="shared" si="40"/>
        <v>0</v>
      </c>
      <c r="AE55" s="1291"/>
      <c r="AF55" s="1291"/>
      <c r="AG55" s="1292"/>
      <c r="AH55" s="1370" t="str">
        <f>IF(I55&gt;0,IF(AND(O55&gt;0,O55&lt;0.15,AE55&gt;0,AE55&lt;0.15,AF55&gt;0,AF55&lt;0.15,AG55&gt;0,AG55&lt;0.15),"","ЗЖДХ болон дээд хүүг сараар шивнэ үү."),"")</f>
        <v/>
      </c>
    </row>
    <row r="56" spans="1:34">
      <c r="A56" s="1442"/>
      <c r="B56" s="1163">
        <v>3</v>
      </c>
      <c r="C56" s="1142" t="s">
        <v>575</v>
      </c>
      <c r="D56" s="1128">
        <v>44</v>
      </c>
      <c r="E56" s="1165"/>
      <c r="F56" s="1174"/>
      <c r="G56" s="1167"/>
      <c r="H56" s="1169"/>
      <c r="I56" s="1283"/>
      <c r="J56" s="1174"/>
      <c r="K56" s="1167"/>
      <c r="L56" s="1174"/>
      <c r="M56" s="1284"/>
      <c r="N56" s="1285">
        <f t="shared" si="39"/>
        <v>0</v>
      </c>
      <c r="O56" s="1286"/>
      <c r="P56" s="1287"/>
      <c r="Q56" s="1174"/>
      <c r="R56" s="1167"/>
      <c r="S56" s="1169"/>
      <c r="T56" s="1283"/>
      <c r="U56" s="1174"/>
      <c r="V56" s="1167"/>
      <c r="W56" s="1174"/>
      <c r="X56" s="1448"/>
      <c r="Y56" s="1288">
        <f t="shared" si="23"/>
        <v>0</v>
      </c>
      <c r="Z56" s="1172">
        <f t="shared" si="11"/>
        <v>0</v>
      </c>
      <c r="AA56" s="1173">
        <f t="shared" si="37"/>
        <v>0</v>
      </c>
      <c r="AB56" s="1172">
        <f t="shared" si="38"/>
        <v>0</v>
      </c>
      <c r="AC56" s="1289"/>
      <c r="AD56" s="1290">
        <f t="shared" si="40"/>
        <v>0</v>
      </c>
      <c r="AE56" s="1291"/>
      <c r="AF56" s="1291"/>
      <c r="AG56" s="1292"/>
      <c r="AH56" s="1370" t="str">
        <f>IF(I56&gt;0,IF(AND(O56&gt;0,O56&lt;0.15,AE56&gt;0,AE56&lt;0.15,AF56&gt;0,AF56&lt;0.15,AG56&gt;0,AG56&lt;0.15),"","ЗЖДХ болон дээд хүүг сараар шивнэ үү."),"")</f>
        <v/>
      </c>
    </row>
    <row r="57" spans="1:34">
      <c r="A57" s="1442"/>
      <c r="B57" s="1307">
        <v>4</v>
      </c>
      <c r="C57" s="1241" t="s">
        <v>576</v>
      </c>
      <c r="D57" s="1128">
        <v>45</v>
      </c>
      <c r="E57" s="1242"/>
      <c r="F57" s="1243"/>
      <c r="G57" s="1170"/>
      <c r="H57" s="1244"/>
      <c r="I57" s="1294"/>
      <c r="J57" s="1243"/>
      <c r="K57" s="1170"/>
      <c r="L57" s="1243"/>
      <c r="M57" s="1295"/>
      <c r="N57" s="1296">
        <f t="shared" si="39"/>
        <v>0</v>
      </c>
      <c r="O57" s="1316"/>
      <c r="P57" s="1298"/>
      <c r="Q57" s="1243"/>
      <c r="R57" s="1170"/>
      <c r="S57" s="1244"/>
      <c r="T57" s="1294"/>
      <c r="U57" s="1243"/>
      <c r="V57" s="1170"/>
      <c r="W57" s="1243"/>
      <c r="X57" s="1448"/>
      <c r="Y57" s="1309">
        <f t="shared" si="23"/>
        <v>0</v>
      </c>
      <c r="Z57" s="1184">
        <f t="shared" si="11"/>
        <v>0</v>
      </c>
      <c r="AA57" s="1310">
        <f t="shared" si="37"/>
        <v>0</v>
      </c>
      <c r="AB57" s="1184">
        <f t="shared" si="38"/>
        <v>0</v>
      </c>
      <c r="AC57" s="1311"/>
      <c r="AD57" s="1312">
        <f t="shared" si="40"/>
        <v>0</v>
      </c>
      <c r="AE57" s="1302"/>
      <c r="AF57" s="1313"/>
      <c r="AG57" s="1314"/>
      <c r="AH57" s="1370" t="str">
        <f>IF(I57&gt;0,IF(AND(O57&gt;0,O57&lt;0.15,AE57&gt;0,AE57&lt;0.15,AF57&gt;0,AF57&lt;0.15,AG57&gt;0,AG57&lt;0.15),"","ЗЖДХ болон дээд хүүг сараар шивнэ үү."),"")</f>
        <v/>
      </c>
    </row>
    <row r="58" spans="1:34">
      <c r="A58" s="1441" t="s">
        <v>604</v>
      </c>
      <c r="B58" s="1308">
        <v>23</v>
      </c>
      <c r="C58" s="777" t="s">
        <v>605</v>
      </c>
      <c r="D58" s="1128">
        <v>46</v>
      </c>
      <c r="E58" s="1258">
        <f t="shared" ref="E58:W58" si="81">+SUM(E59:E62)</f>
        <v>0</v>
      </c>
      <c r="F58" s="1259">
        <f t="shared" ref="F58" si="82">+SUM(F59:F62)</f>
        <v>0</v>
      </c>
      <c r="G58" s="1260">
        <f t="shared" si="81"/>
        <v>0</v>
      </c>
      <c r="H58" s="1261">
        <f t="shared" ref="H58" si="83">+SUM(H59:H62)</f>
        <v>0</v>
      </c>
      <c r="I58" s="1258">
        <f t="shared" si="81"/>
        <v>0</v>
      </c>
      <c r="J58" s="1259">
        <f t="shared" ref="J58" si="84">+SUM(J59:J62)</f>
        <v>0</v>
      </c>
      <c r="K58" s="1260">
        <f t="shared" si="81"/>
        <v>0</v>
      </c>
      <c r="L58" s="1259">
        <f t="shared" ref="L58" si="85">+SUM(L59:L62)</f>
        <v>0</v>
      </c>
      <c r="M58" s="1260" t="str">
        <f>IFERROR(AVERAGE(M59:M62),"")</f>
        <v/>
      </c>
      <c r="N58" s="1203">
        <f>+SUM(N59:N62)</f>
        <v>0</v>
      </c>
      <c r="O58" s="1267" t="e">
        <f>(I59*O59+I60*O60+I61*O61+I62*O62)/I58</f>
        <v>#DIV/0!</v>
      </c>
      <c r="P58" s="1258">
        <f t="shared" si="81"/>
        <v>0</v>
      </c>
      <c r="Q58" s="1259">
        <f t="shared" ref="Q58" si="86">+SUM(Q59:Q62)</f>
        <v>0</v>
      </c>
      <c r="R58" s="1260">
        <f t="shared" si="81"/>
        <v>0</v>
      </c>
      <c r="S58" s="1261">
        <f t="shared" ref="S58" si="87">+SUM(S59:S62)</f>
        <v>0</v>
      </c>
      <c r="T58" s="1258">
        <f t="shared" si="81"/>
        <v>0</v>
      </c>
      <c r="U58" s="1259">
        <f t="shared" ref="U58" si="88">+SUM(U59:U62)</f>
        <v>0</v>
      </c>
      <c r="V58" s="1260">
        <f t="shared" si="81"/>
        <v>0</v>
      </c>
      <c r="W58" s="1259">
        <f t="shared" si="81"/>
        <v>0</v>
      </c>
      <c r="X58" s="1448"/>
      <c r="Y58" s="1258">
        <f t="shared" si="23"/>
        <v>0</v>
      </c>
      <c r="Z58" s="1265">
        <f t="shared" si="11"/>
        <v>0</v>
      </c>
      <c r="AA58" s="1260">
        <f t="shared" si="37"/>
        <v>0</v>
      </c>
      <c r="AB58" s="1265">
        <f t="shared" si="38"/>
        <v>0</v>
      </c>
      <c r="AC58" s="1209" t="str">
        <f>IFERROR(AVERAGE(AC59:AC62),"")</f>
        <v/>
      </c>
      <c r="AD58" s="1266">
        <f>+SUM(AD59:AD62)</f>
        <v>0</v>
      </c>
      <c r="AE58" s="1267" t="e">
        <f>(Y59*AE59+Y60*AE60+Y61*AE61+Y62*AE62)/Y58</f>
        <v>#DIV/0!</v>
      </c>
      <c r="AF58" s="1268">
        <f>+MAX(AF59:AF62)</f>
        <v>0</v>
      </c>
      <c r="AG58" s="1269">
        <f t="array" ref="AG58">+MIN(IF(AG59:AG62&gt;0,AG59:AG62))</f>
        <v>0</v>
      </c>
      <c r="AH58" s="1370" t="str">
        <f>IF(SUM(Y59:Y62)&gt;0,IF(SUM(Z59:Z62)=0,"Зээлдэгчийн тоог бүрэн шивнэ үү.",""),"")</f>
        <v/>
      </c>
    </row>
    <row r="59" spans="1:34">
      <c r="A59" s="1442"/>
      <c r="B59" s="1270">
        <v>1</v>
      </c>
      <c r="C59" s="774" t="s">
        <v>163</v>
      </c>
      <c r="D59" s="1128">
        <v>47</v>
      </c>
      <c r="E59" s="1214"/>
      <c r="F59" s="1215"/>
      <c r="G59" s="1216"/>
      <c r="H59" s="1217"/>
      <c r="I59" s="1271"/>
      <c r="J59" s="1215"/>
      <c r="K59" s="1216"/>
      <c r="L59" s="1215"/>
      <c r="M59" s="1272"/>
      <c r="N59" s="1273">
        <f t="shared" si="39"/>
        <v>0</v>
      </c>
      <c r="O59" s="1274"/>
      <c r="P59" s="1275"/>
      <c r="Q59" s="1215"/>
      <c r="R59" s="1216"/>
      <c r="S59" s="1217"/>
      <c r="T59" s="1271"/>
      <c r="U59" s="1215"/>
      <c r="V59" s="1216"/>
      <c r="W59" s="1215"/>
      <c r="X59" s="1448"/>
      <c r="Y59" s="1276">
        <f t="shared" si="23"/>
        <v>0</v>
      </c>
      <c r="Z59" s="1277">
        <f t="shared" si="11"/>
        <v>0</v>
      </c>
      <c r="AA59" s="1278">
        <f t="shared" si="37"/>
        <v>0</v>
      </c>
      <c r="AB59" s="1277">
        <f t="shared" si="38"/>
        <v>0</v>
      </c>
      <c r="AC59" s="1279"/>
      <c r="AD59" s="1280">
        <f t="shared" si="40"/>
        <v>0</v>
      </c>
      <c r="AE59" s="1281"/>
      <c r="AF59" s="1281"/>
      <c r="AG59" s="1282"/>
      <c r="AH59" s="1370" t="str">
        <f>IF(I59&gt;0,IF(AND(O59&gt;0,O59&lt;0.15,AE59&gt;0,AE59&lt;0.15,AF59&gt;0,AF59&lt;0.15,AG59&gt;0,AG59&lt;0.15),"","ЗЖДХ болон дээд хүүг сараар шивнэ үү."),"")</f>
        <v/>
      </c>
    </row>
    <row r="60" spans="1:34">
      <c r="A60" s="1442"/>
      <c r="B60" s="1163">
        <v>2</v>
      </c>
      <c r="C60" s="1142" t="s">
        <v>574</v>
      </c>
      <c r="D60" s="1128">
        <v>48</v>
      </c>
      <c r="E60" s="1165"/>
      <c r="F60" s="1174"/>
      <c r="G60" s="1167"/>
      <c r="H60" s="1169"/>
      <c r="I60" s="1283"/>
      <c r="J60" s="1174"/>
      <c r="K60" s="1167"/>
      <c r="L60" s="1174"/>
      <c r="M60" s="1284"/>
      <c r="N60" s="1285">
        <f t="shared" si="39"/>
        <v>0</v>
      </c>
      <c r="O60" s="1286"/>
      <c r="P60" s="1287"/>
      <c r="Q60" s="1174"/>
      <c r="R60" s="1167"/>
      <c r="S60" s="1169"/>
      <c r="T60" s="1283"/>
      <c r="U60" s="1174"/>
      <c r="V60" s="1167"/>
      <c r="W60" s="1174"/>
      <c r="X60" s="1448"/>
      <c r="Y60" s="1288">
        <f t="shared" si="23"/>
        <v>0</v>
      </c>
      <c r="Z60" s="1172">
        <f t="shared" si="11"/>
        <v>0</v>
      </c>
      <c r="AA60" s="1173">
        <f t="shared" si="37"/>
        <v>0</v>
      </c>
      <c r="AB60" s="1172">
        <f t="shared" si="38"/>
        <v>0</v>
      </c>
      <c r="AC60" s="1289"/>
      <c r="AD60" s="1290">
        <f t="shared" si="40"/>
        <v>0</v>
      </c>
      <c r="AE60" s="1291"/>
      <c r="AF60" s="1291"/>
      <c r="AG60" s="1292"/>
      <c r="AH60" s="1370" t="str">
        <f>IF(I60&gt;0,IF(AND(O60&gt;0,O60&lt;0.15,AE60&gt;0,AE60&lt;0.15,AF60&gt;0,AF60&lt;0.15,AG60&gt;0,AG60&lt;0.15),"","ЗЖДХ болон дээд хүүг сараар шивнэ үү."),"")</f>
        <v/>
      </c>
    </row>
    <row r="61" spans="1:34">
      <c r="A61" s="1442"/>
      <c r="B61" s="1163">
        <v>3</v>
      </c>
      <c r="C61" s="1142" t="s">
        <v>575</v>
      </c>
      <c r="D61" s="1128">
        <v>49</v>
      </c>
      <c r="E61" s="1165"/>
      <c r="F61" s="1174"/>
      <c r="G61" s="1167"/>
      <c r="H61" s="1169"/>
      <c r="I61" s="1283"/>
      <c r="J61" s="1174"/>
      <c r="K61" s="1167"/>
      <c r="L61" s="1174"/>
      <c r="M61" s="1284"/>
      <c r="N61" s="1285">
        <f t="shared" si="39"/>
        <v>0</v>
      </c>
      <c r="O61" s="1286"/>
      <c r="P61" s="1287"/>
      <c r="Q61" s="1174"/>
      <c r="R61" s="1167"/>
      <c r="S61" s="1169"/>
      <c r="T61" s="1283"/>
      <c r="U61" s="1174"/>
      <c r="V61" s="1167"/>
      <c r="W61" s="1174"/>
      <c r="X61" s="1448"/>
      <c r="Y61" s="1288">
        <f t="shared" si="23"/>
        <v>0</v>
      </c>
      <c r="Z61" s="1172">
        <f t="shared" si="11"/>
        <v>0</v>
      </c>
      <c r="AA61" s="1173">
        <f t="shared" si="37"/>
        <v>0</v>
      </c>
      <c r="AB61" s="1172">
        <f t="shared" si="38"/>
        <v>0</v>
      </c>
      <c r="AC61" s="1289"/>
      <c r="AD61" s="1290">
        <f t="shared" si="40"/>
        <v>0</v>
      </c>
      <c r="AE61" s="1291"/>
      <c r="AF61" s="1291"/>
      <c r="AG61" s="1292"/>
      <c r="AH61" s="1370" t="str">
        <f>IF(I61&gt;0,IF(AND(O61&gt;0,O61&lt;0.15,AE61&gt;0,AE61&lt;0.15,AF61&gt;0,AF61&lt;0.15,AG61&gt;0,AG61&lt;0.15),"","ЗЖДХ болон дээд хүүг сараар шивнэ үү."),"")</f>
        <v/>
      </c>
    </row>
    <row r="62" spans="1:34">
      <c r="A62" s="1442"/>
      <c r="B62" s="1307">
        <v>4</v>
      </c>
      <c r="C62" s="1241" t="s">
        <v>576</v>
      </c>
      <c r="D62" s="1128">
        <v>50</v>
      </c>
      <c r="E62" s="1242"/>
      <c r="F62" s="1243"/>
      <c r="G62" s="1170"/>
      <c r="H62" s="1244"/>
      <c r="I62" s="1294"/>
      <c r="J62" s="1243"/>
      <c r="K62" s="1170"/>
      <c r="L62" s="1243"/>
      <c r="M62" s="1295"/>
      <c r="N62" s="1296">
        <f t="shared" si="39"/>
        <v>0</v>
      </c>
      <c r="O62" s="1297"/>
      <c r="P62" s="1298"/>
      <c r="Q62" s="1243"/>
      <c r="R62" s="1170"/>
      <c r="S62" s="1244"/>
      <c r="T62" s="1294"/>
      <c r="U62" s="1243"/>
      <c r="V62" s="1170"/>
      <c r="W62" s="1243"/>
      <c r="X62" s="1448"/>
      <c r="Y62" s="1309">
        <f t="shared" si="23"/>
        <v>0</v>
      </c>
      <c r="Z62" s="1184">
        <f t="shared" si="11"/>
        <v>0</v>
      </c>
      <c r="AA62" s="1310">
        <f t="shared" si="37"/>
        <v>0</v>
      </c>
      <c r="AB62" s="1184">
        <f t="shared" si="38"/>
        <v>0</v>
      </c>
      <c r="AC62" s="1311"/>
      <c r="AD62" s="1312">
        <f t="shared" si="40"/>
        <v>0</v>
      </c>
      <c r="AE62" s="1313"/>
      <c r="AF62" s="1313"/>
      <c r="AG62" s="1314"/>
      <c r="AH62" s="1370" t="str">
        <f>IF(I62&gt;0,IF(AND(O62&gt;0,O62&lt;0.15,AE62&gt;0,AE62&lt;0.15,AF62&gt;0,AF62&lt;0.15,AG62&gt;0,AG62&lt;0.15),"","ЗЖДХ болон дээд хүүг сараар шивнэ үү."),"")</f>
        <v/>
      </c>
    </row>
    <row r="63" spans="1:34" ht="25.5">
      <c r="A63" s="1441" t="s">
        <v>606</v>
      </c>
      <c r="B63" s="1308">
        <v>24</v>
      </c>
      <c r="C63" s="776" t="s">
        <v>607</v>
      </c>
      <c r="D63" s="1128">
        <v>51</v>
      </c>
      <c r="E63" s="1258">
        <f t="shared" ref="E63:W63" si="89">+SUM(E64:E67)</f>
        <v>0</v>
      </c>
      <c r="F63" s="1259">
        <f t="shared" ref="F63" si="90">+SUM(F64:F67)</f>
        <v>0</v>
      </c>
      <c r="G63" s="1260">
        <f t="shared" si="89"/>
        <v>0</v>
      </c>
      <c r="H63" s="1261">
        <f t="shared" ref="H63" si="91">+SUM(H64:H67)</f>
        <v>0</v>
      </c>
      <c r="I63" s="1258">
        <f t="shared" si="89"/>
        <v>0</v>
      </c>
      <c r="J63" s="1259">
        <f t="shared" ref="J63" si="92">+SUM(J64:J67)</f>
        <v>0</v>
      </c>
      <c r="K63" s="1260">
        <f t="shared" si="89"/>
        <v>0</v>
      </c>
      <c r="L63" s="1259">
        <f t="shared" ref="L63" si="93">+SUM(L64:L67)</f>
        <v>0</v>
      </c>
      <c r="M63" s="1260" t="str">
        <f>IFERROR(AVERAGE(M64:M67),"")</f>
        <v/>
      </c>
      <c r="N63" s="1262">
        <f>+SUM(N64:N67)</f>
        <v>0</v>
      </c>
      <c r="O63" s="1306" t="e">
        <f>(I64*O64+I65*O65+I66*O66+I67*O67)/I63</f>
        <v>#DIV/0!</v>
      </c>
      <c r="P63" s="1258">
        <f t="shared" si="89"/>
        <v>0</v>
      </c>
      <c r="Q63" s="1259">
        <f t="shared" ref="Q63" si="94">+SUM(Q64:Q67)</f>
        <v>0</v>
      </c>
      <c r="R63" s="1260">
        <f t="shared" si="89"/>
        <v>0</v>
      </c>
      <c r="S63" s="1261">
        <f t="shared" ref="S63" si="95">+SUM(S64:S67)</f>
        <v>0</v>
      </c>
      <c r="T63" s="1258">
        <f t="shared" si="89"/>
        <v>0</v>
      </c>
      <c r="U63" s="1259">
        <f t="shared" ref="U63" si="96">+SUM(U64:U67)</f>
        <v>0</v>
      </c>
      <c r="V63" s="1260">
        <f t="shared" si="89"/>
        <v>0</v>
      </c>
      <c r="W63" s="1259">
        <f t="shared" si="89"/>
        <v>0</v>
      </c>
      <c r="X63" s="1448"/>
      <c r="Y63" s="1258">
        <f t="shared" si="23"/>
        <v>0</v>
      </c>
      <c r="Z63" s="1265">
        <f t="shared" si="11"/>
        <v>0</v>
      </c>
      <c r="AA63" s="1260">
        <f t="shared" si="37"/>
        <v>0</v>
      </c>
      <c r="AB63" s="1265">
        <f t="shared" si="38"/>
        <v>0</v>
      </c>
      <c r="AC63" s="1209" t="str">
        <f>IFERROR(AVERAGE(AC64:AC67),"")</f>
        <v/>
      </c>
      <c r="AD63" s="1317">
        <f>+SUM(AD64:AD67)</f>
        <v>0</v>
      </c>
      <c r="AE63" s="1306" t="e">
        <f>(Y64*AE64+Y65*AE65+Y66*AE66+Y67*AE67)/Y63</f>
        <v>#DIV/0!</v>
      </c>
      <c r="AF63" s="1268">
        <f>+MAX(AF64:AF67)</f>
        <v>0</v>
      </c>
      <c r="AG63" s="1269">
        <f t="array" ref="AG63">+MIN(IF(AG64:AG67&gt;0,AG64:AG67))</f>
        <v>0</v>
      </c>
      <c r="AH63" s="1370" t="str">
        <f>IF(SUM(Y64:Y67)&gt;0,IF(SUM(Z64:Z67)=0,"Зээлдэгчийн тоог бүрэн шивнэ үү.",""),"")</f>
        <v/>
      </c>
    </row>
    <row r="64" spans="1:34">
      <c r="A64" s="1442"/>
      <c r="B64" s="1270">
        <v>1</v>
      </c>
      <c r="C64" s="774" t="s">
        <v>163</v>
      </c>
      <c r="D64" s="1128">
        <v>52</v>
      </c>
      <c r="E64" s="1214"/>
      <c r="F64" s="1215"/>
      <c r="G64" s="1216"/>
      <c r="H64" s="1217"/>
      <c r="I64" s="1271"/>
      <c r="J64" s="1215"/>
      <c r="K64" s="1216"/>
      <c r="L64" s="1215"/>
      <c r="M64" s="1272"/>
      <c r="N64" s="1273">
        <f t="shared" si="39"/>
        <v>0</v>
      </c>
      <c r="O64" s="1274"/>
      <c r="P64" s="1275"/>
      <c r="Q64" s="1215"/>
      <c r="R64" s="1216"/>
      <c r="S64" s="1217"/>
      <c r="T64" s="1271"/>
      <c r="U64" s="1215"/>
      <c r="V64" s="1216"/>
      <c r="W64" s="1215"/>
      <c r="X64" s="1448"/>
      <c r="Y64" s="1276">
        <f t="shared" si="23"/>
        <v>0</v>
      </c>
      <c r="Z64" s="1277">
        <f t="shared" si="11"/>
        <v>0</v>
      </c>
      <c r="AA64" s="1278">
        <f t="shared" si="37"/>
        <v>0</v>
      </c>
      <c r="AB64" s="1277">
        <f t="shared" si="38"/>
        <v>0</v>
      </c>
      <c r="AC64" s="1279"/>
      <c r="AD64" s="1280">
        <f t="shared" si="40"/>
        <v>0</v>
      </c>
      <c r="AE64" s="1281"/>
      <c r="AF64" s="1281"/>
      <c r="AG64" s="1282"/>
      <c r="AH64" s="1370" t="str">
        <f>IF(I64&gt;0,IF(AND(O64&gt;0,O64&lt;0.15,AE64&gt;0,AE64&lt;0.15,AF64&gt;0,AF64&lt;0.15,AG64&gt;0,AG64&lt;0.15),"","ЗЖДХ болон дээд хүүг сараар шивнэ үү."),"")</f>
        <v/>
      </c>
    </row>
    <row r="65" spans="1:34">
      <c r="A65" s="1442"/>
      <c r="B65" s="1163">
        <v>2</v>
      </c>
      <c r="C65" s="1142" t="s">
        <v>574</v>
      </c>
      <c r="D65" s="1128">
        <v>53</v>
      </c>
      <c r="E65" s="1165"/>
      <c r="F65" s="1174"/>
      <c r="G65" s="1167"/>
      <c r="H65" s="1169"/>
      <c r="I65" s="1283"/>
      <c r="J65" s="1174"/>
      <c r="K65" s="1167"/>
      <c r="L65" s="1174"/>
      <c r="M65" s="1284"/>
      <c r="N65" s="1285">
        <f t="shared" si="39"/>
        <v>0</v>
      </c>
      <c r="O65" s="1286"/>
      <c r="P65" s="1287"/>
      <c r="Q65" s="1174"/>
      <c r="R65" s="1167"/>
      <c r="S65" s="1169"/>
      <c r="T65" s="1283"/>
      <c r="U65" s="1174"/>
      <c r="V65" s="1167"/>
      <c r="W65" s="1174"/>
      <c r="X65" s="1448"/>
      <c r="Y65" s="1288">
        <f t="shared" si="23"/>
        <v>0</v>
      </c>
      <c r="Z65" s="1172">
        <f t="shared" si="11"/>
        <v>0</v>
      </c>
      <c r="AA65" s="1173">
        <f t="shared" si="37"/>
        <v>0</v>
      </c>
      <c r="AB65" s="1172">
        <f t="shared" si="38"/>
        <v>0</v>
      </c>
      <c r="AC65" s="1289"/>
      <c r="AD65" s="1290">
        <f t="shared" si="40"/>
        <v>0</v>
      </c>
      <c r="AE65" s="1291"/>
      <c r="AF65" s="1291"/>
      <c r="AG65" s="1292"/>
      <c r="AH65" s="1370" t="str">
        <f>IF(I65&gt;0,IF(AND(O65&gt;0,O65&lt;0.15,AE65&gt;0,AE65&lt;0.15,AF65&gt;0,AF65&lt;0.15,AG65&gt;0,AG65&lt;0.15),"","ЗЖДХ болон дээд хүүг сараар шивнэ үү."),"")</f>
        <v/>
      </c>
    </row>
    <row r="66" spans="1:34">
      <c r="A66" s="1442"/>
      <c r="B66" s="1163">
        <v>3</v>
      </c>
      <c r="C66" s="1142" t="s">
        <v>575</v>
      </c>
      <c r="D66" s="1128">
        <v>54</v>
      </c>
      <c r="E66" s="1165"/>
      <c r="F66" s="1174"/>
      <c r="G66" s="1167"/>
      <c r="H66" s="1169"/>
      <c r="I66" s="1283"/>
      <c r="J66" s="1174"/>
      <c r="K66" s="1167"/>
      <c r="L66" s="1174"/>
      <c r="M66" s="1284"/>
      <c r="N66" s="1285">
        <f t="shared" si="39"/>
        <v>0</v>
      </c>
      <c r="O66" s="1286"/>
      <c r="P66" s="1287"/>
      <c r="Q66" s="1174"/>
      <c r="R66" s="1167"/>
      <c r="S66" s="1169"/>
      <c r="T66" s="1283"/>
      <c r="U66" s="1174"/>
      <c r="V66" s="1167"/>
      <c r="W66" s="1174"/>
      <c r="X66" s="1448"/>
      <c r="Y66" s="1288">
        <f t="shared" si="23"/>
        <v>0</v>
      </c>
      <c r="Z66" s="1172">
        <f t="shared" si="11"/>
        <v>0</v>
      </c>
      <c r="AA66" s="1173">
        <f t="shared" si="37"/>
        <v>0</v>
      </c>
      <c r="AB66" s="1172">
        <f t="shared" si="38"/>
        <v>0</v>
      </c>
      <c r="AC66" s="1289"/>
      <c r="AD66" s="1290">
        <f t="shared" si="40"/>
        <v>0</v>
      </c>
      <c r="AE66" s="1291"/>
      <c r="AF66" s="1291"/>
      <c r="AG66" s="1292"/>
      <c r="AH66" s="1370" t="str">
        <f>IF(I66&gt;0,IF(AND(O66&gt;0,O66&lt;0.15,AE66&gt;0,AE66&lt;0.15,AF66&gt;0,AF66&lt;0.15,AG66&gt;0,AG66&lt;0.15),"","ЗЖДХ болон дээд хүүг сараар шивнэ үү."),"")</f>
        <v/>
      </c>
    </row>
    <row r="67" spans="1:34">
      <c r="A67" s="1442"/>
      <c r="B67" s="1307">
        <v>4</v>
      </c>
      <c r="C67" s="1241" t="s">
        <v>576</v>
      </c>
      <c r="D67" s="1128">
        <v>55</v>
      </c>
      <c r="E67" s="1242"/>
      <c r="F67" s="1243"/>
      <c r="G67" s="1170"/>
      <c r="H67" s="1244"/>
      <c r="I67" s="1294"/>
      <c r="J67" s="1243"/>
      <c r="K67" s="1170"/>
      <c r="L67" s="1243"/>
      <c r="M67" s="1295"/>
      <c r="N67" s="1296">
        <f t="shared" si="39"/>
        <v>0</v>
      </c>
      <c r="O67" s="1297"/>
      <c r="P67" s="1298"/>
      <c r="Q67" s="1243"/>
      <c r="R67" s="1170"/>
      <c r="S67" s="1244"/>
      <c r="T67" s="1294"/>
      <c r="U67" s="1243"/>
      <c r="V67" s="1170"/>
      <c r="W67" s="1243"/>
      <c r="X67" s="1448"/>
      <c r="Y67" s="1309">
        <f t="shared" si="23"/>
        <v>0</v>
      </c>
      <c r="Z67" s="1184">
        <f t="shared" si="11"/>
        <v>0</v>
      </c>
      <c r="AA67" s="1310">
        <f t="shared" si="37"/>
        <v>0</v>
      </c>
      <c r="AB67" s="1184">
        <f t="shared" si="38"/>
        <v>0</v>
      </c>
      <c r="AC67" s="1311"/>
      <c r="AD67" s="1312">
        <f t="shared" si="40"/>
        <v>0</v>
      </c>
      <c r="AE67" s="1302"/>
      <c r="AF67" s="1313"/>
      <c r="AG67" s="1314"/>
      <c r="AH67" s="1370" t="str">
        <f>IF(I67&gt;0,IF(AND(O67&gt;0,O67&lt;0.15,AE67&gt;0,AE67&lt;0.15,AF67&gt;0,AF67&lt;0.15,AG67&gt;0,AG67&lt;0.15),"","ЗЖДХ болон дээд хүүг сараар шивнэ үү."),"")</f>
        <v/>
      </c>
    </row>
    <row r="68" spans="1:34">
      <c r="A68" s="1441" t="s">
        <v>608</v>
      </c>
      <c r="B68" s="1308">
        <v>25</v>
      </c>
      <c r="C68" s="777" t="s">
        <v>609</v>
      </c>
      <c r="D68" s="1128">
        <v>56</v>
      </c>
      <c r="E68" s="1258">
        <f t="shared" ref="E68:W68" si="97">+SUM(E69:E72)</f>
        <v>0</v>
      </c>
      <c r="F68" s="1259">
        <f t="shared" ref="F68" si="98">+SUM(F69:F72)</f>
        <v>0</v>
      </c>
      <c r="G68" s="1260">
        <f t="shared" si="97"/>
        <v>0</v>
      </c>
      <c r="H68" s="1261">
        <f t="shared" ref="H68" si="99">+SUM(H69:H72)</f>
        <v>0</v>
      </c>
      <c r="I68" s="1258">
        <f t="shared" si="97"/>
        <v>0</v>
      </c>
      <c r="J68" s="1259">
        <f t="shared" ref="J68" si="100">+SUM(J69:J72)</f>
        <v>0</v>
      </c>
      <c r="K68" s="1260">
        <f t="shared" si="97"/>
        <v>0</v>
      </c>
      <c r="L68" s="1259">
        <f t="shared" ref="L68" si="101">+SUM(L69:L72)</f>
        <v>0</v>
      </c>
      <c r="M68" s="1260" t="str">
        <f>IFERROR(AVERAGE(M69:M72),"")</f>
        <v/>
      </c>
      <c r="N68" s="1262">
        <f t="shared" ref="N68" si="102">+SUM(N69:N72)</f>
        <v>0</v>
      </c>
      <c r="O68" s="1306" t="e">
        <f>(I69*O69+I70*O70+I71*O71+I72*O72)/I68</f>
        <v>#DIV/0!</v>
      </c>
      <c r="P68" s="1258">
        <f t="shared" si="97"/>
        <v>0</v>
      </c>
      <c r="Q68" s="1259">
        <f t="shared" ref="Q68" si="103">+SUM(Q69:Q72)</f>
        <v>0</v>
      </c>
      <c r="R68" s="1260">
        <f t="shared" si="97"/>
        <v>0</v>
      </c>
      <c r="S68" s="1261">
        <f t="shared" ref="S68" si="104">+SUM(S69:S72)</f>
        <v>0</v>
      </c>
      <c r="T68" s="1258">
        <f t="shared" si="97"/>
        <v>0</v>
      </c>
      <c r="U68" s="1259">
        <f t="shared" ref="U68" si="105">+SUM(U69:U72)</f>
        <v>0</v>
      </c>
      <c r="V68" s="1260">
        <f t="shared" si="97"/>
        <v>0</v>
      </c>
      <c r="W68" s="1259">
        <f t="shared" si="97"/>
        <v>0</v>
      </c>
      <c r="X68" s="1448"/>
      <c r="Y68" s="1258">
        <f t="shared" si="23"/>
        <v>0</v>
      </c>
      <c r="Z68" s="1265">
        <f t="shared" si="11"/>
        <v>0</v>
      </c>
      <c r="AA68" s="1260">
        <f t="shared" si="37"/>
        <v>0</v>
      </c>
      <c r="AB68" s="1265">
        <f t="shared" si="38"/>
        <v>0</v>
      </c>
      <c r="AC68" s="1209" t="str">
        <f>IFERROR(AVERAGE(AC69:AC72),"")</f>
        <v/>
      </c>
      <c r="AD68" s="1266">
        <f t="shared" ref="AD68" si="106">+SUM(AD69:AD72)</f>
        <v>0</v>
      </c>
      <c r="AE68" s="1267" t="e">
        <f>(Y69*AE69+Y70*AE70+Y71*AE71+Y72*AE72)/Y68</f>
        <v>#DIV/0!</v>
      </c>
      <c r="AF68" s="1268">
        <f>+MAX(AF69:AF72)</f>
        <v>0</v>
      </c>
      <c r="AG68" s="1269">
        <f t="array" ref="AG68">+MIN(IF(AG69:AG72&gt;0,AG69:AG72))</f>
        <v>0</v>
      </c>
      <c r="AH68" s="1370" t="str">
        <f>IF(SUM(Y69:Y72)&gt;0,IF(SUM(Z69:Z72)=0,"Зээлдэгчийн тоог бүрэн шивнэ үү.",""),"")</f>
        <v/>
      </c>
    </row>
    <row r="69" spans="1:34">
      <c r="A69" s="1442"/>
      <c r="B69" s="1270">
        <v>1</v>
      </c>
      <c r="C69" s="774" t="s">
        <v>163</v>
      </c>
      <c r="D69" s="1128">
        <v>57</v>
      </c>
      <c r="E69" s="1214"/>
      <c r="F69" s="1215"/>
      <c r="G69" s="1216"/>
      <c r="H69" s="1217"/>
      <c r="I69" s="1271"/>
      <c r="J69" s="1215"/>
      <c r="K69" s="1216"/>
      <c r="L69" s="1215"/>
      <c r="M69" s="1272"/>
      <c r="N69" s="1273">
        <f t="shared" si="39"/>
        <v>0</v>
      </c>
      <c r="O69" s="1274"/>
      <c r="P69" s="1275"/>
      <c r="Q69" s="1215"/>
      <c r="R69" s="1216"/>
      <c r="S69" s="1217"/>
      <c r="T69" s="1271"/>
      <c r="U69" s="1215"/>
      <c r="V69" s="1216"/>
      <c r="W69" s="1215"/>
      <c r="X69" s="1448"/>
      <c r="Y69" s="1276">
        <f t="shared" si="23"/>
        <v>0</v>
      </c>
      <c r="Z69" s="1277">
        <f t="shared" si="11"/>
        <v>0</v>
      </c>
      <c r="AA69" s="1278">
        <f t="shared" si="37"/>
        <v>0</v>
      </c>
      <c r="AB69" s="1277">
        <f t="shared" si="38"/>
        <v>0</v>
      </c>
      <c r="AC69" s="1279"/>
      <c r="AD69" s="1280">
        <f t="shared" si="40"/>
        <v>0</v>
      </c>
      <c r="AE69" s="1281"/>
      <c r="AF69" s="1281"/>
      <c r="AG69" s="1282"/>
      <c r="AH69" s="1370" t="str">
        <f>IF(I69&gt;0,IF(AND(O69&gt;0,O69&lt;0.15,AE69&gt;0,AE69&lt;0.15,AF69&gt;0,AF69&lt;0.15,AG69&gt;0,AG69&lt;0.15),"","ЗЖДХ болон дээд хүүг сараар шивнэ үү."),"")</f>
        <v/>
      </c>
    </row>
    <row r="70" spans="1:34">
      <c r="A70" s="1442"/>
      <c r="B70" s="1163">
        <v>2</v>
      </c>
      <c r="C70" s="1142" t="s">
        <v>574</v>
      </c>
      <c r="D70" s="1128">
        <v>58</v>
      </c>
      <c r="E70" s="1165"/>
      <c r="F70" s="1174"/>
      <c r="G70" s="1167"/>
      <c r="H70" s="1169"/>
      <c r="I70" s="1283"/>
      <c r="J70" s="1174"/>
      <c r="K70" s="1167"/>
      <c r="L70" s="1174"/>
      <c r="M70" s="1284"/>
      <c r="N70" s="1285">
        <f t="shared" si="39"/>
        <v>0</v>
      </c>
      <c r="O70" s="1286"/>
      <c r="P70" s="1287"/>
      <c r="Q70" s="1174"/>
      <c r="R70" s="1167"/>
      <c r="S70" s="1169"/>
      <c r="T70" s="1283"/>
      <c r="U70" s="1174"/>
      <c r="V70" s="1167"/>
      <c r="W70" s="1174"/>
      <c r="X70" s="1448"/>
      <c r="Y70" s="1288">
        <f t="shared" si="23"/>
        <v>0</v>
      </c>
      <c r="Z70" s="1172">
        <f t="shared" si="11"/>
        <v>0</v>
      </c>
      <c r="AA70" s="1173">
        <f t="shared" si="37"/>
        <v>0</v>
      </c>
      <c r="AB70" s="1172">
        <f t="shared" si="38"/>
        <v>0</v>
      </c>
      <c r="AC70" s="1289"/>
      <c r="AD70" s="1290">
        <f t="shared" si="40"/>
        <v>0</v>
      </c>
      <c r="AE70" s="1291"/>
      <c r="AF70" s="1291"/>
      <c r="AG70" s="1292"/>
      <c r="AH70" s="1370" t="str">
        <f>IF(I70&gt;0,IF(AND(O70&gt;0,O70&lt;0.15,AE70&gt;0,AE70&lt;0.15,AF70&gt;0,AF70&lt;0.15,AG70&gt;0,AG70&lt;0.15),"","ЗЖДХ болон дээд хүүг сараар шивнэ үү."),"")</f>
        <v/>
      </c>
    </row>
    <row r="71" spans="1:34">
      <c r="A71" s="1442"/>
      <c r="B71" s="1163">
        <v>3</v>
      </c>
      <c r="C71" s="1142" t="s">
        <v>575</v>
      </c>
      <c r="D71" s="1128">
        <v>59</v>
      </c>
      <c r="E71" s="1165"/>
      <c r="F71" s="1174"/>
      <c r="G71" s="1167"/>
      <c r="H71" s="1169"/>
      <c r="I71" s="1283"/>
      <c r="J71" s="1174"/>
      <c r="K71" s="1167"/>
      <c r="L71" s="1174"/>
      <c r="M71" s="1284"/>
      <c r="N71" s="1285">
        <f t="shared" si="39"/>
        <v>0</v>
      </c>
      <c r="O71" s="1286"/>
      <c r="P71" s="1287"/>
      <c r="Q71" s="1174"/>
      <c r="R71" s="1167"/>
      <c r="S71" s="1169"/>
      <c r="T71" s="1283"/>
      <c r="U71" s="1174"/>
      <c r="V71" s="1167"/>
      <c r="W71" s="1174"/>
      <c r="X71" s="1448"/>
      <c r="Y71" s="1288">
        <f t="shared" si="23"/>
        <v>0</v>
      </c>
      <c r="Z71" s="1172">
        <f t="shared" si="11"/>
        <v>0</v>
      </c>
      <c r="AA71" s="1173">
        <f t="shared" si="37"/>
        <v>0</v>
      </c>
      <c r="AB71" s="1172">
        <f t="shared" si="38"/>
        <v>0</v>
      </c>
      <c r="AC71" s="1289"/>
      <c r="AD71" s="1290">
        <f t="shared" si="40"/>
        <v>0</v>
      </c>
      <c r="AE71" s="1291"/>
      <c r="AF71" s="1291"/>
      <c r="AG71" s="1292"/>
      <c r="AH71" s="1370" t="str">
        <f>IF(I71&gt;0,IF(AND(O71&gt;0,O71&lt;0.15,AE71&gt;0,AE71&lt;0.15,AF71&gt;0,AF71&lt;0.15,AG71&gt;0,AG71&lt;0.15),"","ЗЖДХ болон дээд хүүг сараар шивнэ үү."),"")</f>
        <v/>
      </c>
    </row>
    <row r="72" spans="1:34">
      <c r="A72" s="1442"/>
      <c r="B72" s="1307">
        <v>4</v>
      </c>
      <c r="C72" s="1241" t="s">
        <v>576</v>
      </c>
      <c r="D72" s="1128">
        <v>60</v>
      </c>
      <c r="E72" s="1242"/>
      <c r="F72" s="1243"/>
      <c r="G72" s="1170"/>
      <c r="H72" s="1244"/>
      <c r="I72" s="1294"/>
      <c r="J72" s="1243"/>
      <c r="K72" s="1170"/>
      <c r="L72" s="1243"/>
      <c r="M72" s="1295"/>
      <c r="N72" s="1296">
        <f t="shared" si="39"/>
        <v>0</v>
      </c>
      <c r="O72" s="1297"/>
      <c r="P72" s="1298"/>
      <c r="Q72" s="1243"/>
      <c r="R72" s="1170"/>
      <c r="S72" s="1244"/>
      <c r="T72" s="1294"/>
      <c r="U72" s="1243"/>
      <c r="V72" s="1170"/>
      <c r="W72" s="1243"/>
      <c r="X72" s="1448"/>
      <c r="Y72" s="1309">
        <f t="shared" si="23"/>
        <v>0</v>
      </c>
      <c r="Z72" s="1184">
        <f t="shared" si="11"/>
        <v>0</v>
      </c>
      <c r="AA72" s="1310">
        <f t="shared" si="37"/>
        <v>0</v>
      </c>
      <c r="AB72" s="1184">
        <f t="shared" si="38"/>
        <v>0</v>
      </c>
      <c r="AC72" s="1311"/>
      <c r="AD72" s="1312">
        <f t="shared" si="40"/>
        <v>0</v>
      </c>
      <c r="AE72" s="1313"/>
      <c r="AF72" s="1313"/>
      <c r="AG72" s="1314"/>
      <c r="AH72" s="1370" t="str">
        <f>IF(I72&gt;0,IF(AND(O72&gt;0,O72&lt;0.15,AE72&gt;0,AE72&lt;0.15,AF72&gt;0,AF72&lt;0.15,AG72&gt;0,AG72&lt;0.15),"","ЗЖДХ болон дээд хүүг сараар шивнэ үү."),"")</f>
        <v/>
      </c>
    </row>
    <row r="73" spans="1:34" ht="25.5">
      <c r="A73" s="1441" t="s">
        <v>42</v>
      </c>
      <c r="B73" s="1308">
        <v>26</v>
      </c>
      <c r="C73" s="776" t="s">
        <v>610</v>
      </c>
      <c r="D73" s="1128">
        <v>61</v>
      </c>
      <c r="E73" s="1258">
        <f t="shared" ref="E73:W73" si="107">+SUM(E74:E77)</f>
        <v>0</v>
      </c>
      <c r="F73" s="1259">
        <f t="shared" ref="F73" si="108">+SUM(F74:F77)</f>
        <v>0</v>
      </c>
      <c r="G73" s="1260">
        <f t="shared" si="107"/>
        <v>0</v>
      </c>
      <c r="H73" s="1261">
        <f t="shared" ref="H73" si="109">+SUM(H74:H77)</f>
        <v>0</v>
      </c>
      <c r="I73" s="1258">
        <f t="shared" si="107"/>
        <v>0</v>
      </c>
      <c r="J73" s="1259">
        <f t="shared" ref="J73" si="110">+SUM(J74:J77)</f>
        <v>0</v>
      </c>
      <c r="K73" s="1260">
        <f t="shared" si="107"/>
        <v>0</v>
      </c>
      <c r="L73" s="1259">
        <f t="shared" ref="L73" si="111">+SUM(L74:L77)</f>
        <v>0</v>
      </c>
      <c r="M73" s="1260" t="str">
        <f>IFERROR(AVERAGE(M74:M77),"")</f>
        <v/>
      </c>
      <c r="N73" s="1262">
        <f t="shared" ref="N73" si="112">+SUM(N74:N77)</f>
        <v>0</v>
      </c>
      <c r="O73" s="1306" t="e">
        <f>(I74*O74+I75*O75+I76*O76+I77*O77)/I73</f>
        <v>#DIV/0!</v>
      </c>
      <c r="P73" s="1258">
        <f t="shared" si="107"/>
        <v>0</v>
      </c>
      <c r="Q73" s="1259">
        <f t="shared" ref="Q73" si="113">+SUM(Q74:Q77)</f>
        <v>0</v>
      </c>
      <c r="R73" s="1260">
        <f t="shared" si="107"/>
        <v>0</v>
      </c>
      <c r="S73" s="1261">
        <f t="shared" ref="S73" si="114">+SUM(S74:S77)</f>
        <v>0</v>
      </c>
      <c r="T73" s="1258">
        <f t="shared" si="107"/>
        <v>0</v>
      </c>
      <c r="U73" s="1259">
        <f t="shared" ref="U73" si="115">+SUM(U74:U77)</f>
        <v>0</v>
      </c>
      <c r="V73" s="1260">
        <f t="shared" si="107"/>
        <v>0</v>
      </c>
      <c r="W73" s="1259">
        <f t="shared" si="107"/>
        <v>0</v>
      </c>
      <c r="X73" s="1448"/>
      <c r="Y73" s="1258">
        <f t="shared" si="23"/>
        <v>0</v>
      </c>
      <c r="Z73" s="1265">
        <f t="shared" si="11"/>
        <v>0</v>
      </c>
      <c r="AA73" s="1260">
        <f t="shared" si="37"/>
        <v>0</v>
      </c>
      <c r="AB73" s="1265">
        <f t="shared" si="38"/>
        <v>0</v>
      </c>
      <c r="AC73" s="1209" t="str">
        <f>IFERROR(AVERAGE(AC74:AC77),"")</f>
        <v/>
      </c>
      <c r="AD73" s="1317">
        <f t="shared" ref="AD73" si="116">+SUM(AD74:AD77)</f>
        <v>0</v>
      </c>
      <c r="AE73" s="1306" t="e">
        <f>(Y74*AE74+Y75*AE75+Y76*AE76+Y77*AE77)/Y73</f>
        <v>#DIV/0!</v>
      </c>
      <c r="AF73" s="1268">
        <f>+MAX(AF74:AF77)</f>
        <v>0</v>
      </c>
      <c r="AG73" s="1269">
        <f t="array" ref="AG73">+MIN(IF(AG74:AG77&gt;0,AG74:AG77))</f>
        <v>0</v>
      </c>
      <c r="AH73" s="1370" t="str">
        <f>IF(SUM(Y74:Y77)&gt;0,IF(SUM(Z74:Z77)=0,"Зээлдэгчийн тоог бүрэн шивнэ үү.",""),"")</f>
        <v/>
      </c>
    </row>
    <row r="74" spans="1:34">
      <c r="A74" s="1442"/>
      <c r="B74" s="1270">
        <v>1</v>
      </c>
      <c r="C74" s="774" t="s">
        <v>163</v>
      </c>
      <c r="D74" s="1128">
        <v>62</v>
      </c>
      <c r="E74" s="1214"/>
      <c r="F74" s="1215"/>
      <c r="G74" s="1216"/>
      <c r="H74" s="1217"/>
      <c r="I74" s="1271"/>
      <c r="J74" s="1215"/>
      <c r="K74" s="1216"/>
      <c r="L74" s="1215"/>
      <c r="M74" s="1272"/>
      <c r="N74" s="1273">
        <f t="shared" si="39"/>
        <v>0</v>
      </c>
      <c r="O74" s="1274"/>
      <c r="P74" s="1275"/>
      <c r="Q74" s="1215"/>
      <c r="R74" s="1216"/>
      <c r="S74" s="1217"/>
      <c r="T74" s="1271"/>
      <c r="U74" s="1215"/>
      <c r="V74" s="1216"/>
      <c r="W74" s="1215"/>
      <c r="X74" s="1448"/>
      <c r="Y74" s="1276">
        <f t="shared" si="23"/>
        <v>0</v>
      </c>
      <c r="Z74" s="1277">
        <f t="shared" si="11"/>
        <v>0</v>
      </c>
      <c r="AA74" s="1278">
        <f t="shared" si="37"/>
        <v>0</v>
      </c>
      <c r="AB74" s="1277">
        <f t="shared" si="38"/>
        <v>0</v>
      </c>
      <c r="AC74" s="1279"/>
      <c r="AD74" s="1280">
        <f t="shared" si="40"/>
        <v>0</v>
      </c>
      <c r="AE74" s="1281"/>
      <c r="AF74" s="1281"/>
      <c r="AG74" s="1282"/>
      <c r="AH74" s="1370" t="str">
        <f>IF(I74&gt;0,IF(AND(O74&gt;0,O74&lt;0.15,AE74&gt;0,AE74&lt;0.15,AF74&gt;0,AF74&lt;0.15,AG74&gt;0,AG74&lt;0.15),"","ЗЖДХ болон дээд хүүг сараар шивнэ үү."),"")</f>
        <v/>
      </c>
    </row>
    <row r="75" spans="1:34">
      <c r="A75" s="1442"/>
      <c r="B75" s="1163">
        <v>2</v>
      </c>
      <c r="C75" s="1142" t="s">
        <v>574</v>
      </c>
      <c r="D75" s="1128">
        <v>63</v>
      </c>
      <c r="E75" s="1165"/>
      <c r="F75" s="1174"/>
      <c r="G75" s="1167"/>
      <c r="H75" s="1169"/>
      <c r="I75" s="1283"/>
      <c r="J75" s="1174"/>
      <c r="K75" s="1167"/>
      <c r="L75" s="1174"/>
      <c r="M75" s="1284"/>
      <c r="N75" s="1285">
        <f t="shared" si="39"/>
        <v>0</v>
      </c>
      <c r="O75" s="1286"/>
      <c r="P75" s="1287"/>
      <c r="Q75" s="1174"/>
      <c r="R75" s="1167"/>
      <c r="S75" s="1169"/>
      <c r="T75" s="1283"/>
      <c r="U75" s="1174"/>
      <c r="V75" s="1167"/>
      <c r="W75" s="1174"/>
      <c r="X75" s="1448"/>
      <c r="Y75" s="1288">
        <f t="shared" si="23"/>
        <v>0</v>
      </c>
      <c r="Z75" s="1172">
        <f t="shared" si="11"/>
        <v>0</v>
      </c>
      <c r="AA75" s="1173">
        <f t="shared" si="37"/>
        <v>0</v>
      </c>
      <c r="AB75" s="1172">
        <f t="shared" si="38"/>
        <v>0</v>
      </c>
      <c r="AC75" s="1289"/>
      <c r="AD75" s="1290">
        <f t="shared" si="40"/>
        <v>0</v>
      </c>
      <c r="AE75" s="1291"/>
      <c r="AF75" s="1291"/>
      <c r="AG75" s="1292"/>
      <c r="AH75" s="1370" t="str">
        <f>IF(I75&gt;0,IF(AND(O75&gt;0,O75&lt;0.15,AE75&gt;0,AE75&lt;0.15,AF75&gt;0,AF75&lt;0.15,AG75&gt;0,AG75&lt;0.15),"","ЗЖДХ болон дээд хүүг сараар шивнэ үү."),"")</f>
        <v/>
      </c>
    </row>
    <row r="76" spans="1:34">
      <c r="A76" s="1442"/>
      <c r="B76" s="1163">
        <v>3</v>
      </c>
      <c r="C76" s="1142" t="s">
        <v>575</v>
      </c>
      <c r="D76" s="1128">
        <v>64</v>
      </c>
      <c r="E76" s="1165"/>
      <c r="F76" s="1174"/>
      <c r="G76" s="1167"/>
      <c r="H76" s="1169"/>
      <c r="I76" s="1283"/>
      <c r="J76" s="1174"/>
      <c r="K76" s="1167"/>
      <c r="L76" s="1174"/>
      <c r="M76" s="1284"/>
      <c r="N76" s="1285">
        <f t="shared" si="39"/>
        <v>0</v>
      </c>
      <c r="O76" s="1286"/>
      <c r="P76" s="1287"/>
      <c r="Q76" s="1174"/>
      <c r="R76" s="1167"/>
      <c r="S76" s="1169"/>
      <c r="T76" s="1283"/>
      <c r="U76" s="1174"/>
      <c r="V76" s="1167"/>
      <c r="W76" s="1174"/>
      <c r="X76" s="1448"/>
      <c r="Y76" s="1288">
        <f t="shared" si="23"/>
        <v>0</v>
      </c>
      <c r="Z76" s="1172">
        <f t="shared" si="11"/>
        <v>0</v>
      </c>
      <c r="AA76" s="1173">
        <f t="shared" si="37"/>
        <v>0</v>
      </c>
      <c r="AB76" s="1172">
        <f t="shared" si="38"/>
        <v>0</v>
      </c>
      <c r="AC76" s="1289"/>
      <c r="AD76" s="1290">
        <f t="shared" si="40"/>
        <v>0</v>
      </c>
      <c r="AE76" s="1291"/>
      <c r="AF76" s="1291"/>
      <c r="AG76" s="1292"/>
      <c r="AH76" s="1370" t="str">
        <f>IF(I76&gt;0,IF(AND(O76&gt;0,O76&lt;0.15,AE76&gt;0,AE76&lt;0.15,AF76&gt;0,AF76&lt;0.15,AG76&gt;0,AG76&lt;0.15),"","ЗЖДХ болон дээд хүүг сараар шивнэ үү."),"")</f>
        <v/>
      </c>
    </row>
    <row r="77" spans="1:34">
      <c r="A77" s="1442"/>
      <c r="B77" s="1307">
        <v>4</v>
      </c>
      <c r="C77" s="1241" t="s">
        <v>576</v>
      </c>
      <c r="D77" s="1128">
        <v>65</v>
      </c>
      <c r="E77" s="1242"/>
      <c r="F77" s="1243"/>
      <c r="G77" s="1170"/>
      <c r="H77" s="1244"/>
      <c r="I77" s="1294"/>
      <c r="J77" s="1243"/>
      <c r="K77" s="1170"/>
      <c r="L77" s="1243"/>
      <c r="M77" s="1295"/>
      <c r="N77" s="1296">
        <f t="shared" si="39"/>
        <v>0</v>
      </c>
      <c r="O77" s="1297"/>
      <c r="P77" s="1298"/>
      <c r="Q77" s="1243"/>
      <c r="R77" s="1170"/>
      <c r="S77" s="1244"/>
      <c r="T77" s="1294"/>
      <c r="U77" s="1243"/>
      <c r="V77" s="1170"/>
      <c r="W77" s="1243"/>
      <c r="X77" s="1448"/>
      <c r="Y77" s="1309">
        <f t="shared" si="23"/>
        <v>0</v>
      </c>
      <c r="Z77" s="1184">
        <f t="shared" si="11"/>
        <v>0</v>
      </c>
      <c r="AA77" s="1310">
        <f t="shared" si="37"/>
        <v>0</v>
      </c>
      <c r="AB77" s="1184">
        <f t="shared" si="38"/>
        <v>0</v>
      </c>
      <c r="AC77" s="1311"/>
      <c r="AD77" s="1312">
        <f t="shared" si="40"/>
        <v>0</v>
      </c>
      <c r="AE77" s="1302"/>
      <c r="AF77" s="1313"/>
      <c r="AG77" s="1314"/>
      <c r="AH77" s="1370" t="str">
        <f>IF(I77&gt;0,IF(AND(O77&gt;0,O77&lt;0.15,AE77&gt;0,AE77&lt;0.15,AF77&gt;0,AF77&lt;0.15,AG77&gt;0,AG77&lt;0.15),"","ЗЖДХ болон дээд хүүг сараар шивнэ үү."),"")</f>
        <v/>
      </c>
    </row>
    <row r="78" spans="1:34">
      <c r="A78" s="1441" t="s">
        <v>611</v>
      </c>
      <c r="B78" s="1308">
        <v>27</v>
      </c>
      <c r="C78" s="777" t="s">
        <v>612</v>
      </c>
      <c r="D78" s="1128">
        <v>66</v>
      </c>
      <c r="E78" s="1258">
        <f t="shared" ref="E78:W78" si="117">+SUM(E79:E82)</f>
        <v>0</v>
      </c>
      <c r="F78" s="1259">
        <f t="shared" ref="F78" si="118">+SUM(F79:F82)</f>
        <v>0</v>
      </c>
      <c r="G78" s="1260">
        <f t="shared" si="117"/>
        <v>0</v>
      </c>
      <c r="H78" s="1261">
        <f t="shared" ref="H78" si="119">+SUM(H79:H82)</f>
        <v>0</v>
      </c>
      <c r="I78" s="1258">
        <f t="shared" si="117"/>
        <v>0</v>
      </c>
      <c r="J78" s="1259">
        <f t="shared" ref="J78" si="120">+SUM(J79:J82)</f>
        <v>0</v>
      </c>
      <c r="K78" s="1260">
        <f t="shared" si="117"/>
        <v>0</v>
      </c>
      <c r="L78" s="1259">
        <f t="shared" ref="L78" si="121">+SUM(L79:L82)</f>
        <v>0</v>
      </c>
      <c r="M78" s="1260" t="str">
        <f>IFERROR(AVERAGE(M79:M82),"")</f>
        <v/>
      </c>
      <c r="N78" s="1262">
        <f t="shared" ref="N78" si="122">+SUM(N79:N82)</f>
        <v>0</v>
      </c>
      <c r="O78" s="1306" t="e">
        <f>(I79*O79+I80*O80+I81*O81+I82*O82)/I78</f>
        <v>#DIV/0!</v>
      </c>
      <c r="P78" s="1258">
        <f t="shared" si="117"/>
        <v>0</v>
      </c>
      <c r="Q78" s="1259">
        <f t="shared" ref="Q78" si="123">+SUM(Q79:Q82)</f>
        <v>0</v>
      </c>
      <c r="R78" s="1260">
        <f t="shared" si="117"/>
        <v>0</v>
      </c>
      <c r="S78" s="1261">
        <f t="shared" ref="S78" si="124">+SUM(S79:S82)</f>
        <v>0</v>
      </c>
      <c r="T78" s="1258">
        <f t="shared" si="117"/>
        <v>0</v>
      </c>
      <c r="U78" s="1259">
        <f t="shared" ref="U78" si="125">+SUM(U79:U82)</f>
        <v>0</v>
      </c>
      <c r="V78" s="1260">
        <f t="shared" si="117"/>
        <v>0</v>
      </c>
      <c r="W78" s="1259">
        <f t="shared" si="117"/>
        <v>0</v>
      </c>
      <c r="X78" s="1448"/>
      <c r="Y78" s="1258">
        <f t="shared" si="23"/>
        <v>0</v>
      </c>
      <c r="Z78" s="1265">
        <f t="shared" si="11"/>
        <v>0</v>
      </c>
      <c r="AA78" s="1260">
        <f t="shared" si="37"/>
        <v>0</v>
      </c>
      <c r="AB78" s="1265">
        <f t="shared" si="38"/>
        <v>0</v>
      </c>
      <c r="AC78" s="1209" t="str">
        <f>IFERROR(AVERAGE(AC79:AC82),"")</f>
        <v/>
      </c>
      <c r="AD78" s="1266">
        <f t="shared" ref="AD78" si="126">+SUM(AD79:AD82)</f>
        <v>0</v>
      </c>
      <c r="AE78" s="1267" t="e">
        <f>(Y79*AE79+Y80*AE80+Y81*AE81+Y82*AE82)/Y78</f>
        <v>#DIV/0!</v>
      </c>
      <c r="AF78" s="1268">
        <f>+MAX(AF79:AF82)</f>
        <v>0</v>
      </c>
      <c r="AG78" s="1269">
        <f t="array" ref="AG78">+MIN(IF(AG79:AG82&gt;0,AG79:AG82))</f>
        <v>0</v>
      </c>
      <c r="AH78" s="1370" t="str">
        <f>IF(SUM(Y79:Y82)&gt;0,IF(SUM(Z79:Z82)=0,"Зээлдэгчийн тоог бүрэн шивнэ үү.",""),"")</f>
        <v/>
      </c>
    </row>
    <row r="79" spans="1:34">
      <c r="A79" s="1442"/>
      <c r="B79" s="1270">
        <v>1</v>
      </c>
      <c r="C79" s="774" t="s">
        <v>163</v>
      </c>
      <c r="D79" s="1128">
        <v>67</v>
      </c>
      <c r="E79" s="1214"/>
      <c r="F79" s="1215"/>
      <c r="G79" s="1216"/>
      <c r="H79" s="1217"/>
      <c r="I79" s="1271"/>
      <c r="J79" s="1215"/>
      <c r="K79" s="1216"/>
      <c r="L79" s="1215"/>
      <c r="M79" s="1272"/>
      <c r="N79" s="1273">
        <f t="shared" si="39"/>
        <v>0</v>
      </c>
      <c r="O79" s="1274"/>
      <c r="P79" s="1275"/>
      <c r="Q79" s="1215"/>
      <c r="R79" s="1216"/>
      <c r="S79" s="1217"/>
      <c r="T79" s="1271"/>
      <c r="U79" s="1215"/>
      <c r="V79" s="1216"/>
      <c r="W79" s="1215"/>
      <c r="X79" s="1448"/>
      <c r="Y79" s="1276">
        <f t="shared" si="23"/>
        <v>0</v>
      </c>
      <c r="Z79" s="1277">
        <f t="shared" si="11"/>
        <v>0</v>
      </c>
      <c r="AA79" s="1278">
        <f t="shared" si="37"/>
        <v>0</v>
      </c>
      <c r="AB79" s="1277">
        <f t="shared" si="38"/>
        <v>0</v>
      </c>
      <c r="AC79" s="1279"/>
      <c r="AD79" s="1280">
        <f t="shared" si="40"/>
        <v>0</v>
      </c>
      <c r="AE79" s="1281"/>
      <c r="AF79" s="1281"/>
      <c r="AG79" s="1282"/>
      <c r="AH79" s="1370" t="str">
        <f>IF(I79&gt;0,IF(AND(O79&gt;0,O79&lt;0.15,AE79&gt;0,AE79&lt;0.15,AF79&gt;0,AF79&lt;0.15,AG79&gt;0,AG79&lt;0.15),"","ЗЖДХ болон дээд хүүг сараар шивнэ үү."),"")</f>
        <v/>
      </c>
    </row>
    <row r="80" spans="1:34">
      <c r="A80" s="1442"/>
      <c r="B80" s="1163">
        <v>2</v>
      </c>
      <c r="C80" s="1142" t="s">
        <v>574</v>
      </c>
      <c r="D80" s="1128">
        <v>68</v>
      </c>
      <c r="E80" s="1165"/>
      <c r="F80" s="1174"/>
      <c r="G80" s="1167"/>
      <c r="H80" s="1169"/>
      <c r="I80" s="1283"/>
      <c r="J80" s="1174"/>
      <c r="K80" s="1167"/>
      <c r="L80" s="1174"/>
      <c r="M80" s="1284"/>
      <c r="N80" s="1285">
        <f t="shared" si="39"/>
        <v>0</v>
      </c>
      <c r="O80" s="1286"/>
      <c r="P80" s="1287"/>
      <c r="Q80" s="1174"/>
      <c r="R80" s="1167"/>
      <c r="S80" s="1169"/>
      <c r="T80" s="1283"/>
      <c r="U80" s="1174"/>
      <c r="V80" s="1167"/>
      <c r="W80" s="1174"/>
      <c r="X80" s="1448"/>
      <c r="Y80" s="1288">
        <f t="shared" si="23"/>
        <v>0</v>
      </c>
      <c r="Z80" s="1172">
        <f t="shared" ref="Z80:Z143" si="127">+F80+J80-U80</f>
        <v>0</v>
      </c>
      <c r="AA80" s="1173">
        <f t="shared" si="37"/>
        <v>0</v>
      </c>
      <c r="AB80" s="1172">
        <f t="shared" si="38"/>
        <v>0</v>
      </c>
      <c r="AC80" s="1289"/>
      <c r="AD80" s="1290">
        <f t="shared" si="40"/>
        <v>0</v>
      </c>
      <c r="AE80" s="1291"/>
      <c r="AF80" s="1291"/>
      <c r="AG80" s="1292"/>
      <c r="AH80" s="1370" t="str">
        <f>IF(I80&gt;0,IF(AND(O80&gt;0,O80&lt;0.15,AE80&gt;0,AE80&lt;0.15,AF80&gt;0,AF80&lt;0.15,AG80&gt;0,AG80&lt;0.15),"","ЗЖДХ болон дээд хүүг сараар шивнэ үү."),"")</f>
        <v/>
      </c>
    </row>
    <row r="81" spans="1:34">
      <c r="A81" s="1442"/>
      <c r="B81" s="1163">
        <v>3</v>
      </c>
      <c r="C81" s="1142" t="s">
        <v>575</v>
      </c>
      <c r="D81" s="1128">
        <v>69</v>
      </c>
      <c r="E81" s="1165"/>
      <c r="F81" s="1174"/>
      <c r="G81" s="1167"/>
      <c r="H81" s="1169"/>
      <c r="I81" s="1283"/>
      <c r="J81" s="1174"/>
      <c r="K81" s="1167"/>
      <c r="L81" s="1174"/>
      <c r="M81" s="1284"/>
      <c r="N81" s="1285">
        <f t="shared" si="39"/>
        <v>0</v>
      </c>
      <c r="O81" s="1286"/>
      <c r="P81" s="1287"/>
      <c r="Q81" s="1174"/>
      <c r="R81" s="1167"/>
      <c r="S81" s="1169"/>
      <c r="T81" s="1283"/>
      <c r="U81" s="1174"/>
      <c r="V81" s="1167"/>
      <c r="W81" s="1174"/>
      <c r="X81" s="1448"/>
      <c r="Y81" s="1288">
        <f t="shared" si="23"/>
        <v>0</v>
      </c>
      <c r="Z81" s="1172">
        <f t="shared" si="127"/>
        <v>0</v>
      </c>
      <c r="AA81" s="1173">
        <f t="shared" si="37"/>
        <v>0</v>
      </c>
      <c r="AB81" s="1172">
        <f t="shared" si="38"/>
        <v>0</v>
      </c>
      <c r="AC81" s="1289"/>
      <c r="AD81" s="1290">
        <f t="shared" si="40"/>
        <v>0</v>
      </c>
      <c r="AE81" s="1291"/>
      <c r="AF81" s="1291"/>
      <c r="AG81" s="1292"/>
      <c r="AH81" s="1370" t="str">
        <f>IF(I81&gt;0,IF(AND(O81&gt;0,O81&lt;0.15,AE81&gt;0,AE81&lt;0.15,AF81&gt;0,AF81&lt;0.15,AG81&gt;0,AG81&lt;0.15),"","ЗЖДХ болон дээд хүүг сараар шивнэ үү."),"")</f>
        <v/>
      </c>
    </row>
    <row r="82" spans="1:34">
      <c r="A82" s="1442"/>
      <c r="B82" s="1307">
        <v>4</v>
      </c>
      <c r="C82" s="1241" t="s">
        <v>576</v>
      </c>
      <c r="D82" s="1128">
        <v>70</v>
      </c>
      <c r="E82" s="1242"/>
      <c r="F82" s="1243"/>
      <c r="G82" s="1170"/>
      <c r="H82" s="1244"/>
      <c r="I82" s="1294"/>
      <c r="J82" s="1243"/>
      <c r="K82" s="1170"/>
      <c r="L82" s="1243"/>
      <c r="M82" s="1295"/>
      <c r="N82" s="1296">
        <f t="shared" si="39"/>
        <v>0</v>
      </c>
      <c r="O82" s="1316"/>
      <c r="P82" s="1298"/>
      <c r="Q82" s="1243"/>
      <c r="R82" s="1170"/>
      <c r="S82" s="1244"/>
      <c r="T82" s="1294"/>
      <c r="U82" s="1243"/>
      <c r="V82" s="1170"/>
      <c r="W82" s="1243"/>
      <c r="X82" s="1448"/>
      <c r="Y82" s="1309">
        <f t="shared" ref="Y82:Y145" si="128">ROUND(SUM(E82,I82,-P82,-T82),2)</f>
        <v>0</v>
      </c>
      <c r="Z82" s="1184">
        <f t="shared" si="127"/>
        <v>0</v>
      </c>
      <c r="AA82" s="1310">
        <f t="shared" si="37"/>
        <v>0</v>
      </c>
      <c r="AB82" s="1184">
        <f t="shared" si="38"/>
        <v>0</v>
      </c>
      <c r="AC82" s="1311"/>
      <c r="AD82" s="1312">
        <f t="shared" si="40"/>
        <v>0</v>
      </c>
      <c r="AE82" s="1302"/>
      <c r="AF82" s="1313"/>
      <c r="AG82" s="1314"/>
      <c r="AH82" s="1370" t="str">
        <f>IF(I82&gt;0,IF(AND(O82&gt;0,O82&lt;0.15,AE82&gt;0,AE82&lt;0.15,AF82&gt;0,AF82&lt;0.15,AG82&gt;0,AG82&lt;0.15),"","ЗЖДХ болон дээд хүүг сараар шивнэ үү."),"")</f>
        <v/>
      </c>
    </row>
    <row r="83" spans="1:34">
      <c r="A83" s="1441" t="s">
        <v>613</v>
      </c>
      <c r="B83" s="1308">
        <v>28</v>
      </c>
      <c r="C83" s="777" t="s">
        <v>614</v>
      </c>
      <c r="D83" s="1128">
        <v>71</v>
      </c>
      <c r="E83" s="1258">
        <f t="shared" ref="E83:W83" si="129">+SUM(E84:E87)</f>
        <v>0</v>
      </c>
      <c r="F83" s="1259">
        <f t="shared" ref="F83" si="130">+SUM(F84:F87)</f>
        <v>0</v>
      </c>
      <c r="G83" s="1260">
        <f t="shared" si="129"/>
        <v>0</v>
      </c>
      <c r="H83" s="1261">
        <f t="shared" ref="H83" si="131">+SUM(H84:H87)</f>
        <v>0</v>
      </c>
      <c r="I83" s="1258">
        <f t="shared" si="129"/>
        <v>0</v>
      </c>
      <c r="J83" s="1259">
        <f t="shared" ref="J83" si="132">+SUM(J84:J87)</f>
        <v>0</v>
      </c>
      <c r="K83" s="1260">
        <f t="shared" si="129"/>
        <v>0</v>
      </c>
      <c r="L83" s="1259">
        <f t="shared" ref="L83" si="133">+SUM(L84:L87)</f>
        <v>0</v>
      </c>
      <c r="M83" s="1260" t="str">
        <f>IFERROR(AVERAGE(M84:M87),"")</f>
        <v/>
      </c>
      <c r="N83" s="1203">
        <f t="shared" ref="N83" si="134">+SUM(N84:N87)</f>
        <v>0</v>
      </c>
      <c r="O83" s="1267" t="e">
        <f>(I84*O84+I85*O85+I86*O86+I87*O87)/I83</f>
        <v>#DIV/0!</v>
      </c>
      <c r="P83" s="1258">
        <f t="shared" si="129"/>
        <v>0</v>
      </c>
      <c r="Q83" s="1259">
        <f t="shared" ref="Q83" si="135">+SUM(Q84:Q87)</f>
        <v>0</v>
      </c>
      <c r="R83" s="1260">
        <f t="shared" si="129"/>
        <v>0</v>
      </c>
      <c r="S83" s="1261">
        <f t="shared" ref="S83" si="136">+SUM(S84:S87)</f>
        <v>0</v>
      </c>
      <c r="T83" s="1258">
        <f t="shared" si="129"/>
        <v>0</v>
      </c>
      <c r="U83" s="1259">
        <f t="shared" ref="U83" si="137">+SUM(U84:U87)</f>
        <v>0</v>
      </c>
      <c r="V83" s="1260">
        <f t="shared" si="129"/>
        <v>0</v>
      </c>
      <c r="W83" s="1259">
        <f t="shared" si="129"/>
        <v>0</v>
      </c>
      <c r="X83" s="1448"/>
      <c r="Y83" s="1258">
        <f t="shared" si="128"/>
        <v>0</v>
      </c>
      <c r="Z83" s="1265">
        <f t="shared" si="127"/>
        <v>0</v>
      </c>
      <c r="AA83" s="1260">
        <f t="shared" si="37"/>
        <v>0</v>
      </c>
      <c r="AB83" s="1265">
        <f t="shared" si="38"/>
        <v>0</v>
      </c>
      <c r="AC83" s="1209" t="str">
        <f>IFERROR(AVERAGE(AC84:AC87),"")</f>
        <v/>
      </c>
      <c r="AD83" s="1266">
        <f t="shared" ref="AD83" si="138">+SUM(AD84:AD87)</f>
        <v>0</v>
      </c>
      <c r="AE83" s="1267" t="e">
        <f>(Y84*AE84+Y85*AE85+Y86*AE86+Y87*AE87)/Y83</f>
        <v>#DIV/0!</v>
      </c>
      <c r="AF83" s="1268">
        <f>+MAX(AF84:AF87)</f>
        <v>0</v>
      </c>
      <c r="AG83" s="1269">
        <f t="array" ref="AG83">+MIN(IF(AG84:AG87&gt;0,AG84:AG87))</f>
        <v>0</v>
      </c>
      <c r="AH83" s="1370" t="str">
        <f>IF(SUM(Y84:Y87)&gt;0,IF(SUM(Z84:Z87)=0,"Зээлдэгчийн тоог бүрэн шивнэ үү.",""),"")</f>
        <v/>
      </c>
    </row>
    <row r="84" spans="1:34">
      <c r="A84" s="1442"/>
      <c r="B84" s="1270">
        <v>1</v>
      </c>
      <c r="C84" s="774" t="s">
        <v>163</v>
      </c>
      <c r="D84" s="1128">
        <v>72</v>
      </c>
      <c r="E84" s="1214"/>
      <c r="F84" s="1215"/>
      <c r="G84" s="1216"/>
      <c r="H84" s="1217"/>
      <c r="I84" s="1271"/>
      <c r="J84" s="1215"/>
      <c r="K84" s="1216"/>
      <c r="L84" s="1215"/>
      <c r="M84" s="1272"/>
      <c r="N84" s="1273">
        <f t="shared" si="39"/>
        <v>0</v>
      </c>
      <c r="O84" s="1274"/>
      <c r="P84" s="1275"/>
      <c r="Q84" s="1215"/>
      <c r="R84" s="1216"/>
      <c r="S84" s="1217"/>
      <c r="T84" s="1271"/>
      <c r="U84" s="1215"/>
      <c r="V84" s="1216"/>
      <c r="W84" s="1215"/>
      <c r="X84" s="1448"/>
      <c r="Y84" s="1276">
        <f t="shared" si="128"/>
        <v>0</v>
      </c>
      <c r="Z84" s="1277">
        <f t="shared" si="127"/>
        <v>0</v>
      </c>
      <c r="AA84" s="1278">
        <f t="shared" si="37"/>
        <v>0</v>
      </c>
      <c r="AB84" s="1277">
        <f t="shared" si="38"/>
        <v>0</v>
      </c>
      <c r="AC84" s="1279"/>
      <c r="AD84" s="1280">
        <f t="shared" si="40"/>
        <v>0</v>
      </c>
      <c r="AE84" s="1281"/>
      <c r="AF84" s="1281"/>
      <c r="AG84" s="1282"/>
      <c r="AH84" s="1370" t="str">
        <f>IF(I84&gt;0,IF(AND(O84&gt;0,O84&lt;0.15,AE84&gt;0,AE84&lt;0.15,AF84&gt;0,AF84&lt;0.15,AG84&gt;0,AG84&lt;0.15),"","ЗЖДХ болон дээд хүүг сараар шивнэ үү."),"")</f>
        <v/>
      </c>
    </row>
    <row r="85" spans="1:34">
      <c r="A85" s="1442"/>
      <c r="B85" s="1163">
        <v>2</v>
      </c>
      <c r="C85" s="1142" t="s">
        <v>574</v>
      </c>
      <c r="D85" s="1128">
        <v>73</v>
      </c>
      <c r="E85" s="1165"/>
      <c r="F85" s="1174"/>
      <c r="G85" s="1167"/>
      <c r="H85" s="1169"/>
      <c r="I85" s="1283"/>
      <c r="J85" s="1174"/>
      <c r="K85" s="1167"/>
      <c r="L85" s="1174"/>
      <c r="M85" s="1284"/>
      <c r="N85" s="1285">
        <f t="shared" si="39"/>
        <v>0</v>
      </c>
      <c r="O85" s="1286"/>
      <c r="P85" s="1287"/>
      <c r="Q85" s="1174"/>
      <c r="R85" s="1167"/>
      <c r="S85" s="1169"/>
      <c r="T85" s="1283"/>
      <c r="U85" s="1174"/>
      <c r="V85" s="1167"/>
      <c r="W85" s="1174"/>
      <c r="X85" s="1448"/>
      <c r="Y85" s="1288">
        <f t="shared" si="128"/>
        <v>0</v>
      </c>
      <c r="Z85" s="1172">
        <f t="shared" si="127"/>
        <v>0</v>
      </c>
      <c r="AA85" s="1173">
        <f t="shared" si="37"/>
        <v>0</v>
      </c>
      <c r="AB85" s="1172">
        <f t="shared" si="38"/>
        <v>0</v>
      </c>
      <c r="AC85" s="1289"/>
      <c r="AD85" s="1290">
        <f t="shared" si="40"/>
        <v>0</v>
      </c>
      <c r="AE85" s="1291"/>
      <c r="AF85" s="1291"/>
      <c r="AG85" s="1292"/>
      <c r="AH85" s="1370" t="str">
        <f>IF(I85&gt;0,IF(AND(O85&gt;0,O85&lt;0.15,AE85&gt;0,AE85&lt;0.15,AF85&gt;0,AF85&lt;0.15,AG85&gt;0,AG85&lt;0.15),"","ЗЖДХ болон дээд хүүг сараар шивнэ үү."),"")</f>
        <v/>
      </c>
    </row>
    <row r="86" spans="1:34">
      <c r="A86" s="1442"/>
      <c r="B86" s="1163">
        <v>3</v>
      </c>
      <c r="C86" s="1142" t="s">
        <v>575</v>
      </c>
      <c r="D86" s="1128">
        <v>74</v>
      </c>
      <c r="E86" s="1165"/>
      <c r="F86" s="1174"/>
      <c r="G86" s="1167"/>
      <c r="H86" s="1169"/>
      <c r="I86" s="1283"/>
      <c r="J86" s="1174"/>
      <c r="K86" s="1167"/>
      <c r="L86" s="1174"/>
      <c r="M86" s="1284"/>
      <c r="N86" s="1285">
        <f t="shared" si="39"/>
        <v>0</v>
      </c>
      <c r="O86" s="1286"/>
      <c r="P86" s="1287"/>
      <c r="Q86" s="1174"/>
      <c r="R86" s="1167"/>
      <c r="S86" s="1169"/>
      <c r="T86" s="1283"/>
      <c r="U86" s="1174"/>
      <c r="V86" s="1167"/>
      <c r="W86" s="1174"/>
      <c r="X86" s="1448"/>
      <c r="Y86" s="1288">
        <f t="shared" si="128"/>
        <v>0</v>
      </c>
      <c r="Z86" s="1172">
        <f t="shared" si="127"/>
        <v>0</v>
      </c>
      <c r="AA86" s="1173">
        <f t="shared" si="37"/>
        <v>0</v>
      </c>
      <c r="AB86" s="1172">
        <f t="shared" si="38"/>
        <v>0</v>
      </c>
      <c r="AC86" s="1289"/>
      <c r="AD86" s="1290">
        <f t="shared" si="40"/>
        <v>0</v>
      </c>
      <c r="AE86" s="1291"/>
      <c r="AF86" s="1291"/>
      <c r="AG86" s="1292"/>
      <c r="AH86" s="1370" t="str">
        <f>IF(I86&gt;0,IF(AND(O86&gt;0,O86&lt;0.15,AE86&gt;0,AE86&lt;0.15,AF86&gt;0,AF86&lt;0.15,AG86&gt;0,AG86&lt;0.15),"","ЗЖДХ болон дээд хүүг сараар шивнэ үү."),"")</f>
        <v/>
      </c>
    </row>
    <row r="87" spans="1:34">
      <c r="A87" s="1442"/>
      <c r="B87" s="1307">
        <v>4</v>
      </c>
      <c r="C87" s="1241" t="s">
        <v>576</v>
      </c>
      <c r="D87" s="1128">
        <v>75</v>
      </c>
      <c r="E87" s="1242"/>
      <c r="F87" s="1243"/>
      <c r="G87" s="1170"/>
      <c r="H87" s="1244"/>
      <c r="I87" s="1294"/>
      <c r="J87" s="1243"/>
      <c r="K87" s="1170"/>
      <c r="L87" s="1243"/>
      <c r="M87" s="1295"/>
      <c r="N87" s="1296">
        <f t="shared" si="39"/>
        <v>0</v>
      </c>
      <c r="O87" s="1297"/>
      <c r="P87" s="1298"/>
      <c r="Q87" s="1243"/>
      <c r="R87" s="1170"/>
      <c r="S87" s="1244"/>
      <c r="T87" s="1294"/>
      <c r="U87" s="1243"/>
      <c r="V87" s="1170"/>
      <c r="W87" s="1243"/>
      <c r="X87" s="1448"/>
      <c r="Y87" s="1309">
        <f t="shared" si="128"/>
        <v>0</v>
      </c>
      <c r="Z87" s="1184">
        <f t="shared" si="127"/>
        <v>0</v>
      </c>
      <c r="AA87" s="1310">
        <f t="shared" si="37"/>
        <v>0</v>
      </c>
      <c r="AB87" s="1184">
        <f t="shared" si="38"/>
        <v>0</v>
      </c>
      <c r="AC87" s="1311"/>
      <c r="AD87" s="1312">
        <f t="shared" si="40"/>
        <v>0</v>
      </c>
      <c r="AE87" s="1313"/>
      <c r="AF87" s="1313"/>
      <c r="AG87" s="1314"/>
      <c r="AH87" s="1370" t="str">
        <f>IF(I87&gt;0,IF(AND(O87&gt;0,O87&lt;0.15,AE87&gt;0,AE87&lt;0.15,AF87&gt;0,AF87&lt;0.15,AG87&gt;0,AG87&lt;0.15),"","ЗЖДХ болон дээд хүүг сараар шивнэ үү."),"")</f>
        <v/>
      </c>
    </row>
    <row r="88" spans="1:34">
      <c r="A88" s="1441" t="s">
        <v>615</v>
      </c>
      <c r="B88" s="1308">
        <v>29</v>
      </c>
      <c r="C88" s="776" t="s">
        <v>616</v>
      </c>
      <c r="D88" s="1128">
        <v>76</v>
      </c>
      <c r="E88" s="1258">
        <f t="shared" ref="E88:W88" si="139">+SUM(E89:E92)</f>
        <v>0</v>
      </c>
      <c r="F88" s="1259">
        <f t="shared" ref="F88" si="140">+SUM(F89:F92)</f>
        <v>0</v>
      </c>
      <c r="G88" s="1260">
        <f t="shared" si="139"/>
        <v>0</v>
      </c>
      <c r="H88" s="1261">
        <f t="shared" ref="H88" si="141">+SUM(H89:H92)</f>
        <v>0</v>
      </c>
      <c r="I88" s="1258">
        <f t="shared" si="139"/>
        <v>0</v>
      </c>
      <c r="J88" s="1259">
        <f t="shared" ref="J88" si="142">+SUM(J89:J92)</f>
        <v>0</v>
      </c>
      <c r="K88" s="1260">
        <f t="shared" si="139"/>
        <v>0</v>
      </c>
      <c r="L88" s="1259">
        <f t="shared" ref="L88" si="143">+SUM(L89:L92)</f>
        <v>0</v>
      </c>
      <c r="M88" s="1260" t="str">
        <f>IFERROR(AVERAGE(M89:M92),"")</f>
        <v/>
      </c>
      <c r="N88" s="1262">
        <f t="shared" ref="N88" si="144">+SUM(N89:N92)</f>
        <v>0</v>
      </c>
      <c r="O88" s="1306" t="e">
        <f>(I89*O89+I90*O90+I91*O91+I92*O92)/I88</f>
        <v>#DIV/0!</v>
      </c>
      <c r="P88" s="1258">
        <f t="shared" si="139"/>
        <v>0</v>
      </c>
      <c r="Q88" s="1259">
        <f t="shared" ref="Q88" si="145">+SUM(Q89:Q92)</f>
        <v>0</v>
      </c>
      <c r="R88" s="1260">
        <f t="shared" si="139"/>
        <v>0</v>
      </c>
      <c r="S88" s="1261">
        <f t="shared" ref="S88" si="146">+SUM(S89:S92)</f>
        <v>0</v>
      </c>
      <c r="T88" s="1258">
        <f t="shared" si="139"/>
        <v>0</v>
      </c>
      <c r="U88" s="1259">
        <f t="shared" ref="U88" si="147">+SUM(U89:U92)</f>
        <v>0</v>
      </c>
      <c r="V88" s="1260">
        <f t="shared" si="139"/>
        <v>0</v>
      </c>
      <c r="W88" s="1259">
        <f t="shared" si="139"/>
        <v>0</v>
      </c>
      <c r="X88" s="1448"/>
      <c r="Y88" s="1258">
        <f t="shared" si="128"/>
        <v>0</v>
      </c>
      <c r="Z88" s="1265">
        <f t="shared" si="127"/>
        <v>0</v>
      </c>
      <c r="AA88" s="1260">
        <f t="shared" si="37"/>
        <v>0</v>
      </c>
      <c r="AB88" s="1265">
        <f t="shared" si="38"/>
        <v>0</v>
      </c>
      <c r="AC88" s="1209" t="str">
        <f>IFERROR(AVERAGE(AC89:AC92),"")</f>
        <v/>
      </c>
      <c r="AD88" s="1317">
        <f t="shared" ref="AD88" si="148">+SUM(AD89:AD92)</f>
        <v>0</v>
      </c>
      <c r="AE88" s="1306" t="e">
        <f>(Y89*AE89+Y90*AE90+Y91*AE91+Y92*AE92)/Y88</f>
        <v>#DIV/0!</v>
      </c>
      <c r="AF88" s="1268">
        <f>+MAX(AF89:AF92)</f>
        <v>0</v>
      </c>
      <c r="AG88" s="1269">
        <f t="array" ref="AG88">+MIN(IF(AG89:AG92&gt;0,AG89:AG92))</f>
        <v>0</v>
      </c>
      <c r="AH88" s="1370" t="str">
        <f>IF(SUM(Y89:Y92)&gt;0,IF(SUM(Z89:Z92)=0,"Зээлдэгчийн тоог бүрэн шивнэ үү.",""),"")</f>
        <v/>
      </c>
    </row>
    <row r="89" spans="1:34">
      <c r="A89" s="1442"/>
      <c r="B89" s="1270">
        <v>1</v>
      </c>
      <c r="C89" s="774" t="s">
        <v>163</v>
      </c>
      <c r="D89" s="1128">
        <v>77</v>
      </c>
      <c r="E89" s="1214"/>
      <c r="F89" s="1215"/>
      <c r="G89" s="1216"/>
      <c r="H89" s="1217"/>
      <c r="I89" s="1271"/>
      <c r="J89" s="1215"/>
      <c r="K89" s="1216"/>
      <c r="L89" s="1215"/>
      <c r="M89" s="1272"/>
      <c r="N89" s="1273">
        <f t="shared" si="39"/>
        <v>0</v>
      </c>
      <c r="O89" s="1274"/>
      <c r="P89" s="1275"/>
      <c r="Q89" s="1215"/>
      <c r="R89" s="1216"/>
      <c r="S89" s="1217"/>
      <c r="T89" s="1271"/>
      <c r="U89" s="1215"/>
      <c r="V89" s="1216"/>
      <c r="W89" s="1215"/>
      <c r="X89" s="1448"/>
      <c r="Y89" s="1276">
        <f t="shared" si="128"/>
        <v>0</v>
      </c>
      <c r="Z89" s="1277">
        <f t="shared" si="127"/>
        <v>0</v>
      </c>
      <c r="AA89" s="1278">
        <f t="shared" si="37"/>
        <v>0</v>
      </c>
      <c r="AB89" s="1277">
        <f t="shared" si="38"/>
        <v>0</v>
      </c>
      <c r="AC89" s="1279"/>
      <c r="AD89" s="1280">
        <f t="shared" si="40"/>
        <v>0</v>
      </c>
      <c r="AE89" s="1281"/>
      <c r="AF89" s="1281"/>
      <c r="AG89" s="1282"/>
      <c r="AH89" s="1370" t="str">
        <f>IF(I89&gt;0,IF(AND(O89&gt;0,O89&lt;0.15,AE89&gt;0,AE89&lt;0.15,AF89&gt;0,AF89&lt;0.15,AG89&gt;0,AG89&lt;0.15),"","ЗЖДХ болон дээд хүүг сараар шивнэ үү."),"")</f>
        <v/>
      </c>
    </row>
    <row r="90" spans="1:34">
      <c r="A90" s="1442"/>
      <c r="B90" s="1163">
        <v>2</v>
      </c>
      <c r="C90" s="1142" t="s">
        <v>574</v>
      </c>
      <c r="D90" s="1128">
        <v>78</v>
      </c>
      <c r="E90" s="1165"/>
      <c r="F90" s="1174"/>
      <c r="G90" s="1167"/>
      <c r="H90" s="1169"/>
      <c r="I90" s="1283"/>
      <c r="J90" s="1174"/>
      <c r="K90" s="1167"/>
      <c r="L90" s="1174"/>
      <c r="M90" s="1284"/>
      <c r="N90" s="1285">
        <f t="shared" si="39"/>
        <v>0</v>
      </c>
      <c r="O90" s="1286"/>
      <c r="P90" s="1287"/>
      <c r="Q90" s="1174"/>
      <c r="R90" s="1167"/>
      <c r="S90" s="1169"/>
      <c r="T90" s="1283"/>
      <c r="U90" s="1174"/>
      <c r="V90" s="1167"/>
      <c r="W90" s="1174"/>
      <c r="X90" s="1448"/>
      <c r="Y90" s="1288">
        <f t="shared" si="128"/>
        <v>0</v>
      </c>
      <c r="Z90" s="1172">
        <f t="shared" si="127"/>
        <v>0</v>
      </c>
      <c r="AA90" s="1173">
        <f t="shared" si="37"/>
        <v>0</v>
      </c>
      <c r="AB90" s="1172">
        <f t="shared" si="38"/>
        <v>0</v>
      </c>
      <c r="AC90" s="1289"/>
      <c r="AD90" s="1290">
        <f t="shared" si="40"/>
        <v>0</v>
      </c>
      <c r="AE90" s="1291"/>
      <c r="AF90" s="1291"/>
      <c r="AG90" s="1292"/>
      <c r="AH90" s="1370" t="str">
        <f>IF(I90&gt;0,IF(AND(O90&gt;0,O90&lt;0.15,AE90&gt;0,AE90&lt;0.15,AF90&gt;0,AF90&lt;0.15,AG90&gt;0,AG90&lt;0.15),"","ЗЖДХ болон дээд хүүг сараар шивнэ үү."),"")</f>
        <v/>
      </c>
    </row>
    <row r="91" spans="1:34">
      <c r="A91" s="1442"/>
      <c r="B91" s="1163">
        <v>3</v>
      </c>
      <c r="C91" s="1142" t="s">
        <v>575</v>
      </c>
      <c r="D91" s="1128">
        <v>79</v>
      </c>
      <c r="E91" s="1165"/>
      <c r="F91" s="1174"/>
      <c r="G91" s="1167"/>
      <c r="H91" s="1169"/>
      <c r="I91" s="1283"/>
      <c r="J91" s="1174"/>
      <c r="K91" s="1167"/>
      <c r="L91" s="1174"/>
      <c r="M91" s="1284"/>
      <c r="N91" s="1285">
        <f t="shared" si="39"/>
        <v>0</v>
      </c>
      <c r="O91" s="1286"/>
      <c r="P91" s="1287"/>
      <c r="Q91" s="1174"/>
      <c r="R91" s="1167"/>
      <c r="S91" s="1169"/>
      <c r="T91" s="1283"/>
      <c r="U91" s="1174"/>
      <c r="V91" s="1167"/>
      <c r="W91" s="1174"/>
      <c r="X91" s="1448"/>
      <c r="Y91" s="1288">
        <f t="shared" si="128"/>
        <v>0</v>
      </c>
      <c r="Z91" s="1172">
        <f t="shared" si="127"/>
        <v>0</v>
      </c>
      <c r="AA91" s="1173">
        <f t="shared" si="37"/>
        <v>0</v>
      </c>
      <c r="AB91" s="1172">
        <f t="shared" si="38"/>
        <v>0</v>
      </c>
      <c r="AC91" s="1289"/>
      <c r="AD91" s="1290">
        <f t="shared" si="40"/>
        <v>0</v>
      </c>
      <c r="AE91" s="1291"/>
      <c r="AF91" s="1291"/>
      <c r="AG91" s="1292"/>
      <c r="AH91" s="1370" t="str">
        <f>IF(I91&gt;0,IF(AND(O91&gt;0,O91&lt;0.15,AE91&gt;0,AE91&lt;0.15,AF91&gt;0,AF91&lt;0.15,AG91&gt;0,AG91&lt;0.15),"","ЗЖДХ болон дээд хүүг сараар шивнэ үү."),"")</f>
        <v/>
      </c>
    </row>
    <row r="92" spans="1:34">
      <c r="A92" s="1442"/>
      <c r="B92" s="1307">
        <v>4</v>
      </c>
      <c r="C92" s="1241" t="s">
        <v>576</v>
      </c>
      <c r="D92" s="1128">
        <v>80</v>
      </c>
      <c r="E92" s="1242"/>
      <c r="F92" s="1243"/>
      <c r="G92" s="1170"/>
      <c r="H92" s="1244"/>
      <c r="I92" s="1294"/>
      <c r="J92" s="1243"/>
      <c r="K92" s="1170"/>
      <c r="L92" s="1243"/>
      <c r="M92" s="1295"/>
      <c r="N92" s="1296">
        <f t="shared" si="39"/>
        <v>0</v>
      </c>
      <c r="O92" s="1316"/>
      <c r="P92" s="1298"/>
      <c r="Q92" s="1243"/>
      <c r="R92" s="1170"/>
      <c r="S92" s="1244"/>
      <c r="T92" s="1294"/>
      <c r="U92" s="1243"/>
      <c r="V92" s="1170"/>
      <c r="W92" s="1243"/>
      <c r="X92" s="1448"/>
      <c r="Y92" s="1309">
        <f t="shared" si="128"/>
        <v>0</v>
      </c>
      <c r="Z92" s="1184">
        <f t="shared" si="127"/>
        <v>0</v>
      </c>
      <c r="AA92" s="1310">
        <f t="shared" si="37"/>
        <v>0</v>
      </c>
      <c r="AB92" s="1184">
        <f t="shared" si="38"/>
        <v>0</v>
      </c>
      <c r="AC92" s="1311"/>
      <c r="AD92" s="1312">
        <f t="shared" si="40"/>
        <v>0</v>
      </c>
      <c r="AE92" s="1302"/>
      <c r="AF92" s="1313"/>
      <c r="AG92" s="1314"/>
      <c r="AH92" s="1370" t="str">
        <f>IF(I92&gt;0,IF(AND(O92&gt;0,O92&lt;0.15,AE92&gt;0,AE92&lt;0.15,AF92&gt;0,AF92&lt;0.15,AG92&gt;0,AG92&lt;0.15),"","ЗЖДХ болон дээд хүүг сараар шивнэ үү."),"")</f>
        <v/>
      </c>
    </row>
    <row r="93" spans="1:34" ht="25.5">
      <c r="A93" s="1441" t="s">
        <v>617</v>
      </c>
      <c r="B93" s="1308">
        <v>30</v>
      </c>
      <c r="C93" s="776" t="s">
        <v>618</v>
      </c>
      <c r="D93" s="1128">
        <v>81</v>
      </c>
      <c r="E93" s="1258">
        <f t="shared" ref="E93:W93" si="149">+SUM(E94:E97)</f>
        <v>0</v>
      </c>
      <c r="F93" s="1259">
        <f t="shared" ref="F93" si="150">+SUM(F94:F97)</f>
        <v>0</v>
      </c>
      <c r="G93" s="1260">
        <f t="shared" si="149"/>
        <v>0</v>
      </c>
      <c r="H93" s="1261">
        <f t="shared" ref="H93" si="151">+SUM(H94:H97)</f>
        <v>0</v>
      </c>
      <c r="I93" s="1258">
        <f t="shared" si="149"/>
        <v>0</v>
      </c>
      <c r="J93" s="1259">
        <f t="shared" ref="J93" si="152">+SUM(J94:J97)</f>
        <v>0</v>
      </c>
      <c r="K93" s="1260">
        <f t="shared" si="149"/>
        <v>0</v>
      </c>
      <c r="L93" s="1259">
        <f t="shared" ref="L93" si="153">+SUM(L94:L97)</f>
        <v>0</v>
      </c>
      <c r="M93" s="1260" t="str">
        <f>IFERROR(AVERAGE(M94:M97),"")</f>
        <v/>
      </c>
      <c r="N93" s="1203">
        <f t="shared" ref="N93" si="154">+SUM(N94:N97)</f>
        <v>0</v>
      </c>
      <c r="O93" s="1267" t="e">
        <f>(I94*O94+I95*O95+I96*O96+I97*O97)/I93</f>
        <v>#DIV/0!</v>
      </c>
      <c r="P93" s="1258">
        <f t="shared" si="149"/>
        <v>0</v>
      </c>
      <c r="Q93" s="1259">
        <f t="shared" ref="Q93" si="155">+SUM(Q94:Q97)</f>
        <v>0</v>
      </c>
      <c r="R93" s="1260">
        <f t="shared" si="149"/>
        <v>0</v>
      </c>
      <c r="S93" s="1261">
        <f t="shared" ref="S93" si="156">+SUM(S94:S97)</f>
        <v>0</v>
      </c>
      <c r="T93" s="1258">
        <f t="shared" si="149"/>
        <v>0</v>
      </c>
      <c r="U93" s="1259">
        <f t="shared" ref="U93" si="157">+SUM(U94:U97)</f>
        <v>0</v>
      </c>
      <c r="V93" s="1260">
        <f t="shared" si="149"/>
        <v>0</v>
      </c>
      <c r="W93" s="1259">
        <f t="shared" si="149"/>
        <v>0</v>
      </c>
      <c r="X93" s="1448"/>
      <c r="Y93" s="1258">
        <f t="shared" si="128"/>
        <v>0</v>
      </c>
      <c r="Z93" s="1265">
        <f t="shared" si="127"/>
        <v>0</v>
      </c>
      <c r="AA93" s="1260">
        <f t="shared" si="37"/>
        <v>0</v>
      </c>
      <c r="AB93" s="1265">
        <f t="shared" si="38"/>
        <v>0</v>
      </c>
      <c r="AC93" s="1209" t="str">
        <f>IFERROR(AVERAGE(AC94:AC97),"")</f>
        <v/>
      </c>
      <c r="AD93" s="1266">
        <f t="shared" ref="AD93" si="158">+SUM(AD94:AD97)</f>
        <v>0</v>
      </c>
      <c r="AE93" s="1267" t="e">
        <f>(Y94*AE94+Y95*AE95+Y96*AE96+Y97*AE97)/Y93</f>
        <v>#DIV/0!</v>
      </c>
      <c r="AF93" s="1268">
        <f>+MAX(AF94:AF97)</f>
        <v>0</v>
      </c>
      <c r="AG93" s="1269">
        <f t="array" ref="AG93">+MIN(IF(AG94:AG97&gt;0,AG94:AG97))</f>
        <v>0</v>
      </c>
      <c r="AH93" s="1370" t="str">
        <f>IF(SUM(Y94:Y97)&gt;0,IF(SUM(Z94:Z97)=0,"Зээлдэгчийн тоог бүрэн шивнэ үү.",""),"")</f>
        <v/>
      </c>
    </row>
    <row r="94" spans="1:34">
      <c r="A94" s="1442"/>
      <c r="B94" s="1270">
        <v>1</v>
      </c>
      <c r="C94" s="774" t="s">
        <v>163</v>
      </c>
      <c r="D94" s="1128">
        <v>82</v>
      </c>
      <c r="E94" s="1214"/>
      <c r="F94" s="1215"/>
      <c r="G94" s="1216"/>
      <c r="H94" s="1217"/>
      <c r="I94" s="1271"/>
      <c r="J94" s="1215"/>
      <c r="K94" s="1216"/>
      <c r="L94" s="1215"/>
      <c r="M94" s="1272"/>
      <c r="N94" s="1273">
        <f t="shared" si="39"/>
        <v>0</v>
      </c>
      <c r="O94" s="1274"/>
      <c r="P94" s="1275"/>
      <c r="Q94" s="1215"/>
      <c r="R94" s="1216"/>
      <c r="S94" s="1217"/>
      <c r="T94" s="1271"/>
      <c r="U94" s="1215"/>
      <c r="V94" s="1216"/>
      <c r="W94" s="1215"/>
      <c r="X94" s="1448"/>
      <c r="Y94" s="1276">
        <f t="shared" si="128"/>
        <v>0</v>
      </c>
      <c r="Z94" s="1277">
        <f t="shared" si="127"/>
        <v>0</v>
      </c>
      <c r="AA94" s="1278">
        <f t="shared" si="37"/>
        <v>0</v>
      </c>
      <c r="AB94" s="1277">
        <f t="shared" si="38"/>
        <v>0</v>
      </c>
      <c r="AC94" s="1279"/>
      <c r="AD94" s="1280">
        <f t="shared" si="40"/>
        <v>0</v>
      </c>
      <c r="AE94" s="1281"/>
      <c r="AF94" s="1281"/>
      <c r="AG94" s="1282"/>
      <c r="AH94" s="1370" t="str">
        <f>IF(I94&gt;0,IF(AND(O94&gt;0,O94&lt;0.15,AE94&gt;0,AE94&lt;0.15,AF94&gt;0,AF94&lt;0.15,AG94&gt;0,AG94&lt;0.15),"","ЗЖДХ болон дээд хүүг сараар шивнэ үү."),"")</f>
        <v/>
      </c>
    </row>
    <row r="95" spans="1:34">
      <c r="A95" s="1442"/>
      <c r="B95" s="1163">
        <v>2</v>
      </c>
      <c r="C95" s="1142" t="s">
        <v>574</v>
      </c>
      <c r="D95" s="1128">
        <v>83</v>
      </c>
      <c r="E95" s="1165"/>
      <c r="F95" s="1174"/>
      <c r="G95" s="1167"/>
      <c r="H95" s="1169"/>
      <c r="I95" s="1283"/>
      <c r="J95" s="1174"/>
      <c r="K95" s="1167"/>
      <c r="L95" s="1174"/>
      <c r="M95" s="1284"/>
      <c r="N95" s="1285">
        <f t="shared" si="39"/>
        <v>0</v>
      </c>
      <c r="O95" s="1286"/>
      <c r="P95" s="1287"/>
      <c r="Q95" s="1174"/>
      <c r="R95" s="1167"/>
      <c r="S95" s="1169"/>
      <c r="T95" s="1283"/>
      <c r="U95" s="1174"/>
      <c r="V95" s="1167"/>
      <c r="W95" s="1174"/>
      <c r="X95" s="1448"/>
      <c r="Y95" s="1288">
        <f t="shared" si="128"/>
        <v>0</v>
      </c>
      <c r="Z95" s="1172">
        <f t="shared" si="127"/>
        <v>0</v>
      </c>
      <c r="AA95" s="1173">
        <f t="shared" ref="AA95:AA149" si="159">ROUND(SUM(G95,K95,-R95,-V95),2)</f>
        <v>0</v>
      </c>
      <c r="AB95" s="1172">
        <f t="shared" ref="AB95:AB149" si="160">+H95+L95-W95</f>
        <v>0</v>
      </c>
      <c r="AC95" s="1289"/>
      <c r="AD95" s="1290">
        <f t="shared" si="40"/>
        <v>0</v>
      </c>
      <c r="AE95" s="1291"/>
      <c r="AF95" s="1291"/>
      <c r="AG95" s="1292"/>
      <c r="AH95" s="1370" t="str">
        <f>IF(I95&gt;0,IF(AND(O95&gt;0,O95&lt;0.15,AE95&gt;0,AE95&lt;0.15,AF95&gt;0,AF95&lt;0.15,AG95&gt;0,AG95&lt;0.15),"","ЗЖДХ болон дээд хүүг сараар шивнэ үү."),"")</f>
        <v/>
      </c>
    </row>
    <row r="96" spans="1:34">
      <c r="A96" s="1442"/>
      <c r="B96" s="1163">
        <v>3</v>
      </c>
      <c r="C96" s="1142" t="s">
        <v>575</v>
      </c>
      <c r="D96" s="1128">
        <v>84</v>
      </c>
      <c r="E96" s="1165"/>
      <c r="F96" s="1174"/>
      <c r="G96" s="1167"/>
      <c r="H96" s="1169"/>
      <c r="I96" s="1283"/>
      <c r="J96" s="1174"/>
      <c r="K96" s="1167"/>
      <c r="L96" s="1174"/>
      <c r="M96" s="1284"/>
      <c r="N96" s="1285">
        <f t="shared" ref="N96:N149" si="161">+I96*O96</f>
        <v>0</v>
      </c>
      <c r="O96" s="1286"/>
      <c r="P96" s="1287"/>
      <c r="Q96" s="1174"/>
      <c r="R96" s="1167"/>
      <c r="S96" s="1169"/>
      <c r="T96" s="1283"/>
      <c r="U96" s="1174"/>
      <c r="V96" s="1167"/>
      <c r="W96" s="1174"/>
      <c r="X96" s="1448"/>
      <c r="Y96" s="1288">
        <f t="shared" si="128"/>
        <v>0</v>
      </c>
      <c r="Z96" s="1172">
        <f t="shared" si="127"/>
        <v>0</v>
      </c>
      <c r="AA96" s="1173">
        <f t="shared" si="159"/>
        <v>0</v>
      </c>
      <c r="AB96" s="1172">
        <f t="shared" si="160"/>
        <v>0</v>
      </c>
      <c r="AC96" s="1289"/>
      <c r="AD96" s="1290">
        <f t="shared" ref="AD96:AD149" si="162">+Y96*AE96</f>
        <v>0</v>
      </c>
      <c r="AE96" s="1291"/>
      <c r="AF96" s="1291"/>
      <c r="AG96" s="1292"/>
      <c r="AH96" s="1370" t="str">
        <f>IF(I96&gt;0,IF(AND(O96&gt;0,O96&lt;0.15,AE96&gt;0,AE96&lt;0.15,AF96&gt;0,AF96&lt;0.15,AG96&gt;0,AG96&lt;0.15),"","ЗЖДХ болон дээд хүүг сараар шивнэ үү."),"")</f>
        <v/>
      </c>
    </row>
    <row r="97" spans="1:34">
      <c r="A97" s="1442"/>
      <c r="B97" s="1307">
        <v>4</v>
      </c>
      <c r="C97" s="1241" t="s">
        <v>576</v>
      </c>
      <c r="D97" s="1128">
        <v>85</v>
      </c>
      <c r="E97" s="1242"/>
      <c r="F97" s="1243"/>
      <c r="G97" s="1170"/>
      <c r="H97" s="1244"/>
      <c r="I97" s="1294"/>
      <c r="J97" s="1243"/>
      <c r="K97" s="1170"/>
      <c r="L97" s="1243"/>
      <c r="M97" s="1295"/>
      <c r="N97" s="1296">
        <f t="shared" si="161"/>
        <v>0</v>
      </c>
      <c r="O97" s="1297"/>
      <c r="P97" s="1298"/>
      <c r="Q97" s="1243"/>
      <c r="R97" s="1170"/>
      <c r="S97" s="1244"/>
      <c r="T97" s="1294"/>
      <c r="U97" s="1243"/>
      <c r="V97" s="1170"/>
      <c r="W97" s="1243"/>
      <c r="X97" s="1448"/>
      <c r="Y97" s="1309">
        <f t="shared" si="128"/>
        <v>0</v>
      </c>
      <c r="Z97" s="1184">
        <f t="shared" si="127"/>
        <v>0</v>
      </c>
      <c r="AA97" s="1310">
        <f t="shared" si="159"/>
        <v>0</v>
      </c>
      <c r="AB97" s="1184">
        <f t="shared" si="160"/>
        <v>0</v>
      </c>
      <c r="AC97" s="1311"/>
      <c r="AD97" s="1312">
        <f t="shared" si="162"/>
        <v>0</v>
      </c>
      <c r="AE97" s="1313"/>
      <c r="AF97" s="1313"/>
      <c r="AG97" s="1314"/>
      <c r="AH97" s="1370" t="str">
        <f>IF(I97&gt;0,IF(AND(O97&gt;0,O97&lt;0.15,AE97&gt;0,AE97&lt;0.15,AF97&gt;0,AF97&lt;0.15,AG97&gt;0,AG97&lt;0.15),"","ЗЖДХ болон дээд хүүг сараар шивнэ үү."),"")</f>
        <v/>
      </c>
    </row>
    <row r="98" spans="1:34" ht="25.5">
      <c r="A98" s="1443" t="s">
        <v>619</v>
      </c>
      <c r="B98" s="1308">
        <v>31</v>
      </c>
      <c r="C98" s="776" t="s">
        <v>620</v>
      </c>
      <c r="D98" s="1128">
        <v>86</v>
      </c>
      <c r="E98" s="1258">
        <f t="shared" ref="E98:W98" si="163">+SUM(E99:E102)</f>
        <v>0</v>
      </c>
      <c r="F98" s="1259">
        <f t="shared" ref="F98" si="164">+SUM(F99:F102)</f>
        <v>0</v>
      </c>
      <c r="G98" s="1260">
        <f t="shared" si="163"/>
        <v>0</v>
      </c>
      <c r="H98" s="1261">
        <f t="shared" ref="H98" si="165">+SUM(H99:H102)</f>
        <v>0</v>
      </c>
      <c r="I98" s="1258">
        <f t="shared" si="163"/>
        <v>0</v>
      </c>
      <c r="J98" s="1259">
        <f t="shared" ref="J98" si="166">+SUM(J99:J102)</f>
        <v>0</v>
      </c>
      <c r="K98" s="1260">
        <f t="shared" si="163"/>
        <v>0</v>
      </c>
      <c r="L98" s="1259">
        <f t="shared" ref="L98" si="167">+SUM(L99:L102)</f>
        <v>0</v>
      </c>
      <c r="M98" s="1260" t="str">
        <f>IFERROR(AVERAGE(M99:M102),"")</f>
        <v/>
      </c>
      <c r="N98" s="1262">
        <f t="shared" ref="N98" si="168">+SUM(N99:N102)</f>
        <v>0</v>
      </c>
      <c r="O98" s="1306" t="e">
        <f>(I99*O99+I100*O100+I101*O101+I102*O102)/I98</f>
        <v>#DIV/0!</v>
      </c>
      <c r="P98" s="1258">
        <f t="shared" si="163"/>
        <v>0</v>
      </c>
      <c r="Q98" s="1259">
        <f t="shared" ref="Q98" si="169">+SUM(Q99:Q102)</f>
        <v>0</v>
      </c>
      <c r="R98" s="1260">
        <f t="shared" si="163"/>
        <v>0</v>
      </c>
      <c r="S98" s="1261">
        <f t="shared" ref="S98" si="170">+SUM(S99:S102)</f>
        <v>0</v>
      </c>
      <c r="T98" s="1258">
        <f t="shared" si="163"/>
        <v>0</v>
      </c>
      <c r="U98" s="1259">
        <f t="shared" ref="U98" si="171">+SUM(U99:U102)</f>
        <v>0</v>
      </c>
      <c r="V98" s="1260">
        <f t="shared" si="163"/>
        <v>0</v>
      </c>
      <c r="W98" s="1259">
        <f t="shared" si="163"/>
        <v>0</v>
      </c>
      <c r="X98" s="1448"/>
      <c r="Y98" s="1258">
        <f t="shared" si="128"/>
        <v>0</v>
      </c>
      <c r="Z98" s="1265">
        <f t="shared" si="127"/>
        <v>0</v>
      </c>
      <c r="AA98" s="1260">
        <f t="shared" si="159"/>
        <v>0</v>
      </c>
      <c r="AB98" s="1265">
        <f t="shared" si="160"/>
        <v>0</v>
      </c>
      <c r="AC98" s="1209" t="str">
        <f>IFERROR(AVERAGE(AC99:AC102),"")</f>
        <v/>
      </c>
      <c r="AD98" s="1317">
        <f t="shared" ref="AD98" si="172">+SUM(AD99:AD102)</f>
        <v>0</v>
      </c>
      <c r="AE98" s="1306" t="e">
        <f>(Y99*AE99+Y100*AE100+Y101*AE101+Y102*AE102)/Y98</f>
        <v>#DIV/0!</v>
      </c>
      <c r="AF98" s="1268">
        <f>+MAX(AF99:AF102)</f>
        <v>0</v>
      </c>
      <c r="AG98" s="1269">
        <f t="array" ref="AG98">+MIN(IF(AG99:AG102&gt;0,AG99:AG102))</f>
        <v>0</v>
      </c>
      <c r="AH98" s="1370" t="str">
        <f>IF(SUM(Y99:Y102)&gt;0,IF(SUM(Z99:Z102)=0,"Зээлдэгчийн тоог бүрэн шивнэ үү.",""),"")</f>
        <v/>
      </c>
    </row>
    <row r="99" spans="1:34">
      <c r="A99" s="1443"/>
      <c r="B99" s="1318">
        <v>1</v>
      </c>
      <c r="C99" s="774" t="s">
        <v>163</v>
      </c>
      <c r="D99" s="1128">
        <v>87</v>
      </c>
      <c r="E99" s="1214"/>
      <c r="F99" s="1215"/>
      <c r="G99" s="1216"/>
      <c r="H99" s="1217"/>
      <c r="I99" s="1271"/>
      <c r="J99" s="1215"/>
      <c r="K99" s="1216"/>
      <c r="L99" s="1215"/>
      <c r="M99" s="1272"/>
      <c r="N99" s="1273">
        <f t="shared" si="161"/>
        <v>0</v>
      </c>
      <c r="O99" s="1274"/>
      <c r="P99" s="1275"/>
      <c r="Q99" s="1215"/>
      <c r="R99" s="1216"/>
      <c r="S99" s="1319"/>
      <c r="T99" s="1271"/>
      <c r="U99" s="1215"/>
      <c r="V99" s="1216"/>
      <c r="W99" s="1215"/>
      <c r="X99" s="1448"/>
      <c r="Y99" s="1276">
        <f t="shared" si="128"/>
        <v>0</v>
      </c>
      <c r="Z99" s="1277">
        <f t="shared" si="127"/>
        <v>0</v>
      </c>
      <c r="AA99" s="1278">
        <f t="shared" si="159"/>
        <v>0</v>
      </c>
      <c r="AB99" s="1277">
        <f t="shared" si="160"/>
        <v>0</v>
      </c>
      <c r="AC99" s="1279"/>
      <c r="AD99" s="1280">
        <f t="shared" si="162"/>
        <v>0</v>
      </c>
      <c r="AE99" s="1281"/>
      <c r="AF99" s="1281"/>
      <c r="AG99" s="1282"/>
      <c r="AH99" s="1370" t="str">
        <f>IF(I99&gt;0,IF(AND(O99&gt;0,O99&lt;0.15,AE99&gt;0,AE99&lt;0.15,AF99&gt;0,AF99&lt;0.15,AG99&gt;0,AG99&lt;0.15),"","ЗЖДХ болон дээд хүүг сараар шивнэ үү."),"")</f>
        <v/>
      </c>
    </row>
    <row r="100" spans="1:34">
      <c r="A100" s="1443"/>
      <c r="B100" s="1320">
        <v>2</v>
      </c>
      <c r="C100" s="1142" t="s">
        <v>574</v>
      </c>
      <c r="D100" s="1128">
        <v>88</v>
      </c>
      <c r="E100" s="1165"/>
      <c r="F100" s="1174"/>
      <c r="G100" s="1167"/>
      <c r="H100" s="1169"/>
      <c r="I100" s="1283"/>
      <c r="J100" s="1174"/>
      <c r="K100" s="1167"/>
      <c r="L100" s="1174"/>
      <c r="M100" s="1284"/>
      <c r="N100" s="1285">
        <f t="shared" si="161"/>
        <v>0</v>
      </c>
      <c r="O100" s="1286"/>
      <c r="P100" s="1287"/>
      <c r="Q100" s="1174"/>
      <c r="R100" s="1167"/>
      <c r="S100" s="1169"/>
      <c r="T100" s="1283"/>
      <c r="U100" s="1174"/>
      <c r="V100" s="1167"/>
      <c r="W100" s="1174"/>
      <c r="X100" s="1448"/>
      <c r="Y100" s="1288">
        <f t="shared" si="128"/>
        <v>0</v>
      </c>
      <c r="Z100" s="1172">
        <f t="shared" si="127"/>
        <v>0</v>
      </c>
      <c r="AA100" s="1173">
        <f t="shared" si="159"/>
        <v>0</v>
      </c>
      <c r="AB100" s="1172">
        <f t="shared" si="160"/>
        <v>0</v>
      </c>
      <c r="AC100" s="1289"/>
      <c r="AD100" s="1290">
        <f t="shared" si="162"/>
        <v>0</v>
      </c>
      <c r="AE100" s="1291"/>
      <c r="AF100" s="1291"/>
      <c r="AG100" s="1292"/>
      <c r="AH100" s="1370" t="str">
        <f>IF(I100&gt;0,IF(AND(O100&gt;0,O100&lt;0.15,AE100&gt;0,AE100&lt;0.15,AF100&gt;0,AF100&lt;0.15,AG100&gt;0,AG100&lt;0.15),"","ЗЖДХ болон дээд хүүг сараар шивнэ үү."),"")</f>
        <v/>
      </c>
    </row>
    <row r="101" spans="1:34">
      <c r="A101" s="1443"/>
      <c r="B101" s="1320">
        <v>3</v>
      </c>
      <c r="C101" s="1142" t="s">
        <v>575</v>
      </c>
      <c r="D101" s="1128">
        <v>89</v>
      </c>
      <c r="E101" s="1165"/>
      <c r="F101" s="1174"/>
      <c r="G101" s="1167"/>
      <c r="H101" s="1169"/>
      <c r="I101" s="1283"/>
      <c r="J101" s="1174"/>
      <c r="K101" s="1167"/>
      <c r="L101" s="1174"/>
      <c r="M101" s="1284"/>
      <c r="N101" s="1285">
        <f t="shared" si="161"/>
        <v>0</v>
      </c>
      <c r="O101" s="1286"/>
      <c r="P101" s="1287"/>
      <c r="Q101" s="1174"/>
      <c r="R101" s="1167"/>
      <c r="S101" s="1169"/>
      <c r="T101" s="1283"/>
      <c r="U101" s="1174"/>
      <c r="V101" s="1167"/>
      <c r="W101" s="1174"/>
      <c r="X101" s="1448"/>
      <c r="Y101" s="1288">
        <f t="shared" si="128"/>
        <v>0</v>
      </c>
      <c r="Z101" s="1172">
        <f t="shared" si="127"/>
        <v>0</v>
      </c>
      <c r="AA101" s="1173">
        <f t="shared" si="159"/>
        <v>0</v>
      </c>
      <c r="AB101" s="1172">
        <f t="shared" si="160"/>
        <v>0</v>
      </c>
      <c r="AC101" s="1289"/>
      <c r="AD101" s="1290">
        <f t="shared" si="162"/>
        <v>0</v>
      </c>
      <c r="AE101" s="1291"/>
      <c r="AF101" s="1291"/>
      <c r="AG101" s="1292"/>
      <c r="AH101" s="1370" t="str">
        <f>IF(I101&gt;0,IF(AND(O101&gt;0,O101&lt;0.15,AE101&gt;0,AE101&lt;0.15,AF101&gt;0,AF101&lt;0.15,AG101&gt;0,AG101&lt;0.15),"","ЗЖДХ болон дээд хүүг сараар шивнэ үү."),"")</f>
        <v/>
      </c>
    </row>
    <row r="102" spans="1:34">
      <c r="A102" s="1443"/>
      <c r="B102" s="1321">
        <v>4</v>
      </c>
      <c r="C102" s="1241" t="s">
        <v>576</v>
      </c>
      <c r="D102" s="1128">
        <v>90</v>
      </c>
      <c r="E102" s="1242"/>
      <c r="F102" s="1243"/>
      <c r="G102" s="1170"/>
      <c r="H102" s="1244"/>
      <c r="I102" s="1294"/>
      <c r="J102" s="1243"/>
      <c r="K102" s="1170"/>
      <c r="L102" s="1243"/>
      <c r="M102" s="1295"/>
      <c r="N102" s="1296">
        <f t="shared" si="161"/>
        <v>0</v>
      </c>
      <c r="O102" s="1316"/>
      <c r="P102" s="1298"/>
      <c r="Q102" s="1243"/>
      <c r="R102" s="1170"/>
      <c r="S102" s="1244"/>
      <c r="T102" s="1294"/>
      <c r="U102" s="1243"/>
      <c r="V102" s="1170"/>
      <c r="W102" s="1243"/>
      <c r="X102" s="1448"/>
      <c r="Y102" s="1309">
        <f t="shared" si="128"/>
        <v>0</v>
      </c>
      <c r="Z102" s="1184">
        <f t="shared" si="127"/>
        <v>0</v>
      </c>
      <c r="AA102" s="1310">
        <f t="shared" si="159"/>
        <v>0</v>
      </c>
      <c r="AB102" s="1184">
        <f t="shared" si="160"/>
        <v>0</v>
      </c>
      <c r="AC102" s="1311"/>
      <c r="AD102" s="1312">
        <f t="shared" si="162"/>
        <v>0</v>
      </c>
      <c r="AE102" s="1313"/>
      <c r="AF102" s="1313"/>
      <c r="AG102" s="1314"/>
      <c r="AH102" s="1370" t="str">
        <f>IF(I102&gt;0,IF(AND(O102&gt;0,O102&lt;0.15,AE102&gt;0,AE102&lt;0.15,AF102&gt;0,AF102&lt;0.15,AG102&gt;0,AG102&lt;0.15),"","ЗЖДХ болон дээд хүүг сараар шивнэ үү."),"")</f>
        <v/>
      </c>
    </row>
    <row r="103" spans="1:34" ht="25.5">
      <c r="A103" s="1441" t="s">
        <v>621</v>
      </c>
      <c r="B103" s="1308">
        <v>32</v>
      </c>
      <c r="C103" s="776" t="s">
        <v>622</v>
      </c>
      <c r="D103" s="1128">
        <v>91</v>
      </c>
      <c r="E103" s="1258">
        <f t="shared" ref="E103:W103" si="173">+SUM(E104:E107)</f>
        <v>0</v>
      </c>
      <c r="F103" s="1259">
        <f t="shared" ref="F103" si="174">+SUM(F104:F107)</f>
        <v>0</v>
      </c>
      <c r="G103" s="1260">
        <f t="shared" si="173"/>
        <v>0</v>
      </c>
      <c r="H103" s="1261">
        <f t="shared" ref="H103" si="175">+SUM(H104:H107)</f>
        <v>0</v>
      </c>
      <c r="I103" s="1258">
        <f t="shared" si="173"/>
        <v>0</v>
      </c>
      <c r="J103" s="1259">
        <f t="shared" ref="J103" si="176">+SUM(J104:J107)</f>
        <v>0</v>
      </c>
      <c r="K103" s="1260">
        <f t="shared" si="173"/>
        <v>0</v>
      </c>
      <c r="L103" s="1259">
        <f t="shared" ref="L103" si="177">+SUM(L104:L107)</f>
        <v>0</v>
      </c>
      <c r="M103" s="1260" t="str">
        <f>IFERROR(AVERAGE(M104:M107),"")</f>
        <v/>
      </c>
      <c r="N103" s="1203">
        <f t="shared" ref="N103" si="178">+SUM(N104:N107)</f>
        <v>0</v>
      </c>
      <c r="O103" s="1267" t="e">
        <f>(I104*O104+I105*O105+I106*O106+I107*O107)/I103</f>
        <v>#DIV/0!</v>
      </c>
      <c r="P103" s="1258">
        <f t="shared" si="173"/>
        <v>0</v>
      </c>
      <c r="Q103" s="1259">
        <f t="shared" ref="Q103" si="179">+SUM(Q104:Q107)</f>
        <v>0</v>
      </c>
      <c r="R103" s="1260">
        <f t="shared" si="173"/>
        <v>0</v>
      </c>
      <c r="S103" s="1261">
        <f t="shared" ref="S103" si="180">+SUM(S104:S107)</f>
        <v>0</v>
      </c>
      <c r="T103" s="1258">
        <f t="shared" si="173"/>
        <v>0</v>
      </c>
      <c r="U103" s="1259">
        <f t="shared" ref="U103" si="181">+SUM(U104:U107)</f>
        <v>0</v>
      </c>
      <c r="V103" s="1260">
        <f t="shared" si="173"/>
        <v>0</v>
      </c>
      <c r="W103" s="1259">
        <f t="shared" si="173"/>
        <v>0</v>
      </c>
      <c r="X103" s="1448"/>
      <c r="Y103" s="1258">
        <f t="shared" si="128"/>
        <v>0</v>
      </c>
      <c r="Z103" s="1265">
        <f t="shared" si="127"/>
        <v>0</v>
      </c>
      <c r="AA103" s="1260">
        <f t="shared" si="159"/>
        <v>0</v>
      </c>
      <c r="AB103" s="1265">
        <f t="shared" si="160"/>
        <v>0</v>
      </c>
      <c r="AC103" s="1209" t="str">
        <f>IFERROR(AVERAGE(AC104:AC107),"")</f>
        <v/>
      </c>
      <c r="AD103" s="1317">
        <f t="shared" ref="AD103" si="182">+SUM(AD104:AD107)</f>
        <v>0</v>
      </c>
      <c r="AE103" s="1306" t="e">
        <f>(Y104*AE104+Y105*AE105+Y106*AE106+Y107*AE107)/Y103</f>
        <v>#DIV/0!</v>
      </c>
      <c r="AF103" s="1268">
        <f>+MAX(AF104:AF107)</f>
        <v>0</v>
      </c>
      <c r="AG103" s="1269">
        <f t="array" ref="AG103">+MIN(IF(AG104:AG107&gt;0,AG104:AG107))</f>
        <v>0</v>
      </c>
      <c r="AH103" s="1370" t="str">
        <f>IF(SUM(Y104:Y107)&gt;0,IF(SUM(Z104:Z107)=0,"Зээлдэгчийн тоог бүрэн шивнэ үү.",""),"")</f>
        <v/>
      </c>
    </row>
    <row r="104" spans="1:34">
      <c r="A104" s="1442"/>
      <c r="B104" s="1270">
        <v>1</v>
      </c>
      <c r="C104" s="774" t="s">
        <v>163</v>
      </c>
      <c r="D104" s="1128">
        <v>92</v>
      </c>
      <c r="E104" s="1214"/>
      <c r="F104" s="1215"/>
      <c r="G104" s="1216"/>
      <c r="H104" s="1217"/>
      <c r="I104" s="1271"/>
      <c r="J104" s="1215"/>
      <c r="K104" s="1216"/>
      <c r="L104" s="1215"/>
      <c r="M104" s="1272"/>
      <c r="N104" s="1273">
        <f t="shared" si="161"/>
        <v>0</v>
      </c>
      <c r="O104" s="1274"/>
      <c r="P104" s="1275"/>
      <c r="Q104" s="1215"/>
      <c r="R104" s="1216"/>
      <c r="S104" s="1217"/>
      <c r="T104" s="1271"/>
      <c r="U104" s="1215"/>
      <c r="V104" s="1216"/>
      <c r="W104" s="1215"/>
      <c r="X104" s="1448"/>
      <c r="Y104" s="1276">
        <f t="shared" si="128"/>
        <v>0</v>
      </c>
      <c r="Z104" s="1277">
        <f t="shared" si="127"/>
        <v>0</v>
      </c>
      <c r="AA104" s="1278">
        <f t="shared" si="159"/>
        <v>0</v>
      </c>
      <c r="AB104" s="1277">
        <f t="shared" si="160"/>
        <v>0</v>
      </c>
      <c r="AC104" s="1279"/>
      <c r="AD104" s="1280">
        <f t="shared" si="162"/>
        <v>0</v>
      </c>
      <c r="AE104" s="1281"/>
      <c r="AF104" s="1281"/>
      <c r="AG104" s="1282"/>
      <c r="AH104" s="1370" t="str">
        <f>IF(I104&gt;0,IF(AND(O104&gt;0,O104&lt;0.15,AE104&gt;0,AE104&lt;0.15,AF104&gt;0,AF104&lt;0.15,AG104&gt;0,AG104&lt;0.15),"","ЗЖДХ болон дээд хүүг сараар шивнэ үү."),"")</f>
        <v/>
      </c>
    </row>
    <row r="105" spans="1:34">
      <c r="A105" s="1442"/>
      <c r="B105" s="1163">
        <v>2</v>
      </c>
      <c r="C105" s="1142" t="s">
        <v>574</v>
      </c>
      <c r="D105" s="1128">
        <v>93</v>
      </c>
      <c r="E105" s="1165"/>
      <c r="F105" s="1174"/>
      <c r="G105" s="1167"/>
      <c r="H105" s="1169"/>
      <c r="I105" s="1283"/>
      <c r="J105" s="1174"/>
      <c r="K105" s="1167"/>
      <c r="L105" s="1174"/>
      <c r="M105" s="1284"/>
      <c r="N105" s="1285">
        <f t="shared" si="161"/>
        <v>0</v>
      </c>
      <c r="O105" s="1286"/>
      <c r="P105" s="1287"/>
      <c r="Q105" s="1174"/>
      <c r="R105" s="1167"/>
      <c r="S105" s="1169"/>
      <c r="T105" s="1283"/>
      <c r="U105" s="1174"/>
      <c r="V105" s="1167"/>
      <c r="W105" s="1174"/>
      <c r="X105" s="1448"/>
      <c r="Y105" s="1288">
        <f t="shared" si="128"/>
        <v>0</v>
      </c>
      <c r="Z105" s="1172">
        <f t="shared" si="127"/>
        <v>0</v>
      </c>
      <c r="AA105" s="1173">
        <f t="shared" si="159"/>
        <v>0</v>
      </c>
      <c r="AB105" s="1172">
        <f t="shared" si="160"/>
        <v>0</v>
      </c>
      <c r="AC105" s="1289"/>
      <c r="AD105" s="1290">
        <f t="shared" si="162"/>
        <v>0</v>
      </c>
      <c r="AE105" s="1291"/>
      <c r="AF105" s="1291"/>
      <c r="AG105" s="1292"/>
      <c r="AH105" s="1370" t="str">
        <f>IF(I105&gt;0,IF(AND(O105&gt;0,O105&lt;0.15,AE105&gt;0,AE105&lt;0.15,AF105&gt;0,AF105&lt;0.15,AG105&gt;0,AG105&lt;0.15),"","ЗЖДХ болон дээд хүүг сараар шивнэ үү."),"")</f>
        <v/>
      </c>
    </row>
    <row r="106" spans="1:34">
      <c r="A106" s="1442"/>
      <c r="B106" s="1163">
        <v>3</v>
      </c>
      <c r="C106" s="1142" t="s">
        <v>575</v>
      </c>
      <c r="D106" s="1128">
        <v>94</v>
      </c>
      <c r="E106" s="1165"/>
      <c r="F106" s="1174"/>
      <c r="G106" s="1167"/>
      <c r="H106" s="1169"/>
      <c r="I106" s="1283"/>
      <c r="J106" s="1174"/>
      <c r="K106" s="1167"/>
      <c r="L106" s="1174"/>
      <c r="M106" s="1284"/>
      <c r="N106" s="1285">
        <f t="shared" si="161"/>
        <v>0</v>
      </c>
      <c r="O106" s="1286"/>
      <c r="P106" s="1287"/>
      <c r="Q106" s="1174"/>
      <c r="R106" s="1167"/>
      <c r="S106" s="1169"/>
      <c r="T106" s="1283"/>
      <c r="U106" s="1174"/>
      <c r="V106" s="1167"/>
      <c r="W106" s="1174"/>
      <c r="X106" s="1448"/>
      <c r="Y106" s="1288">
        <f t="shared" si="128"/>
        <v>0</v>
      </c>
      <c r="Z106" s="1172">
        <f t="shared" si="127"/>
        <v>0</v>
      </c>
      <c r="AA106" s="1173">
        <f t="shared" si="159"/>
        <v>0</v>
      </c>
      <c r="AB106" s="1172">
        <f t="shared" si="160"/>
        <v>0</v>
      </c>
      <c r="AC106" s="1289"/>
      <c r="AD106" s="1290">
        <f t="shared" si="162"/>
        <v>0</v>
      </c>
      <c r="AE106" s="1291"/>
      <c r="AF106" s="1291"/>
      <c r="AG106" s="1292"/>
      <c r="AH106" s="1370" t="str">
        <f>IF(I106&gt;0,IF(AND(O106&gt;0,O106&lt;0.15,AE106&gt;0,AE106&lt;0.15,AF106&gt;0,AF106&lt;0.15,AG106&gt;0,AG106&lt;0.15),"","ЗЖДХ болон дээд хүүг сараар шивнэ үү."),"")</f>
        <v/>
      </c>
    </row>
    <row r="107" spans="1:34">
      <c r="A107" s="1442"/>
      <c r="B107" s="1307">
        <v>4</v>
      </c>
      <c r="C107" s="1241" t="s">
        <v>576</v>
      </c>
      <c r="D107" s="1128">
        <v>95</v>
      </c>
      <c r="E107" s="1242"/>
      <c r="F107" s="1243"/>
      <c r="G107" s="1170"/>
      <c r="H107" s="1244"/>
      <c r="I107" s="1294"/>
      <c r="J107" s="1243"/>
      <c r="K107" s="1170"/>
      <c r="L107" s="1243"/>
      <c r="M107" s="1295"/>
      <c r="N107" s="1296">
        <f t="shared" si="161"/>
        <v>0</v>
      </c>
      <c r="O107" s="1297"/>
      <c r="P107" s="1298"/>
      <c r="Q107" s="1243"/>
      <c r="R107" s="1170"/>
      <c r="S107" s="1244"/>
      <c r="T107" s="1294"/>
      <c r="U107" s="1243"/>
      <c r="V107" s="1170"/>
      <c r="W107" s="1243"/>
      <c r="X107" s="1448"/>
      <c r="Y107" s="1309">
        <f t="shared" si="128"/>
        <v>0</v>
      </c>
      <c r="Z107" s="1184">
        <f t="shared" si="127"/>
        <v>0</v>
      </c>
      <c r="AA107" s="1310">
        <f t="shared" si="159"/>
        <v>0</v>
      </c>
      <c r="AB107" s="1184">
        <f t="shared" si="160"/>
        <v>0</v>
      </c>
      <c r="AC107" s="1311"/>
      <c r="AD107" s="1312">
        <f t="shared" si="162"/>
        <v>0</v>
      </c>
      <c r="AE107" s="1313"/>
      <c r="AF107" s="1313"/>
      <c r="AG107" s="1314"/>
      <c r="AH107" s="1370" t="str">
        <f>IF(I107&gt;0,IF(AND(O107&gt;0,O107&lt;0.15,AE107&gt;0,AE107&lt;0.15,AF107&gt;0,AF107&lt;0.15,AG107&gt;0,AG107&lt;0.15),"","ЗЖДХ болон дээд хүүг сараар шивнэ үү."),"")</f>
        <v/>
      </c>
    </row>
    <row r="108" spans="1:34">
      <c r="A108" s="1441" t="s">
        <v>623</v>
      </c>
      <c r="B108" s="1308">
        <v>33</v>
      </c>
      <c r="C108" s="776" t="s">
        <v>624</v>
      </c>
      <c r="D108" s="1128">
        <v>96</v>
      </c>
      <c r="E108" s="1258">
        <f>+SUM(E110:E113)</f>
        <v>0</v>
      </c>
      <c r="F108" s="1259">
        <f t="shared" ref="F108" si="183">+SUM(F110:F113)</f>
        <v>0</v>
      </c>
      <c r="G108" s="1260">
        <f t="shared" ref="G108:W108" si="184">+SUM(G110:G113)</f>
        <v>0</v>
      </c>
      <c r="H108" s="1261">
        <f t="shared" ref="H108" si="185">+SUM(H110:H113)</f>
        <v>0</v>
      </c>
      <c r="I108" s="1258">
        <f t="shared" si="184"/>
        <v>0</v>
      </c>
      <c r="J108" s="1259">
        <f t="shared" ref="J108" si="186">+SUM(J110:J113)</f>
        <v>0</v>
      </c>
      <c r="K108" s="1260">
        <f t="shared" si="184"/>
        <v>0</v>
      </c>
      <c r="L108" s="1259">
        <f t="shared" ref="L108" si="187">+SUM(L110:L113)</f>
        <v>0</v>
      </c>
      <c r="M108" s="1260" t="str">
        <f>IFERROR(AVERAGE(M110:M113),"")</f>
        <v/>
      </c>
      <c r="N108" s="1262">
        <f>+SUM(N110:N113)</f>
        <v>0</v>
      </c>
      <c r="O108" s="1306" t="e">
        <f>(I110*O110+I111*O111+I112*O112+I113*O113)/I108</f>
        <v>#DIV/0!</v>
      </c>
      <c r="P108" s="1258">
        <f t="shared" si="184"/>
        <v>0</v>
      </c>
      <c r="Q108" s="1259">
        <f t="shared" ref="Q108" si="188">+SUM(Q110:Q113)</f>
        <v>0</v>
      </c>
      <c r="R108" s="1260">
        <f t="shared" si="184"/>
        <v>0</v>
      </c>
      <c r="S108" s="1261">
        <f t="shared" ref="S108" si="189">+SUM(S110:S113)</f>
        <v>0</v>
      </c>
      <c r="T108" s="1258">
        <f t="shared" si="184"/>
        <v>0</v>
      </c>
      <c r="U108" s="1259">
        <f t="shared" ref="U108" si="190">+SUM(U110:U113)</f>
        <v>0</v>
      </c>
      <c r="V108" s="1260">
        <f t="shared" si="184"/>
        <v>0</v>
      </c>
      <c r="W108" s="1259">
        <f t="shared" si="184"/>
        <v>0</v>
      </c>
      <c r="X108" s="1448"/>
      <c r="Y108" s="1258">
        <f t="shared" si="128"/>
        <v>0</v>
      </c>
      <c r="Z108" s="1265">
        <f t="shared" si="127"/>
        <v>0</v>
      </c>
      <c r="AA108" s="1260">
        <f t="shared" si="159"/>
        <v>0</v>
      </c>
      <c r="AB108" s="1265">
        <f t="shared" si="160"/>
        <v>0</v>
      </c>
      <c r="AC108" s="1209" t="str">
        <f>IFERROR(AVERAGE(AC110:AC113),"")</f>
        <v/>
      </c>
      <c r="AD108" s="1317">
        <f>+SUM(AD110:AD113)</f>
        <v>0</v>
      </c>
      <c r="AE108" s="1306" t="e">
        <f>(Y110*AE110+Y111*AE111+Y112*AE112+Y113*AE113)/Y108</f>
        <v>#DIV/0!</v>
      </c>
      <c r="AF108" s="1268">
        <f>+MAX(AF110:AF113)</f>
        <v>0</v>
      </c>
      <c r="AG108" s="1269">
        <f t="array" ref="AG108">+MIN(IF(AG110:AG113&gt;0,AG110:AG113))</f>
        <v>0</v>
      </c>
      <c r="AH108" s="1370" t="str">
        <f>IF(SUM(Y110:Y113)&gt;0,IF(SUM(Z110:Z113)=0,"Зээлдэгчийн тоог бүрэн шивнэ үү.",""),"")</f>
        <v/>
      </c>
    </row>
    <row r="109" spans="1:34">
      <c r="A109" s="1442"/>
      <c r="B109" s="1213"/>
      <c r="C109" s="774" t="s">
        <v>625</v>
      </c>
      <c r="D109" s="1128">
        <v>97</v>
      </c>
      <c r="E109" s="1214"/>
      <c r="F109" s="1215"/>
      <c r="G109" s="1216"/>
      <c r="H109" s="1217"/>
      <c r="I109" s="1218"/>
      <c r="J109" s="1215"/>
      <c r="K109" s="1216"/>
      <c r="L109" s="1215"/>
      <c r="M109" s="1219"/>
      <c r="N109" s="1220">
        <f>+I109*O109</f>
        <v>0</v>
      </c>
      <c r="O109" s="1221"/>
      <c r="P109" s="1222"/>
      <c r="Q109" s="1215"/>
      <c r="R109" s="1216"/>
      <c r="S109" s="1217"/>
      <c r="T109" s="1218"/>
      <c r="U109" s="1215"/>
      <c r="V109" s="1216"/>
      <c r="W109" s="1215"/>
      <c r="X109" s="1448"/>
      <c r="Y109" s="1223">
        <f t="shared" si="128"/>
        <v>0</v>
      </c>
      <c r="Z109" s="1224">
        <f t="shared" si="127"/>
        <v>0</v>
      </c>
      <c r="AA109" s="1225">
        <f t="shared" si="159"/>
        <v>0</v>
      </c>
      <c r="AB109" s="1224">
        <f t="shared" si="160"/>
        <v>0</v>
      </c>
      <c r="AC109" s="1226"/>
      <c r="AD109" s="1227">
        <f>+Y109*AE109</f>
        <v>0</v>
      </c>
      <c r="AE109" s="1228"/>
      <c r="AF109" s="1228"/>
      <c r="AG109" s="1229"/>
      <c r="AH109" s="1370" t="str">
        <f>IF(I109&gt;0,IF(AND(O109&gt;0,O109&lt;0.15,AE109&gt;0,AE109&lt;0.15,AF109&gt;0,AF109&lt;0.15,AG109&gt;0,AG109&lt;0.15),"","ЗЖДХ болон дээд хүүг сараар шивнэ үү."),"")</f>
        <v/>
      </c>
    </row>
    <row r="110" spans="1:34">
      <c r="A110" s="1442"/>
      <c r="B110" s="1163">
        <v>1</v>
      </c>
      <c r="C110" s="775" t="s">
        <v>163</v>
      </c>
      <c r="D110" s="1128">
        <v>98</v>
      </c>
      <c r="E110" s="1165"/>
      <c r="F110" s="1174"/>
      <c r="G110" s="1167"/>
      <c r="H110" s="1169"/>
      <c r="I110" s="1283"/>
      <c r="J110" s="1174"/>
      <c r="K110" s="1167"/>
      <c r="L110" s="1174"/>
      <c r="M110" s="1284"/>
      <c r="N110" s="1285">
        <f t="shared" si="161"/>
        <v>0</v>
      </c>
      <c r="O110" s="1286"/>
      <c r="P110" s="1287"/>
      <c r="Q110" s="1174"/>
      <c r="R110" s="1167"/>
      <c r="S110" s="1169"/>
      <c r="T110" s="1283"/>
      <c r="U110" s="1174"/>
      <c r="V110" s="1167"/>
      <c r="W110" s="1174"/>
      <c r="X110" s="1448"/>
      <c r="Y110" s="1288">
        <f t="shared" si="128"/>
        <v>0</v>
      </c>
      <c r="Z110" s="1172">
        <f t="shared" si="127"/>
        <v>0</v>
      </c>
      <c r="AA110" s="1173">
        <f t="shared" si="159"/>
        <v>0</v>
      </c>
      <c r="AB110" s="1172">
        <f t="shared" si="160"/>
        <v>0</v>
      </c>
      <c r="AC110" s="1289"/>
      <c r="AD110" s="1290">
        <f t="shared" si="162"/>
        <v>0</v>
      </c>
      <c r="AE110" s="1291"/>
      <c r="AF110" s="1291"/>
      <c r="AG110" s="1292"/>
      <c r="AH110" s="1370" t="str">
        <f>IF(I110&gt;0,IF(AND(O110&gt;0,O110&lt;0.15,AE110&gt;0,AE110&lt;0.15,AF110&gt;0,AF110&lt;0.15,AG110&gt;0,AG110&lt;0.15),"","ЗЖДХ болон дээд хүүг сараар шивнэ үү."),"")</f>
        <v/>
      </c>
    </row>
    <row r="111" spans="1:34">
      <c r="A111" s="1442"/>
      <c r="B111" s="1163">
        <v>2</v>
      </c>
      <c r="C111" s="1142" t="s">
        <v>574</v>
      </c>
      <c r="D111" s="1128">
        <v>99</v>
      </c>
      <c r="E111" s="1165"/>
      <c r="F111" s="1174"/>
      <c r="G111" s="1167"/>
      <c r="H111" s="1169"/>
      <c r="I111" s="1283"/>
      <c r="J111" s="1174"/>
      <c r="K111" s="1167"/>
      <c r="L111" s="1174"/>
      <c r="M111" s="1284"/>
      <c r="N111" s="1285">
        <f t="shared" si="161"/>
        <v>0</v>
      </c>
      <c r="O111" s="1286"/>
      <c r="P111" s="1287"/>
      <c r="Q111" s="1174"/>
      <c r="R111" s="1167"/>
      <c r="S111" s="1169"/>
      <c r="T111" s="1283"/>
      <c r="U111" s="1174"/>
      <c r="V111" s="1167"/>
      <c r="W111" s="1174"/>
      <c r="X111" s="1448"/>
      <c r="Y111" s="1288">
        <f t="shared" si="128"/>
        <v>0</v>
      </c>
      <c r="Z111" s="1172">
        <f t="shared" si="127"/>
        <v>0</v>
      </c>
      <c r="AA111" s="1173">
        <f t="shared" si="159"/>
        <v>0</v>
      </c>
      <c r="AB111" s="1172">
        <f t="shared" si="160"/>
        <v>0</v>
      </c>
      <c r="AC111" s="1289"/>
      <c r="AD111" s="1290">
        <f t="shared" si="162"/>
        <v>0</v>
      </c>
      <c r="AE111" s="1291"/>
      <c r="AF111" s="1291"/>
      <c r="AG111" s="1292"/>
      <c r="AH111" s="1370" t="str">
        <f>IF(I111&gt;0,IF(AND(O111&gt;0,O111&lt;0.15,AE111&gt;0,AE111&lt;0.15,AF111&gt;0,AF111&lt;0.15,AG111&gt;0,AG111&lt;0.15),"","ЗЖДХ болон дээд хүүг сараар шивнэ үү."),"")</f>
        <v/>
      </c>
    </row>
    <row r="112" spans="1:34">
      <c r="A112" s="1442"/>
      <c r="B112" s="1163">
        <v>3</v>
      </c>
      <c r="C112" s="1142" t="s">
        <v>575</v>
      </c>
      <c r="D112" s="1128">
        <v>100</v>
      </c>
      <c r="E112" s="1165"/>
      <c r="F112" s="1174"/>
      <c r="G112" s="1167"/>
      <c r="H112" s="1169"/>
      <c r="I112" s="1283"/>
      <c r="J112" s="1174"/>
      <c r="K112" s="1167"/>
      <c r="L112" s="1174"/>
      <c r="M112" s="1284"/>
      <c r="N112" s="1285">
        <f t="shared" si="161"/>
        <v>0</v>
      </c>
      <c r="O112" s="1286"/>
      <c r="P112" s="1287"/>
      <c r="Q112" s="1174"/>
      <c r="R112" s="1167"/>
      <c r="S112" s="1169"/>
      <c r="T112" s="1283"/>
      <c r="U112" s="1174"/>
      <c r="V112" s="1167"/>
      <c r="W112" s="1174"/>
      <c r="X112" s="1448"/>
      <c r="Y112" s="1288">
        <f t="shared" si="128"/>
        <v>0</v>
      </c>
      <c r="Z112" s="1172">
        <f t="shared" si="127"/>
        <v>0</v>
      </c>
      <c r="AA112" s="1173">
        <f t="shared" si="159"/>
        <v>0</v>
      </c>
      <c r="AB112" s="1172">
        <f t="shared" si="160"/>
        <v>0</v>
      </c>
      <c r="AC112" s="1289"/>
      <c r="AD112" s="1290">
        <f t="shared" si="162"/>
        <v>0</v>
      </c>
      <c r="AE112" s="1291"/>
      <c r="AF112" s="1291"/>
      <c r="AG112" s="1292"/>
      <c r="AH112" s="1370" t="str">
        <f>IF(I112&gt;0,IF(AND(O112&gt;0,O112&lt;0.15,AE112&gt;0,AE112&lt;0.15,AF112&gt;0,AF112&lt;0.15,AG112&gt;0,AG112&lt;0.15),"","ЗЖДХ болон дээд хүүг сараар шивнэ үү."),"")</f>
        <v/>
      </c>
    </row>
    <row r="113" spans="1:34">
      <c r="A113" s="1442"/>
      <c r="B113" s="1307">
        <v>4</v>
      </c>
      <c r="C113" s="1241" t="s">
        <v>576</v>
      </c>
      <c r="D113" s="1128">
        <v>101</v>
      </c>
      <c r="E113" s="1242"/>
      <c r="F113" s="1243"/>
      <c r="G113" s="1170"/>
      <c r="H113" s="1244"/>
      <c r="I113" s="1294"/>
      <c r="J113" s="1243"/>
      <c r="K113" s="1170"/>
      <c r="L113" s="1243"/>
      <c r="M113" s="1295"/>
      <c r="N113" s="1296">
        <f t="shared" si="161"/>
        <v>0</v>
      </c>
      <c r="O113" s="1297"/>
      <c r="P113" s="1298"/>
      <c r="Q113" s="1243"/>
      <c r="R113" s="1170"/>
      <c r="S113" s="1244"/>
      <c r="T113" s="1294"/>
      <c r="U113" s="1243"/>
      <c r="V113" s="1170"/>
      <c r="W113" s="1243"/>
      <c r="X113" s="1448"/>
      <c r="Y113" s="1309">
        <f t="shared" si="128"/>
        <v>0</v>
      </c>
      <c r="Z113" s="1184">
        <f t="shared" si="127"/>
        <v>0</v>
      </c>
      <c r="AA113" s="1310">
        <f t="shared" si="159"/>
        <v>0</v>
      </c>
      <c r="AB113" s="1184">
        <f t="shared" si="160"/>
        <v>0</v>
      </c>
      <c r="AC113" s="1311"/>
      <c r="AD113" s="1312">
        <f t="shared" si="162"/>
        <v>0</v>
      </c>
      <c r="AE113" s="1313"/>
      <c r="AF113" s="1313"/>
      <c r="AG113" s="1314"/>
      <c r="AH113" s="1370" t="str">
        <f>IF(I113&gt;0,IF(AND(O113&gt;0,O113&lt;0.15,AE113&gt;0,AE113&lt;0.15,AF113&gt;0,AF113&lt;0.15,AG113&gt;0,AG113&lt;0.15),"","ЗЖДХ болон дээд хүүг сараар шивнэ үү."),"")</f>
        <v/>
      </c>
    </row>
    <row r="114" spans="1:34" ht="25.5">
      <c r="A114" s="1441" t="s">
        <v>626</v>
      </c>
      <c r="B114" s="1308">
        <v>34</v>
      </c>
      <c r="C114" s="776" t="s">
        <v>627</v>
      </c>
      <c r="D114" s="1128">
        <v>102</v>
      </c>
      <c r="E114" s="1258">
        <f t="shared" ref="E114:W114" si="191">+SUM(E116:E119)</f>
        <v>0</v>
      </c>
      <c r="F114" s="1259">
        <f t="shared" ref="F114" si="192">+SUM(F116:F119)</f>
        <v>0</v>
      </c>
      <c r="G114" s="1260">
        <f t="shared" si="191"/>
        <v>0</v>
      </c>
      <c r="H114" s="1261">
        <f t="shared" ref="H114" si="193">+SUM(H116:H119)</f>
        <v>0</v>
      </c>
      <c r="I114" s="1258">
        <f t="shared" si="191"/>
        <v>0</v>
      </c>
      <c r="J114" s="1259">
        <f t="shared" ref="J114" si="194">+SUM(J116:J119)</f>
        <v>0</v>
      </c>
      <c r="K114" s="1260">
        <f t="shared" si="191"/>
        <v>0</v>
      </c>
      <c r="L114" s="1259">
        <f t="shared" ref="L114" si="195">+SUM(L116:L119)</f>
        <v>0</v>
      </c>
      <c r="M114" s="1260" t="str">
        <f>IFERROR(AVERAGE(M116:M119),"")</f>
        <v/>
      </c>
      <c r="N114" s="1262">
        <f>+SUM(N116:N119)</f>
        <v>0</v>
      </c>
      <c r="O114" s="1306" t="e">
        <f>(I116*O116+I117*O117+I118*O118+I119*O119)/I114</f>
        <v>#DIV/0!</v>
      </c>
      <c r="P114" s="1258">
        <f t="shared" si="191"/>
        <v>0</v>
      </c>
      <c r="Q114" s="1259">
        <f t="shared" ref="Q114" si="196">+SUM(Q116:Q119)</f>
        <v>0</v>
      </c>
      <c r="R114" s="1260">
        <f t="shared" si="191"/>
        <v>0</v>
      </c>
      <c r="S114" s="1261">
        <f t="shared" ref="S114" si="197">+SUM(S116:S119)</f>
        <v>0</v>
      </c>
      <c r="T114" s="1258">
        <f t="shared" si="191"/>
        <v>0</v>
      </c>
      <c r="U114" s="1259">
        <f t="shared" ref="U114" si="198">+SUM(U116:U119)</f>
        <v>0</v>
      </c>
      <c r="V114" s="1260">
        <f t="shared" si="191"/>
        <v>0</v>
      </c>
      <c r="W114" s="1259">
        <f t="shared" si="191"/>
        <v>0</v>
      </c>
      <c r="X114" s="1448"/>
      <c r="Y114" s="1258">
        <f t="shared" si="128"/>
        <v>0</v>
      </c>
      <c r="Z114" s="1265">
        <f t="shared" si="127"/>
        <v>0</v>
      </c>
      <c r="AA114" s="1260">
        <f t="shared" si="159"/>
        <v>0</v>
      </c>
      <c r="AB114" s="1265">
        <f t="shared" si="160"/>
        <v>0</v>
      </c>
      <c r="AC114" s="1209" t="str">
        <f>IFERROR(AVERAGE(AC116:AC119),"")</f>
        <v/>
      </c>
      <c r="AD114" s="1317">
        <f>+SUM(AD116:AD119)</f>
        <v>0</v>
      </c>
      <c r="AE114" s="1306" t="e">
        <f>(Y116*AE116+Y117*AE117+Y118*AE118+Y119*AE119)/Y114</f>
        <v>#DIV/0!</v>
      </c>
      <c r="AF114" s="1268">
        <f>+MAX(AF116:AF119)</f>
        <v>0</v>
      </c>
      <c r="AG114" s="1269">
        <f t="array" ref="AG114">+MIN(IF(AG116:AG119&gt;0,AG116:AG119))</f>
        <v>0</v>
      </c>
      <c r="AH114" s="1370" t="str">
        <f>IF(SUM(Y116:Y119)&gt;0,IF(SUM(Z116:Z119)=0,"Зээлдэгчийн тоог бүрэн шивнэ үү.",""),"")</f>
        <v/>
      </c>
    </row>
    <row r="115" spans="1:34">
      <c r="A115" s="1442"/>
      <c r="B115" s="1213"/>
      <c r="C115" s="774" t="s">
        <v>628</v>
      </c>
      <c r="D115" s="1128">
        <v>103</v>
      </c>
      <c r="E115" s="1214"/>
      <c r="F115" s="1215"/>
      <c r="G115" s="1216"/>
      <c r="H115" s="1217"/>
      <c r="I115" s="1218"/>
      <c r="J115" s="1215"/>
      <c r="K115" s="1216"/>
      <c r="L115" s="1215"/>
      <c r="M115" s="1219"/>
      <c r="N115" s="1220">
        <f t="shared" si="161"/>
        <v>0</v>
      </c>
      <c r="O115" s="1221"/>
      <c r="P115" s="1222"/>
      <c r="Q115" s="1215"/>
      <c r="R115" s="1216"/>
      <c r="S115" s="1217"/>
      <c r="T115" s="1218"/>
      <c r="U115" s="1215"/>
      <c r="V115" s="1216"/>
      <c r="W115" s="1215"/>
      <c r="X115" s="1448"/>
      <c r="Y115" s="1223">
        <f t="shared" si="128"/>
        <v>0</v>
      </c>
      <c r="Z115" s="1224">
        <f t="shared" si="127"/>
        <v>0</v>
      </c>
      <c r="AA115" s="1225">
        <f t="shared" si="159"/>
        <v>0</v>
      </c>
      <c r="AB115" s="1224">
        <f t="shared" si="160"/>
        <v>0</v>
      </c>
      <c r="AC115" s="1226"/>
      <c r="AD115" s="1227">
        <f t="shared" si="162"/>
        <v>0</v>
      </c>
      <c r="AE115" s="1228"/>
      <c r="AF115" s="1228"/>
      <c r="AG115" s="1229"/>
      <c r="AH115" s="1370" t="str">
        <f>IF(I115&gt;0,IF(AND(O115&gt;0,O115&lt;0.15,AE115&gt;0,AE115&lt;0.15,AF115&gt;0,AF115&lt;0.15,AG115&gt;0,AG115&lt;0.15),"","ЗЖДХ болон дээд хүүг сараар шивнэ үү."),"")</f>
        <v/>
      </c>
    </row>
    <row r="116" spans="1:34">
      <c r="A116" s="1442"/>
      <c r="B116" s="1163">
        <v>1</v>
      </c>
      <c r="C116" s="775" t="s">
        <v>163</v>
      </c>
      <c r="D116" s="1128">
        <v>104</v>
      </c>
      <c r="E116" s="1165"/>
      <c r="F116" s="1174"/>
      <c r="G116" s="1167"/>
      <c r="H116" s="1169"/>
      <c r="I116" s="1283"/>
      <c r="J116" s="1174"/>
      <c r="K116" s="1167"/>
      <c r="L116" s="1174"/>
      <c r="M116" s="1284"/>
      <c r="N116" s="1285">
        <f t="shared" si="161"/>
        <v>0</v>
      </c>
      <c r="O116" s="1286"/>
      <c r="P116" s="1287"/>
      <c r="Q116" s="1174"/>
      <c r="R116" s="1167"/>
      <c r="S116" s="1169"/>
      <c r="T116" s="1283"/>
      <c r="U116" s="1174"/>
      <c r="V116" s="1167"/>
      <c r="W116" s="1174"/>
      <c r="X116" s="1448"/>
      <c r="Y116" s="1288">
        <f t="shared" si="128"/>
        <v>0</v>
      </c>
      <c r="Z116" s="1172">
        <f t="shared" si="127"/>
        <v>0</v>
      </c>
      <c r="AA116" s="1173">
        <f t="shared" si="159"/>
        <v>0</v>
      </c>
      <c r="AB116" s="1172">
        <f t="shared" si="160"/>
        <v>0</v>
      </c>
      <c r="AC116" s="1289"/>
      <c r="AD116" s="1290">
        <f t="shared" si="162"/>
        <v>0</v>
      </c>
      <c r="AE116" s="1291"/>
      <c r="AF116" s="1291"/>
      <c r="AG116" s="1292"/>
      <c r="AH116" s="1370" t="str">
        <f>IF(I116&gt;0,IF(AND(O116&gt;0,O116&lt;0.15,AE116&gt;0,AE116&lt;0.15,AF116&gt;0,AF116&lt;0.15,AG116&gt;0,AG116&lt;0.15),"","ЗЖДХ болон дээд хүүг сараар шивнэ үү."),"")</f>
        <v/>
      </c>
    </row>
    <row r="117" spans="1:34">
      <c r="A117" s="1442"/>
      <c r="B117" s="1163">
        <v>2</v>
      </c>
      <c r="C117" s="1142" t="s">
        <v>574</v>
      </c>
      <c r="D117" s="1128">
        <v>105</v>
      </c>
      <c r="E117" s="1165"/>
      <c r="F117" s="1174"/>
      <c r="G117" s="1167"/>
      <c r="H117" s="1169"/>
      <c r="I117" s="1283"/>
      <c r="J117" s="1174"/>
      <c r="K117" s="1167"/>
      <c r="L117" s="1174"/>
      <c r="M117" s="1284"/>
      <c r="N117" s="1285">
        <f t="shared" si="161"/>
        <v>0</v>
      </c>
      <c r="O117" s="1286"/>
      <c r="P117" s="1287"/>
      <c r="Q117" s="1174"/>
      <c r="R117" s="1167"/>
      <c r="S117" s="1169"/>
      <c r="T117" s="1283"/>
      <c r="U117" s="1174"/>
      <c r="V117" s="1167"/>
      <c r="W117" s="1174"/>
      <c r="X117" s="1448"/>
      <c r="Y117" s="1288">
        <f t="shared" si="128"/>
        <v>0</v>
      </c>
      <c r="Z117" s="1172">
        <f t="shared" si="127"/>
        <v>0</v>
      </c>
      <c r="AA117" s="1173">
        <f t="shared" si="159"/>
        <v>0</v>
      </c>
      <c r="AB117" s="1172">
        <f t="shared" si="160"/>
        <v>0</v>
      </c>
      <c r="AC117" s="1289"/>
      <c r="AD117" s="1290">
        <f t="shared" si="162"/>
        <v>0</v>
      </c>
      <c r="AE117" s="1291"/>
      <c r="AF117" s="1291"/>
      <c r="AG117" s="1292"/>
      <c r="AH117" s="1370" t="str">
        <f>IF(I117&gt;0,IF(AND(O117&gt;0,O117&lt;0.15,AE117&gt;0,AE117&lt;0.15,AF117&gt;0,AF117&lt;0.15,AG117&gt;0,AG117&lt;0.15),"","ЗЖДХ болон дээд хүүг сараар шивнэ үү."),"")</f>
        <v/>
      </c>
    </row>
    <row r="118" spans="1:34">
      <c r="A118" s="1442"/>
      <c r="B118" s="1163">
        <v>3</v>
      </c>
      <c r="C118" s="1142" t="s">
        <v>575</v>
      </c>
      <c r="D118" s="1128">
        <v>106</v>
      </c>
      <c r="E118" s="1165"/>
      <c r="F118" s="1174"/>
      <c r="G118" s="1167"/>
      <c r="H118" s="1169"/>
      <c r="I118" s="1283"/>
      <c r="J118" s="1174"/>
      <c r="K118" s="1167"/>
      <c r="L118" s="1174"/>
      <c r="M118" s="1284"/>
      <c r="N118" s="1285">
        <f t="shared" si="161"/>
        <v>0</v>
      </c>
      <c r="O118" s="1286"/>
      <c r="P118" s="1287"/>
      <c r="Q118" s="1174"/>
      <c r="R118" s="1167"/>
      <c r="S118" s="1169"/>
      <c r="T118" s="1283"/>
      <c r="U118" s="1174"/>
      <c r="V118" s="1167"/>
      <c r="W118" s="1174"/>
      <c r="X118" s="1448"/>
      <c r="Y118" s="1288">
        <f t="shared" si="128"/>
        <v>0</v>
      </c>
      <c r="Z118" s="1172">
        <f t="shared" si="127"/>
        <v>0</v>
      </c>
      <c r="AA118" s="1173">
        <f t="shared" si="159"/>
        <v>0</v>
      </c>
      <c r="AB118" s="1172">
        <f t="shared" si="160"/>
        <v>0</v>
      </c>
      <c r="AC118" s="1289"/>
      <c r="AD118" s="1290">
        <f t="shared" si="162"/>
        <v>0</v>
      </c>
      <c r="AE118" s="1291"/>
      <c r="AF118" s="1291"/>
      <c r="AG118" s="1292"/>
      <c r="AH118" s="1370" t="str">
        <f>IF(I118&gt;0,IF(AND(O118&gt;0,O118&lt;0.15,AE118&gt;0,AE118&lt;0.15,AF118&gt;0,AF118&lt;0.15,AG118&gt;0,AG118&lt;0.15),"","ЗЖДХ болон дээд хүүг сараар шивнэ үү."),"")</f>
        <v/>
      </c>
    </row>
    <row r="119" spans="1:34">
      <c r="A119" s="1442"/>
      <c r="B119" s="1307">
        <v>4</v>
      </c>
      <c r="C119" s="1241" t="s">
        <v>576</v>
      </c>
      <c r="D119" s="1128">
        <v>107</v>
      </c>
      <c r="E119" s="1242"/>
      <c r="F119" s="1243"/>
      <c r="G119" s="1170"/>
      <c r="H119" s="1244"/>
      <c r="I119" s="1294"/>
      <c r="J119" s="1243"/>
      <c r="K119" s="1170"/>
      <c r="L119" s="1243"/>
      <c r="M119" s="1295"/>
      <c r="N119" s="1296">
        <f t="shared" si="161"/>
        <v>0</v>
      </c>
      <c r="O119" s="1297"/>
      <c r="P119" s="1298"/>
      <c r="Q119" s="1243"/>
      <c r="R119" s="1170"/>
      <c r="S119" s="1244"/>
      <c r="T119" s="1294"/>
      <c r="U119" s="1243"/>
      <c r="V119" s="1170"/>
      <c r="W119" s="1243"/>
      <c r="X119" s="1448"/>
      <c r="Y119" s="1309">
        <f t="shared" si="128"/>
        <v>0</v>
      </c>
      <c r="Z119" s="1184">
        <f t="shared" si="127"/>
        <v>0</v>
      </c>
      <c r="AA119" s="1310">
        <f t="shared" si="159"/>
        <v>0</v>
      </c>
      <c r="AB119" s="1184">
        <f t="shared" si="160"/>
        <v>0</v>
      </c>
      <c r="AC119" s="1311"/>
      <c r="AD119" s="1312">
        <f t="shared" si="162"/>
        <v>0</v>
      </c>
      <c r="AE119" s="1313"/>
      <c r="AF119" s="1313"/>
      <c r="AG119" s="1314"/>
      <c r="AH119" s="1370" t="str">
        <f>IF(I119&gt;0,IF(AND(O119&gt;0,O119&lt;0.15,AE119&gt;0,AE119&lt;0.15,AF119&gt;0,AF119&lt;0.15,AG119&gt;0,AG119&lt;0.15),"","ЗЖДХ болон дээд хүүг сараар шивнэ үү."),"")</f>
        <v/>
      </c>
    </row>
    <row r="120" spans="1:34">
      <c r="A120" s="1441" t="s">
        <v>629</v>
      </c>
      <c r="B120" s="1308">
        <v>35</v>
      </c>
      <c r="C120" s="777" t="s">
        <v>630</v>
      </c>
      <c r="D120" s="1128">
        <v>108</v>
      </c>
      <c r="E120" s="1258">
        <f t="shared" ref="E120:W120" si="199">+SUM(E121:E124)</f>
        <v>0</v>
      </c>
      <c r="F120" s="1259">
        <f t="shared" ref="F120" si="200">+SUM(F121:F124)</f>
        <v>0</v>
      </c>
      <c r="G120" s="1260">
        <f t="shared" si="199"/>
        <v>0</v>
      </c>
      <c r="H120" s="1261">
        <f t="shared" ref="H120" si="201">+SUM(H121:H124)</f>
        <v>0</v>
      </c>
      <c r="I120" s="1258">
        <f t="shared" si="199"/>
        <v>0</v>
      </c>
      <c r="J120" s="1259">
        <f t="shared" ref="J120" si="202">+SUM(J121:J124)</f>
        <v>0</v>
      </c>
      <c r="K120" s="1260">
        <f t="shared" si="199"/>
        <v>0</v>
      </c>
      <c r="L120" s="1259">
        <f t="shared" ref="L120" si="203">+SUM(L121:L124)</f>
        <v>0</v>
      </c>
      <c r="M120" s="1260" t="str">
        <f>IFERROR(AVERAGE(M121:M124),"")</f>
        <v/>
      </c>
      <c r="N120" s="1262">
        <f>+SUM(N121:N124)</f>
        <v>0</v>
      </c>
      <c r="O120" s="1306" t="e">
        <f>(I121*O121+I122*O122+I123*O123+I124*O124)/I120</f>
        <v>#DIV/0!</v>
      </c>
      <c r="P120" s="1258">
        <f t="shared" si="199"/>
        <v>0</v>
      </c>
      <c r="Q120" s="1259">
        <f t="shared" ref="Q120" si="204">+SUM(Q121:Q124)</f>
        <v>0</v>
      </c>
      <c r="R120" s="1260">
        <f t="shared" si="199"/>
        <v>0</v>
      </c>
      <c r="S120" s="1261">
        <f t="shared" ref="S120" si="205">+SUM(S121:S124)</f>
        <v>0</v>
      </c>
      <c r="T120" s="1258">
        <f t="shared" si="199"/>
        <v>0</v>
      </c>
      <c r="U120" s="1259">
        <f t="shared" ref="U120" si="206">+SUM(U121:U124)</f>
        <v>0</v>
      </c>
      <c r="V120" s="1260">
        <f t="shared" si="199"/>
        <v>0</v>
      </c>
      <c r="W120" s="1259">
        <f t="shared" si="199"/>
        <v>0</v>
      </c>
      <c r="X120" s="1448"/>
      <c r="Y120" s="1258">
        <f t="shared" si="128"/>
        <v>0</v>
      </c>
      <c r="Z120" s="1265">
        <f t="shared" si="127"/>
        <v>0</v>
      </c>
      <c r="AA120" s="1260">
        <f t="shared" si="159"/>
        <v>0</v>
      </c>
      <c r="AB120" s="1265">
        <f t="shared" si="160"/>
        <v>0</v>
      </c>
      <c r="AC120" s="1209" t="str">
        <f>IFERROR(AVERAGE(AC121:AC124),"")</f>
        <v/>
      </c>
      <c r="AD120" s="1317">
        <f>+SUM(AD121:AD124)</f>
        <v>0</v>
      </c>
      <c r="AE120" s="1306" t="e">
        <f>(Y121*AE121+Y122*AE122+Y123*AE123+Y124*AE124)/Y120</f>
        <v>#DIV/0!</v>
      </c>
      <c r="AF120" s="1268">
        <f>+MAX(AF121:AF124)</f>
        <v>0</v>
      </c>
      <c r="AG120" s="1269">
        <f t="array" ref="AG120">+MIN(IF(AG121:AG124&gt;0,AG121:AG124))</f>
        <v>0</v>
      </c>
      <c r="AH120" s="1370" t="str">
        <f>IF(SUM(Y121:Y124)&gt;0,IF(SUM(Z121:Z124)=0,"Зээлдэгчийн тоог бүрэн шивнэ үү.",""),"")</f>
        <v/>
      </c>
    </row>
    <row r="121" spans="1:34">
      <c r="A121" s="1442"/>
      <c r="B121" s="1270">
        <v>1</v>
      </c>
      <c r="C121" s="774" t="s">
        <v>163</v>
      </c>
      <c r="D121" s="1128">
        <v>109</v>
      </c>
      <c r="E121" s="1214"/>
      <c r="F121" s="1215"/>
      <c r="G121" s="1216"/>
      <c r="H121" s="1217"/>
      <c r="I121" s="1271"/>
      <c r="J121" s="1215"/>
      <c r="K121" s="1216"/>
      <c r="L121" s="1215"/>
      <c r="M121" s="1272"/>
      <c r="N121" s="1273">
        <f t="shared" si="161"/>
        <v>0</v>
      </c>
      <c r="O121" s="1274"/>
      <c r="P121" s="1275"/>
      <c r="Q121" s="1215"/>
      <c r="R121" s="1216"/>
      <c r="S121" s="1217"/>
      <c r="T121" s="1271"/>
      <c r="U121" s="1215"/>
      <c r="V121" s="1216"/>
      <c r="W121" s="1215"/>
      <c r="X121" s="1448"/>
      <c r="Y121" s="1276">
        <f t="shared" si="128"/>
        <v>0</v>
      </c>
      <c r="Z121" s="1277">
        <f t="shared" si="127"/>
        <v>0</v>
      </c>
      <c r="AA121" s="1278">
        <f t="shared" si="159"/>
        <v>0</v>
      </c>
      <c r="AB121" s="1277">
        <f t="shared" si="160"/>
        <v>0</v>
      </c>
      <c r="AC121" s="1279"/>
      <c r="AD121" s="1280">
        <f t="shared" si="162"/>
        <v>0</v>
      </c>
      <c r="AE121" s="1281"/>
      <c r="AF121" s="1281"/>
      <c r="AG121" s="1282"/>
      <c r="AH121" s="1370" t="str">
        <f>IF(I121&gt;0,IF(AND(O121&gt;0,O121&lt;0.15,AE121&gt;0,AE121&lt;0.15,AF121&gt;0,AF121&lt;0.15,AG121&gt;0,AG121&lt;0.15),"","ЗЖДХ болон дээд хүүг сараар шивнэ үү."),"")</f>
        <v/>
      </c>
    </row>
    <row r="122" spans="1:34">
      <c r="A122" s="1442"/>
      <c r="B122" s="1163">
        <v>2</v>
      </c>
      <c r="C122" s="1142" t="s">
        <v>574</v>
      </c>
      <c r="D122" s="1128">
        <v>110</v>
      </c>
      <c r="E122" s="1165"/>
      <c r="F122" s="1174"/>
      <c r="G122" s="1167"/>
      <c r="H122" s="1169"/>
      <c r="I122" s="1283"/>
      <c r="J122" s="1174"/>
      <c r="K122" s="1167"/>
      <c r="L122" s="1174"/>
      <c r="M122" s="1284"/>
      <c r="N122" s="1285">
        <f t="shared" si="161"/>
        <v>0</v>
      </c>
      <c r="O122" s="1286"/>
      <c r="P122" s="1287"/>
      <c r="Q122" s="1174"/>
      <c r="R122" s="1167"/>
      <c r="S122" s="1169"/>
      <c r="T122" s="1283"/>
      <c r="U122" s="1174"/>
      <c r="V122" s="1167"/>
      <c r="W122" s="1174"/>
      <c r="X122" s="1448"/>
      <c r="Y122" s="1288">
        <f t="shared" si="128"/>
        <v>0</v>
      </c>
      <c r="Z122" s="1172">
        <f t="shared" si="127"/>
        <v>0</v>
      </c>
      <c r="AA122" s="1173">
        <f t="shared" si="159"/>
        <v>0</v>
      </c>
      <c r="AB122" s="1172">
        <f t="shared" si="160"/>
        <v>0</v>
      </c>
      <c r="AC122" s="1289"/>
      <c r="AD122" s="1290">
        <f t="shared" si="162"/>
        <v>0</v>
      </c>
      <c r="AE122" s="1291"/>
      <c r="AF122" s="1291"/>
      <c r="AG122" s="1292"/>
      <c r="AH122" s="1370" t="str">
        <f>IF(I122&gt;0,IF(AND(O122&gt;0,O122&lt;0.15,AE122&gt;0,AE122&lt;0.15,AF122&gt;0,AF122&lt;0.15,AG122&gt;0,AG122&lt;0.15),"","ЗЖДХ болон дээд хүүг сараар шивнэ үү."),"")</f>
        <v/>
      </c>
    </row>
    <row r="123" spans="1:34">
      <c r="A123" s="1442"/>
      <c r="B123" s="1163">
        <v>3</v>
      </c>
      <c r="C123" s="1142" t="s">
        <v>575</v>
      </c>
      <c r="D123" s="1128">
        <v>111</v>
      </c>
      <c r="E123" s="1165"/>
      <c r="F123" s="1174"/>
      <c r="G123" s="1167"/>
      <c r="H123" s="1169"/>
      <c r="I123" s="1283"/>
      <c r="J123" s="1174"/>
      <c r="K123" s="1167"/>
      <c r="L123" s="1174"/>
      <c r="M123" s="1284"/>
      <c r="N123" s="1285">
        <f t="shared" si="161"/>
        <v>0</v>
      </c>
      <c r="O123" s="1286"/>
      <c r="P123" s="1287"/>
      <c r="Q123" s="1174"/>
      <c r="R123" s="1167"/>
      <c r="S123" s="1169"/>
      <c r="T123" s="1283"/>
      <c r="U123" s="1174"/>
      <c r="V123" s="1167"/>
      <c r="W123" s="1174"/>
      <c r="X123" s="1448"/>
      <c r="Y123" s="1288">
        <f t="shared" si="128"/>
        <v>0</v>
      </c>
      <c r="Z123" s="1172">
        <f t="shared" si="127"/>
        <v>0</v>
      </c>
      <c r="AA123" s="1173">
        <f t="shared" si="159"/>
        <v>0</v>
      </c>
      <c r="AB123" s="1172">
        <f t="shared" si="160"/>
        <v>0</v>
      </c>
      <c r="AC123" s="1289"/>
      <c r="AD123" s="1290">
        <f t="shared" si="162"/>
        <v>0</v>
      </c>
      <c r="AE123" s="1291"/>
      <c r="AF123" s="1291"/>
      <c r="AG123" s="1292"/>
      <c r="AH123" s="1370" t="str">
        <f>IF(I123&gt;0,IF(AND(O123&gt;0,O123&lt;0.15,AE123&gt;0,AE123&lt;0.15,AF123&gt;0,AF123&lt;0.15,AG123&gt;0,AG123&lt;0.15),"","ЗЖДХ болон дээд хүүг сараар шивнэ үү."),"")</f>
        <v/>
      </c>
    </row>
    <row r="124" spans="1:34">
      <c r="A124" s="1442"/>
      <c r="B124" s="1307">
        <v>4</v>
      </c>
      <c r="C124" s="1241" t="s">
        <v>576</v>
      </c>
      <c r="D124" s="1128">
        <v>112</v>
      </c>
      <c r="E124" s="1242"/>
      <c r="F124" s="1243"/>
      <c r="G124" s="1170"/>
      <c r="H124" s="1244"/>
      <c r="I124" s="1294"/>
      <c r="J124" s="1243"/>
      <c r="K124" s="1170"/>
      <c r="L124" s="1243"/>
      <c r="M124" s="1295"/>
      <c r="N124" s="1296">
        <f t="shared" si="161"/>
        <v>0</v>
      </c>
      <c r="O124" s="1297"/>
      <c r="P124" s="1298"/>
      <c r="Q124" s="1243"/>
      <c r="R124" s="1170"/>
      <c r="S124" s="1244"/>
      <c r="T124" s="1294"/>
      <c r="U124" s="1243"/>
      <c r="V124" s="1170"/>
      <c r="W124" s="1243"/>
      <c r="X124" s="1448"/>
      <c r="Y124" s="1309">
        <f t="shared" si="128"/>
        <v>0</v>
      </c>
      <c r="Z124" s="1184">
        <f t="shared" si="127"/>
        <v>0</v>
      </c>
      <c r="AA124" s="1310">
        <f t="shared" si="159"/>
        <v>0</v>
      </c>
      <c r="AB124" s="1184">
        <f t="shared" si="160"/>
        <v>0</v>
      </c>
      <c r="AC124" s="1311"/>
      <c r="AD124" s="1312">
        <f t="shared" si="162"/>
        <v>0</v>
      </c>
      <c r="AE124" s="1313"/>
      <c r="AF124" s="1313"/>
      <c r="AG124" s="1314"/>
      <c r="AH124" s="1370" t="str">
        <f>IF(I124&gt;0,IF(AND(O124&gt;0,O124&lt;0.15,AE124&gt;0,AE124&lt;0.15,AF124&gt;0,AF124&lt;0.15,AG124&gt;0,AG124&lt;0.15),"","ЗЖДХ болон дээд хүүг сараар шивнэ үү."),"")</f>
        <v/>
      </c>
    </row>
    <row r="125" spans="1:34">
      <c r="A125" s="1441" t="s">
        <v>631</v>
      </c>
      <c r="B125" s="1308">
        <v>36</v>
      </c>
      <c r="C125" s="777" t="s">
        <v>632</v>
      </c>
      <c r="D125" s="1128">
        <v>113</v>
      </c>
      <c r="E125" s="1258">
        <f t="shared" ref="E125:W125" si="207">+SUM(E126:E129)</f>
        <v>0</v>
      </c>
      <c r="F125" s="1259">
        <f t="shared" ref="F125" si="208">+SUM(F126:F129)</f>
        <v>0</v>
      </c>
      <c r="G125" s="1260">
        <f t="shared" si="207"/>
        <v>0</v>
      </c>
      <c r="H125" s="1261">
        <f t="shared" ref="H125" si="209">+SUM(H126:H129)</f>
        <v>0</v>
      </c>
      <c r="I125" s="1258">
        <f t="shared" si="207"/>
        <v>0</v>
      </c>
      <c r="J125" s="1259">
        <f t="shared" ref="J125" si="210">+SUM(J126:J129)</f>
        <v>0</v>
      </c>
      <c r="K125" s="1260">
        <f t="shared" si="207"/>
        <v>0</v>
      </c>
      <c r="L125" s="1259">
        <f t="shared" ref="L125" si="211">+SUM(L126:L129)</f>
        <v>0</v>
      </c>
      <c r="M125" s="1260" t="str">
        <f>IFERROR(AVERAGE(M126:M129),"")</f>
        <v/>
      </c>
      <c r="N125" s="1262">
        <f t="shared" ref="N125" si="212">+SUM(N126:N129)</f>
        <v>0</v>
      </c>
      <c r="O125" s="1306" t="e">
        <f>(I126*O126+I127*O127+I128*O128+I129*O129)/I125</f>
        <v>#DIV/0!</v>
      </c>
      <c r="P125" s="1258">
        <f t="shared" si="207"/>
        <v>0</v>
      </c>
      <c r="Q125" s="1259">
        <f t="shared" ref="Q125" si="213">+SUM(Q126:Q129)</f>
        <v>0</v>
      </c>
      <c r="R125" s="1260">
        <f t="shared" si="207"/>
        <v>0</v>
      </c>
      <c r="S125" s="1261">
        <f t="shared" ref="S125" si="214">+SUM(S126:S129)</f>
        <v>0</v>
      </c>
      <c r="T125" s="1258">
        <f t="shared" si="207"/>
        <v>0</v>
      </c>
      <c r="U125" s="1259">
        <f t="shared" ref="U125" si="215">+SUM(U126:U129)</f>
        <v>0</v>
      </c>
      <c r="V125" s="1260">
        <f t="shared" si="207"/>
        <v>0</v>
      </c>
      <c r="W125" s="1259">
        <f t="shared" si="207"/>
        <v>0</v>
      </c>
      <c r="X125" s="1448"/>
      <c r="Y125" s="1258">
        <f t="shared" si="128"/>
        <v>0</v>
      </c>
      <c r="Z125" s="1265">
        <f t="shared" si="127"/>
        <v>0</v>
      </c>
      <c r="AA125" s="1260">
        <f t="shared" si="159"/>
        <v>0</v>
      </c>
      <c r="AB125" s="1265">
        <f t="shared" si="160"/>
        <v>0</v>
      </c>
      <c r="AC125" s="1209" t="str">
        <f>IFERROR(AVERAGE(AC126:AC129),"")</f>
        <v/>
      </c>
      <c r="AD125" s="1317">
        <f t="shared" ref="AD125" si="216">+SUM(AD126:AD129)</f>
        <v>0</v>
      </c>
      <c r="AE125" s="1306" t="e">
        <f>(Y126*AE126+Y127*AE127+Y128*AE128+Y129*AE129)/Y125</f>
        <v>#DIV/0!</v>
      </c>
      <c r="AF125" s="1268">
        <f>+MAX(AF126:AF129)</f>
        <v>0</v>
      </c>
      <c r="AG125" s="1269">
        <f t="array" ref="AG125">+MIN(IF(AG126:AG129&gt;0,AG126:AG129))</f>
        <v>0</v>
      </c>
      <c r="AH125" s="1370" t="str">
        <f>IF(SUM(Y126:Y129)&gt;0,IF(SUM(Z126:Z129)=0,"Зээлдэгчийн тоог бүрэн шивнэ үү.",""),"")</f>
        <v/>
      </c>
    </row>
    <row r="126" spans="1:34">
      <c r="A126" s="1442"/>
      <c r="B126" s="1270">
        <v>1</v>
      </c>
      <c r="C126" s="774" t="s">
        <v>163</v>
      </c>
      <c r="D126" s="1128">
        <v>114</v>
      </c>
      <c r="E126" s="1214"/>
      <c r="F126" s="1215"/>
      <c r="G126" s="1216"/>
      <c r="H126" s="1217"/>
      <c r="I126" s="1271"/>
      <c r="J126" s="1215"/>
      <c r="K126" s="1216"/>
      <c r="L126" s="1215"/>
      <c r="M126" s="1272"/>
      <c r="N126" s="1273">
        <f t="shared" si="161"/>
        <v>0</v>
      </c>
      <c r="O126" s="1274"/>
      <c r="P126" s="1275"/>
      <c r="Q126" s="1215"/>
      <c r="R126" s="1216"/>
      <c r="S126" s="1217"/>
      <c r="T126" s="1271"/>
      <c r="U126" s="1215"/>
      <c r="V126" s="1216"/>
      <c r="W126" s="1215"/>
      <c r="X126" s="1448"/>
      <c r="Y126" s="1276">
        <f t="shared" si="128"/>
        <v>0</v>
      </c>
      <c r="Z126" s="1277">
        <f t="shared" si="127"/>
        <v>0</v>
      </c>
      <c r="AA126" s="1278">
        <f t="shared" si="159"/>
        <v>0</v>
      </c>
      <c r="AB126" s="1277">
        <f t="shared" si="160"/>
        <v>0</v>
      </c>
      <c r="AC126" s="1279"/>
      <c r="AD126" s="1280">
        <f t="shared" si="162"/>
        <v>0</v>
      </c>
      <c r="AE126" s="1281"/>
      <c r="AF126" s="1281"/>
      <c r="AG126" s="1282"/>
      <c r="AH126" s="1370" t="str">
        <f>IF(I126&gt;0,IF(AND(O126&gt;0,O126&lt;0.15,AE126&gt;0,AE126&lt;0.15,AF126&gt;0,AF126&lt;0.15,AG126&gt;0,AG126&lt;0.15),"","ЗЖДХ болон дээд хүүг сараар шивнэ үү."),"")</f>
        <v/>
      </c>
    </row>
    <row r="127" spans="1:34">
      <c r="A127" s="1442"/>
      <c r="B127" s="1163">
        <v>2</v>
      </c>
      <c r="C127" s="1142" t="s">
        <v>574</v>
      </c>
      <c r="D127" s="1128">
        <v>115</v>
      </c>
      <c r="E127" s="1165"/>
      <c r="F127" s="1174"/>
      <c r="G127" s="1167"/>
      <c r="H127" s="1169"/>
      <c r="I127" s="1283"/>
      <c r="J127" s="1174"/>
      <c r="K127" s="1167"/>
      <c r="L127" s="1174"/>
      <c r="M127" s="1284"/>
      <c r="N127" s="1285">
        <f t="shared" si="161"/>
        <v>0</v>
      </c>
      <c r="O127" s="1286"/>
      <c r="P127" s="1287"/>
      <c r="Q127" s="1174"/>
      <c r="R127" s="1167"/>
      <c r="S127" s="1169"/>
      <c r="T127" s="1283"/>
      <c r="U127" s="1174"/>
      <c r="V127" s="1167"/>
      <c r="W127" s="1174"/>
      <c r="X127" s="1448"/>
      <c r="Y127" s="1288">
        <f t="shared" si="128"/>
        <v>0</v>
      </c>
      <c r="Z127" s="1172">
        <f t="shared" si="127"/>
        <v>0</v>
      </c>
      <c r="AA127" s="1173">
        <f t="shared" si="159"/>
        <v>0</v>
      </c>
      <c r="AB127" s="1172">
        <f t="shared" si="160"/>
        <v>0</v>
      </c>
      <c r="AC127" s="1289"/>
      <c r="AD127" s="1290">
        <f t="shared" si="162"/>
        <v>0</v>
      </c>
      <c r="AE127" s="1291"/>
      <c r="AF127" s="1291"/>
      <c r="AG127" s="1292"/>
      <c r="AH127" s="1370" t="str">
        <f>IF(I127&gt;0,IF(AND(O127&gt;0,O127&lt;0.15,AE127&gt;0,AE127&lt;0.15,AF127&gt;0,AF127&lt;0.15,AG127&gt;0,AG127&lt;0.15),"","ЗЖДХ болон дээд хүүг сараар шивнэ үү."),"")</f>
        <v/>
      </c>
    </row>
    <row r="128" spans="1:34">
      <c r="A128" s="1442"/>
      <c r="B128" s="1163">
        <v>3</v>
      </c>
      <c r="C128" s="1142" t="s">
        <v>575</v>
      </c>
      <c r="D128" s="1128">
        <v>116</v>
      </c>
      <c r="E128" s="1165"/>
      <c r="F128" s="1174"/>
      <c r="G128" s="1167"/>
      <c r="H128" s="1169"/>
      <c r="I128" s="1283"/>
      <c r="J128" s="1174"/>
      <c r="K128" s="1167"/>
      <c r="L128" s="1174"/>
      <c r="M128" s="1284"/>
      <c r="N128" s="1285">
        <f t="shared" si="161"/>
        <v>0</v>
      </c>
      <c r="O128" s="1286"/>
      <c r="P128" s="1287"/>
      <c r="Q128" s="1174"/>
      <c r="R128" s="1167"/>
      <c r="S128" s="1169"/>
      <c r="T128" s="1283"/>
      <c r="U128" s="1174"/>
      <c r="V128" s="1167"/>
      <c r="W128" s="1174"/>
      <c r="X128" s="1448"/>
      <c r="Y128" s="1288">
        <f t="shared" si="128"/>
        <v>0</v>
      </c>
      <c r="Z128" s="1172">
        <f t="shared" si="127"/>
        <v>0</v>
      </c>
      <c r="AA128" s="1173">
        <f t="shared" si="159"/>
        <v>0</v>
      </c>
      <c r="AB128" s="1172">
        <f t="shared" si="160"/>
        <v>0</v>
      </c>
      <c r="AC128" s="1289"/>
      <c r="AD128" s="1290">
        <f t="shared" si="162"/>
        <v>0</v>
      </c>
      <c r="AE128" s="1291"/>
      <c r="AF128" s="1291"/>
      <c r="AG128" s="1292"/>
      <c r="AH128" s="1370" t="str">
        <f>IF(I128&gt;0,IF(AND(O128&gt;0,O128&lt;0.15,AE128&gt;0,AE128&lt;0.15,AF128&gt;0,AF128&lt;0.15,AG128&gt;0,AG128&lt;0.15),"","ЗЖДХ болон дээд хүүг сараар шивнэ үү."),"")</f>
        <v/>
      </c>
    </row>
    <row r="129" spans="1:34">
      <c r="A129" s="1442"/>
      <c r="B129" s="1307">
        <v>4</v>
      </c>
      <c r="C129" s="1241" t="s">
        <v>576</v>
      </c>
      <c r="D129" s="1128">
        <v>117</v>
      </c>
      <c r="E129" s="1242"/>
      <c r="F129" s="1243"/>
      <c r="G129" s="1170"/>
      <c r="H129" s="1244"/>
      <c r="I129" s="1294"/>
      <c r="J129" s="1243"/>
      <c r="K129" s="1170"/>
      <c r="L129" s="1243"/>
      <c r="M129" s="1295"/>
      <c r="N129" s="1296">
        <f t="shared" si="161"/>
        <v>0</v>
      </c>
      <c r="O129" s="1297"/>
      <c r="P129" s="1298"/>
      <c r="Q129" s="1243"/>
      <c r="R129" s="1170"/>
      <c r="S129" s="1244"/>
      <c r="T129" s="1294"/>
      <c r="U129" s="1243"/>
      <c r="V129" s="1170"/>
      <c r="W129" s="1243"/>
      <c r="X129" s="1448"/>
      <c r="Y129" s="1309">
        <f t="shared" si="128"/>
        <v>0</v>
      </c>
      <c r="Z129" s="1184">
        <f t="shared" si="127"/>
        <v>0</v>
      </c>
      <c r="AA129" s="1310">
        <f t="shared" si="159"/>
        <v>0</v>
      </c>
      <c r="AB129" s="1184">
        <f t="shared" si="160"/>
        <v>0</v>
      </c>
      <c r="AC129" s="1311"/>
      <c r="AD129" s="1312">
        <f t="shared" si="162"/>
        <v>0</v>
      </c>
      <c r="AE129" s="1313"/>
      <c r="AF129" s="1313"/>
      <c r="AG129" s="1314"/>
      <c r="AH129" s="1370" t="str">
        <f>IF(I129&gt;0,IF(AND(O129&gt;0,O129&lt;0.15,AE129&gt;0,AE129&lt;0.15,AF129&gt;0,AF129&lt;0.15,AG129&gt;0,AG129&lt;0.15),"","ЗЖДХ болон дээд хүүг сараар шивнэ үү."),"")</f>
        <v/>
      </c>
    </row>
    <row r="130" spans="1:34" ht="63.75">
      <c r="A130" s="1441" t="s">
        <v>633</v>
      </c>
      <c r="B130" s="1308">
        <v>37</v>
      </c>
      <c r="C130" s="777" t="s">
        <v>634</v>
      </c>
      <c r="D130" s="1128">
        <v>118</v>
      </c>
      <c r="E130" s="1258">
        <f t="shared" ref="E130:W130" si="217">+SUM(E131:E134)</f>
        <v>0</v>
      </c>
      <c r="F130" s="1259">
        <f t="shared" ref="F130" si="218">+SUM(F131:F134)</f>
        <v>0</v>
      </c>
      <c r="G130" s="1260">
        <f t="shared" si="217"/>
        <v>0</v>
      </c>
      <c r="H130" s="1261">
        <f t="shared" ref="H130" si="219">+SUM(H131:H134)</f>
        <v>0</v>
      </c>
      <c r="I130" s="1258">
        <f t="shared" si="217"/>
        <v>0</v>
      </c>
      <c r="J130" s="1259">
        <f t="shared" ref="J130" si="220">+SUM(J131:J134)</f>
        <v>0</v>
      </c>
      <c r="K130" s="1260">
        <f t="shared" si="217"/>
        <v>0</v>
      </c>
      <c r="L130" s="1259">
        <f t="shared" ref="L130" si="221">+SUM(L131:L134)</f>
        <v>0</v>
      </c>
      <c r="M130" s="1260" t="str">
        <f>IFERROR(AVERAGE(M131:M134),"")</f>
        <v/>
      </c>
      <c r="N130" s="1262">
        <f>+SUM(N131:N134)</f>
        <v>0</v>
      </c>
      <c r="O130" s="1306" t="e">
        <f>(I131*O131+I132*O132+I133*O133+I134*O134)/I130</f>
        <v>#DIV/0!</v>
      </c>
      <c r="P130" s="1258">
        <f t="shared" si="217"/>
        <v>0</v>
      </c>
      <c r="Q130" s="1259">
        <f t="shared" ref="Q130" si="222">+SUM(Q131:Q134)</f>
        <v>0</v>
      </c>
      <c r="R130" s="1260">
        <f t="shared" si="217"/>
        <v>0</v>
      </c>
      <c r="S130" s="1261">
        <f t="shared" ref="S130" si="223">+SUM(S131:S134)</f>
        <v>0</v>
      </c>
      <c r="T130" s="1258">
        <f t="shared" si="217"/>
        <v>0</v>
      </c>
      <c r="U130" s="1259">
        <f t="shared" ref="U130" si="224">+SUM(U131:U134)</f>
        <v>0</v>
      </c>
      <c r="V130" s="1260">
        <f t="shared" si="217"/>
        <v>0</v>
      </c>
      <c r="W130" s="1259">
        <f t="shared" si="217"/>
        <v>0</v>
      </c>
      <c r="X130" s="1448"/>
      <c r="Y130" s="1258">
        <f t="shared" si="128"/>
        <v>0</v>
      </c>
      <c r="Z130" s="1265">
        <f t="shared" si="127"/>
        <v>0</v>
      </c>
      <c r="AA130" s="1260">
        <f t="shared" si="159"/>
        <v>0</v>
      </c>
      <c r="AB130" s="1265">
        <f t="shared" si="160"/>
        <v>0</v>
      </c>
      <c r="AC130" s="1209" t="str">
        <f>IFERROR(AVERAGE(AC131:AC134),"")</f>
        <v/>
      </c>
      <c r="AD130" s="1317">
        <f t="shared" ref="AD130" si="225">+SUM(AD131:AD134)</f>
        <v>0</v>
      </c>
      <c r="AE130" s="1306" t="e">
        <f>(Y131*AE131+Y132*AE132+Y133*AE133+Y134*AE134)/Y130</f>
        <v>#DIV/0!</v>
      </c>
      <c r="AF130" s="1268">
        <f>+MAX(AF131:AF134)</f>
        <v>0</v>
      </c>
      <c r="AG130" s="1269">
        <f t="array" ref="AG130">+MIN(IF(AG131:AG134&gt;0,AG131:AG134))</f>
        <v>0</v>
      </c>
      <c r="AH130" s="1370" t="str">
        <f>IF(SUM(Y131:Y134)&gt;0,IF(SUM(Z131:Z134)=0,"Зээлдэгчийн тоог бүрэн шивнэ үү.",""),"")</f>
        <v/>
      </c>
    </row>
    <row r="131" spans="1:34">
      <c r="A131" s="1442"/>
      <c r="B131" s="1270">
        <v>1</v>
      </c>
      <c r="C131" s="774" t="s">
        <v>163</v>
      </c>
      <c r="D131" s="1128">
        <v>119</v>
      </c>
      <c r="E131" s="1214"/>
      <c r="F131" s="1215"/>
      <c r="G131" s="1216"/>
      <c r="H131" s="1217"/>
      <c r="I131" s="1271"/>
      <c r="J131" s="1215"/>
      <c r="K131" s="1216"/>
      <c r="L131" s="1215"/>
      <c r="M131" s="1272"/>
      <c r="N131" s="1273">
        <f t="shared" si="161"/>
        <v>0</v>
      </c>
      <c r="O131" s="1274"/>
      <c r="P131" s="1275"/>
      <c r="Q131" s="1215"/>
      <c r="R131" s="1216"/>
      <c r="S131" s="1217"/>
      <c r="T131" s="1271"/>
      <c r="U131" s="1215"/>
      <c r="V131" s="1216"/>
      <c r="W131" s="1215"/>
      <c r="X131" s="1448"/>
      <c r="Y131" s="1276">
        <f t="shared" si="128"/>
        <v>0</v>
      </c>
      <c r="Z131" s="1277">
        <f t="shared" si="127"/>
        <v>0</v>
      </c>
      <c r="AA131" s="1278">
        <f t="shared" si="159"/>
        <v>0</v>
      </c>
      <c r="AB131" s="1277">
        <f t="shared" si="160"/>
        <v>0</v>
      </c>
      <c r="AC131" s="1279"/>
      <c r="AD131" s="1280">
        <f t="shared" si="162"/>
        <v>0</v>
      </c>
      <c r="AE131" s="1281"/>
      <c r="AF131" s="1281"/>
      <c r="AG131" s="1282"/>
      <c r="AH131" s="1370" t="str">
        <f>IF(I131&gt;0,IF(AND(O131&gt;0,O131&lt;0.15,AE131&gt;0,AE131&lt;0.15,AF131&gt;0,AF131&lt;0.15,AG131&gt;0,AG131&lt;0.15),"","ЗЖДХ болон дээд хүүг сараар шивнэ үү."),"")</f>
        <v/>
      </c>
    </row>
    <row r="132" spans="1:34">
      <c r="A132" s="1442"/>
      <c r="B132" s="1163">
        <v>2</v>
      </c>
      <c r="C132" s="1142" t="s">
        <v>574</v>
      </c>
      <c r="D132" s="1128">
        <v>120</v>
      </c>
      <c r="E132" s="1165"/>
      <c r="F132" s="1174"/>
      <c r="G132" s="1167"/>
      <c r="H132" s="1169"/>
      <c r="I132" s="1283"/>
      <c r="J132" s="1174"/>
      <c r="K132" s="1167"/>
      <c r="L132" s="1174"/>
      <c r="M132" s="1284"/>
      <c r="N132" s="1285">
        <f t="shared" si="161"/>
        <v>0</v>
      </c>
      <c r="O132" s="1286"/>
      <c r="P132" s="1287"/>
      <c r="Q132" s="1174"/>
      <c r="R132" s="1167"/>
      <c r="S132" s="1169"/>
      <c r="T132" s="1283"/>
      <c r="U132" s="1174"/>
      <c r="V132" s="1167"/>
      <c r="W132" s="1174"/>
      <c r="X132" s="1448"/>
      <c r="Y132" s="1288">
        <f t="shared" si="128"/>
        <v>0</v>
      </c>
      <c r="Z132" s="1172">
        <f t="shared" si="127"/>
        <v>0</v>
      </c>
      <c r="AA132" s="1173">
        <f t="shared" si="159"/>
        <v>0</v>
      </c>
      <c r="AB132" s="1172">
        <f t="shared" si="160"/>
        <v>0</v>
      </c>
      <c r="AC132" s="1289"/>
      <c r="AD132" s="1290">
        <f t="shared" si="162"/>
        <v>0</v>
      </c>
      <c r="AE132" s="1291"/>
      <c r="AF132" s="1291"/>
      <c r="AG132" s="1292"/>
      <c r="AH132" s="1370" t="str">
        <f>IF(I132&gt;0,IF(AND(O132&gt;0,O132&lt;0.15,AE132&gt;0,AE132&lt;0.15,AF132&gt;0,AF132&lt;0.15,AG132&gt;0,AG132&lt;0.15),"","ЗЖДХ болон дээд хүүг сараар шивнэ үү."),"")</f>
        <v/>
      </c>
    </row>
    <row r="133" spans="1:34">
      <c r="A133" s="1442"/>
      <c r="B133" s="1163">
        <v>3</v>
      </c>
      <c r="C133" s="1142" t="s">
        <v>575</v>
      </c>
      <c r="D133" s="1128">
        <v>121</v>
      </c>
      <c r="E133" s="1165"/>
      <c r="F133" s="1174"/>
      <c r="G133" s="1167"/>
      <c r="H133" s="1169"/>
      <c r="I133" s="1283"/>
      <c r="J133" s="1174"/>
      <c r="K133" s="1167"/>
      <c r="L133" s="1174"/>
      <c r="M133" s="1284"/>
      <c r="N133" s="1285">
        <f t="shared" si="161"/>
        <v>0</v>
      </c>
      <c r="O133" s="1286"/>
      <c r="P133" s="1287"/>
      <c r="Q133" s="1174"/>
      <c r="R133" s="1167"/>
      <c r="S133" s="1169"/>
      <c r="T133" s="1283"/>
      <c r="U133" s="1174"/>
      <c r="V133" s="1167"/>
      <c r="W133" s="1174"/>
      <c r="X133" s="1448"/>
      <c r="Y133" s="1288">
        <f t="shared" si="128"/>
        <v>0</v>
      </c>
      <c r="Z133" s="1172">
        <f t="shared" si="127"/>
        <v>0</v>
      </c>
      <c r="AA133" s="1173">
        <f t="shared" si="159"/>
        <v>0</v>
      </c>
      <c r="AB133" s="1172">
        <f t="shared" si="160"/>
        <v>0</v>
      </c>
      <c r="AC133" s="1289"/>
      <c r="AD133" s="1290">
        <f t="shared" si="162"/>
        <v>0</v>
      </c>
      <c r="AE133" s="1291"/>
      <c r="AF133" s="1291"/>
      <c r="AG133" s="1292"/>
      <c r="AH133" s="1370" t="str">
        <f>IF(I133&gt;0,IF(AND(O133&gt;0,O133&lt;0.15,AE133&gt;0,AE133&lt;0.15,AF133&gt;0,AF133&lt;0.15,AG133&gt;0,AG133&lt;0.15),"","ЗЖДХ болон дээд хүүг сараар шивнэ үү."),"")</f>
        <v/>
      </c>
    </row>
    <row r="134" spans="1:34">
      <c r="A134" s="1442"/>
      <c r="B134" s="1307">
        <v>4</v>
      </c>
      <c r="C134" s="1241" t="s">
        <v>576</v>
      </c>
      <c r="D134" s="1128">
        <v>122</v>
      </c>
      <c r="E134" s="1242"/>
      <c r="F134" s="1243"/>
      <c r="G134" s="1170"/>
      <c r="H134" s="1244"/>
      <c r="I134" s="1294"/>
      <c r="J134" s="1243"/>
      <c r="K134" s="1170"/>
      <c r="L134" s="1243"/>
      <c r="M134" s="1295"/>
      <c r="N134" s="1296">
        <f t="shared" si="161"/>
        <v>0</v>
      </c>
      <c r="O134" s="1316"/>
      <c r="P134" s="1298"/>
      <c r="Q134" s="1243"/>
      <c r="R134" s="1170"/>
      <c r="S134" s="1244"/>
      <c r="T134" s="1294"/>
      <c r="U134" s="1243"/>
      <c r="V134" s="1170"/>
      <c r="W134" s="1243"/>
      <c r="X134" s="1448"/>
      <c r="Y134" s="1309">
        <f t="shared" si="128"/>
        <v>0</v>
      </c>
      <c r="Z134" s="1184">
        <f t="shared" si="127"/>
        <v>0</v>
      </c>
      <c r="AA134" s="1310">
        <f t="shared" si="159"/>
        <v>0</v>
      </c>
      <c r="AB134" s="1184">
        <f t="shared" si="160"/>
        <v>0</v>
      </c>
      <c r="AC134" s="1311"/>
      <c r="AD134" s="1312">
        <f t="shared" si="162"/>
        <v>0</v>
      </c>
      <c r="AE134" s="1313"/>
      <c r="AF134" s="1313"/>
      <c r="AG134" s="1314"/>
      <c r="AH134" s="1370" t="str">
        <f>IF(I134&gt;0,IF(AND(O134&gt;0,O134&lt;0.15,AE134&gt;0,AE134&lt;0.15,AF134&gt;0,AF134&lt;0.15,AG134&gt;0,AG134&lt;0.15),"","ЗЖДХ болон дээд хүүг сараар шивнэ үү."),"")</f>
        <v/>
      </c>
    </row>
    <row r="135" spans="1:34" ht="25.5">
      <c r="A135" s="1441" t="s">
        <v>635</v>
      </c>
      <c r="B135" s="1308">
        <v>38</v>
      </c>
      <c r="C135" s="777" t="s">
        <v>636</v>
      </c>
      <c r="D135" s="1128">
        <v>123</v>
      </c>
      <c r="E135" s="1258">
        <f t="shared" ref="E135:W135" si="226">+SUM(E136:E139)</f>
        <v>0</v>
      </c>
      <c r="F135" s="1259">
        <f t="shared" ref="F135" si="227">+SUM(F136:F139)</f>
        <v>0</v>
      </c>
      <c r="G135" s="1260">
        <f t="shared" si="226"/>
        <v>0</v>
      </c>
      <c r="H135" s="1261">
        <f t="shared" ref="H135" si="228">+SUM(H136:H139)</f>
        <v>0</v>
      </c>
      <c r="I135" s="1258">
        <f t="shared" si="226"/>
        <v>0</v>
      </c>
      <c r="J135" s="1259">
        <f t="shared" ref="J135" si="229">+SUM(J136:J139)</f>
        <v>0</v>
      </c>
      <c r="K135" s="1260">
        <f t="shared" si="226"/>
        <v>0</v>
      </c>
      <c r="L135" s="1259">
        <f t="shared" ref="L135" si="230">+SUM(L136:L139)</f>
        <v>0</v>
      </c>
      <c r="M135" s="1260" t="str">
        <f>IFERROR(AVERAGE(M136:M139),"")</f>
        <v/>
      </c>
      <c r="N135" s="1203">
        <f>+SUM(N136:N139)</f>
        <v>0</v>
      </c>
      <c r="O135" s="1267" t="e">
        <f>(I136*O136+I137*O137+I138*O138+I139*O139)/I135</f>
        <v>#DIV/0!</v>
      </c>
      <c r="P135" s="1258">
        <f t="shared" si="226"/>
        <v>0</v>
      </c>
      <c r="Q135" s="1259">
        <f t="shared" ref="Q135" si="231">+SUM(Q136:Q139)</f>
        <v>0</v>
      </c>
      <c r="R135" s="1260">
        <f t="shared" si="226"/>
        <v>0</v>
      </c>
      <c r="S135" s="1261">
        <f t="shared" ref="S135" si="232">+SUM(S136:S139)</f>
        <v>0</v>
      </c>
      <c r="T135" s="1258">
        <f t="shared" si="226"/>
        <v>0</v>
      </c>
      <c r="U135" s="1259">
        <f t="shared" ref="U135" si="233">+SUM(U136:U139)</f>
        <v>0</v>
      </c>
      <c r="V135" s="1260">
        <f t="shared" si="226"/>
        <v>0</v>
      </c>
      <c r="W135" s="1259">
        <f t="shared" si="226"/>
        <v>0</v>
      </c>
      <c r="X135" s="1448"/>
      <c r="Y135" s="1258">
        <f t="shared" si="128"/>
        <v>0</v>
      </c>
      <c r="Z135" s="1265">
        <f t="shared" si="127"/>
        <v>0</v>
      </c>
      <c r="AA135" s="1260">
        <f t="shared" si="159"/>
        <v>0</v>
      </c>
      <c r="AB135" s="1265">
        <f t="shared" si="160"/>
        <v>0</v>
      </c>
      <c r="AC135" s="1209" t="str">
        <f>IFERROR(AVERAGE(AC136:AC139),"")</f>
        <v/>
      </c>
      <c r="AD135" s="1317">
        <f t="shared" ref="AD135" si="234">+SUM(AD136:AD139)</f>
        <v>0</v>
      </c>
      <c r="AE135" s="1306" t="e">
        <f>(Y136*AE136+Y137*AE137+Y138*AE138+Y139*AE139)/Y135</f>
        <v>#DIV/0!</v>
      </c>
      <c r="AF135" s="1268">
        <f>+MAX(AF136:AF139)</f>
        <v>0</v>
      </c>
      <c r="AG135" s="1269">
        <f t="array" ref="AG135">+MIN(IF(AG136:AG139&gt;0,AG136:AG139))</f>
        <v>0</v>
      </c>
      <c r="AH135" s="1370" t="str">
        <f>IF(SUM(Y136:Y139)&gt;0,IF(SUM(Z136:Z139)=0,"Зээлдэгчийн тоог бүрэн шивнэ үү.",""),"")</f>
        <v/>
      </c>
    </row>
    <row r="136" spans="1:34">
      <c r="A136" s="1442"/>
      <c r="B136" s="1270">
        <v>1</v>
      </c>
      <c r="C136" s="774" t="s">
        <v>163</v>
      </c>
      <c r="D136" s="1128">
        <v>124</v>
      </c>
      <c r="E136" s="1214"/>
      <c r="F136" s="1215"/>
      <c r="G136" s="1216"/>
      <c r="H136" s="1217"/>
      <c r="I136" s="1271"/>
      <c r="J136" s="1215"/>
      <c r="K136" s="1216"/>
      <c r="L136" s="1215"/>
      <c r="M136" s="1272"/>
      <c r="N136" s="1273">
        <f t="shared" si="161"/>
        <v>0</v>
      </c>
      <c r="O136" s="1274"/>
      <c r="P136" s="1275"/>
      <c r="Q136" s="1215"/>
      <c r="R136" s="1216"/>
      <c r="S136" s="1217"/>
      <c r="T136" s="1271"/>
      <c r="U136" s="1215"/>
      <c r="V136" s="1216"/>
      <c r="W136" s="1215"/>
      <c r="X136" s="1448"/>
      <c r="Y136" s="1276">
        <f t="shared" si="128"/>
        <v>0</v>
      </c>
      <c r="Z136" s="1277">
        <f t="shared" si="127"/>
        <v>0</v>
      </c>
      <c r="AA136" s="1278">
        <f t="shared" si="159"/>
        <v>0</v>
      </c>
      <c r="AB136" s="1277">
        <f t="shared" si="160"/>
        <v>0</v>
      </c>
      <c r="AC136" s="1279"/>
      <c r="AD136" s="1280">
        <f t="shared" si="162"/>
        <v>0</v>
      </c>
      <c r="AE136" s="1281"/>
      <c r="AF136" s="1281"/>
      <c r="AG136" s="1282"/>
      <c r="AH136" s="1370" t="str">
        <f>IF(I136&gt;0,IF(AND(O136&gt;0,O136&lt;0.15,AE136&gt;0,AE136&lt;0.15,AF136&gt;0,AF136&lt;0.15,AG136&gt;0,AG136&lt;0.15),"","ЗЖДХ болон дээд хүүг сараар шивнэ үү."),"")</f>
        <v/>
      </c>
    </row>
    <row r="137" spans="1:34">
      <c r="A137" s="1442"/>
      <c r="B137" s="1163">
        <v>2</v>
      </c>
      <c r="C137" s="1142" t="s">
        <v>574</v>
      </c>
      <c r="D137" s="1128">
        <v>125</v>
      </c>
      <c r="E137" s="1165"/>
      <c r="F137" s="1174"/>
      <c r="G137" s="1167"/>
      <c r="H137" s="1169"/>
      <c r="I137" s="1283"/>
      <c r="J137" s="1174"/>
      <c r="K137" s="1167"/>
      <c r="L137" s="1174"/>
      <c r="M137" s="1284"/>
      <c r="N137" s="1285">
        <f t="shared" si="161"/>
        <v>0</v>
      </c>
      <c r="O137" s="1286"/>
      <c r="P137" s="1287"/>
      <c r="Q137" s="1174"/>
      <c r="R137" s="1167"/>
      <c r="S137" s="1169"/>
      <c r="T137" s="1283"/>
      <c r="U137" s="1174"/>
      <c r="V137" s="1167"/>
      <c r="W137" s="1174"/>
      <c r="X137" s="1448"/>
      <c r="Y137" s="1288">
        <f t="shared" si="128"/>
        <v>0</v>
      </c>
      <c r="Z137" s="1172">
        <f t="shared" si="127"/>
        <v>0</v>
      </c>
      <c r="AA137" s="1173">
        <f t="shared" si="159"/>
        <v>0</v>
      </c>
      <c r="AB137" s="1172">
        <f t="shared" si="160"/>
        <v>0</v>
      </c>
      <c r="AC137" s="1289"/>
      <c r="AD137" s="1290">
        <f t="shared" si="162"/>
        <v>0</v>
      </c>
      <c r="AE137" s="1291"/>
      <c r="AF137" s="1291"/>
      <c r="AG137" s="1292"/>
      <c r="AH137" s="1370" t="str">
        <f>IF(I137&gt;0,IF(AND(O137&gt;0,O137&lt;0.15,AE137&gt;0,AE137&lt;0.15,AF137&gt;0,AF137&lt;0.15,AG137&gt;0,AG137&lt;0.15),"","ЗЖДХ болон дээд хүүг сараар шивнэ үү."),"")</f>
        <v/>
      </c>
    </row>
    <row r="138" spans="1:34">
      <c r="A138" s="1442"/>
      <c r="B138" s="1163">
        <v>3</v>
      </c>
      <c r="C138" s="1142" t="s">
        <v>575</v>
      </c>
      <c r="D138" s="1128">
        <v>126</v>
      </c>
      <c r="E138" s="1165"/>
      <c r="F138" s="1174"/>
      <c r="G138" s="1167"/>
      <c r="H138" s="1169"/>
      <c r="I138" s="1283"/>
      <c r="J138" s="1174"/>
      <c r="K138" s="1167"/>
      <c r="L138" s="1174"/>
      <c r="M138" s="1284"/>
      <c r="N138" s="1285">
        <f t="shared" si="161"/>
        <v>0</v>
      </c>
      <c r="O138" s="1286"/>
      <c r="P138" s="1287"/>
      <c r="Q138" s="1174"/>
      <c r="R138" s="1167"/>
      <c r="S138" s="1169"/>
      <c r="T138" s="1283"/>
      <c r="U138" s="1174"/>
      <c r="V138" s="1167"/>
      <c r="W138" s="1174"/>
      <c r="X138" s="1448"/>
      <c r="Y138" s="1288">
        <f t="shared" si="128"/>
        <v>0</v>
      </c>
      <c r="Z138" s="1172">
        <f t="shared" si="127"/>
        <v>0</v>
      </c>
      <c r="AA138" s="1173">
        <f t="shared" si="159"/>
        <v>0</v>
      </c>
      <c r="AB138" s="1172">
        <f t="shared" si="160"/>
        <v>0</v>
      </c>
      <c r="AC138" s="1289"/>
      <c r="AD138" s="1290">
        <f t="shared" si="162"/>
        <v>0</v>
      </c>
      <c r="AE138" s="1291"/>
      <c r="AF138" s="1291"/>
      <c r="AG138" s="1292"/>
      <c r="AH138" s="1370" t="str">
        <f>IF(I138&gt;0,IF(AND(O138&gt;0,O138&lt;0.15,AE138&gt;0,AE138&lt;0.15,AF138&gt;0,AF138&lt;0.15,AG138&gt;0,AG138&lt;0.15),"","ЗЖДХ болон дээд хүүг сараар шивнэ үү."),"")</f>
        <v/>
      </c>
    </row>
    <row r="139" spans="1:34">
      <c r="A139" s="1442"/>
      <c r="B139" s="1307">
        <v>4</v>
      </c>
      <c r="C139" s="1241" t="s">
        <v>576</v>
      </c>
      <c r="D139" s="1128">
        <v>127</v>
      </c>
      <c r="E139" s="1177"/>
      <c r="F139" s="1322"/>
      <c r="G139" s="1179"/>
      <c r="H139" s="1181"/>
      <c r="I139" s="1323"/>
      <c r="J139" s="1322"/>
      <c r="K139" s="1179"/>
      <c r="L139" s="1322"/>
      <c r="M139" s="1324"/>
      <c r="N139" s="1325">
        <f t="shared" si="161"/>
        <v>0</v>
      </c>
      <c r="O139" s="1316"/>
      <c r="P139" s="1326"/>
      <c r="Q139" s="1322"/>
      <c r="R139" s="1179"/>
      <c r="S139" s="1181"/>
      <c r="T139" s="1323"/>
      <c r="U139" s="1322"/>
      <c r="V139" s="1179"/>
      <c r="W139" s="1322"/>
      <c r="X139" s="1448"/>
      <c r="Y139" s="1309">
        <f t="shared" si="128"/>
        <v>0</v>
      </c>
      <c r="Z139" s="1184">
        <f t="shared" si="127"/>
        <v>0</v>
      </c>
      <c r="AA139" s="1310">
        <f t="shared" si="159"/>
        <v>0</v>
      </c>
      <c r="AB139" s="1184">
        <f t="shared" si="160"/>
        <v>0</v>
      </c>
      <c r="AC139" s="1311"/>
      <c r="AD139" s="1312">
        <f t="shared" si="162"/>
        <v>0</v>
      </c>
      <c r="AE139" s="1313"/>
      <c r="AF139" s="1313"/>
      <c r="AG139" s="1314"/>
      <c r="AH139" s="1370" t="str">
        <f>IF(I139&gt;0,IF(AND(O139&gt;0,O139&lt;0.15,AE139&gt;0,AE139&lt;0.15,AF139&gt;0,AF139&lt;0.15,AG139&gt;0,AG139&lt;0.15),"","ЗЖДХ болон дээд хүүг сараар шивнэ үү."),"")</f>
        <v/>
      </c>
    </row>
    <row r="140" spans="1:34">
      <c r="A140" s="1441" t="s">
        <v>103</v>
      </c>
      <c r="B140" s="1308">
        <v>39</v>
      </c>
      <c r="C140" s="777" t="s">
        <v>637</v>
      </c>
      <c r="D140" s="1128">
        <v>128</v>
      </c>
      <c r="E140" s="1258">
        <f>+SUM(E141:E149)</f>
        <v>0</v>
      </c>
      <c r="F140" s="1259">
        <f t="shared" ref="F140" si="235">+SUM(F141:F149)</f>
        <v>0</v>
      </c>
      <c r="G140" s="1260">
        <f t="shared" ref="G140:W140" si="236">+SUM(G141:G149)</f>
        <v>0</v>
      </c>
      <c r="H140" s="1261">
        <f t="shared" ref="H140" si="237">+SUM(H141:H149)</f>
        <v>0</v>
      </c>
      <c r="I140" s="1258">
        <f t="shared" si="236"/>
        <v>0</v>
      </c>
      <c r="J140" s="1259">
        <f t="shared" ref="J140" si="238">+SUM(J141:J149)</f>
        <v>0</v>
      </c>
      <c r="K140" s="1260">
        <f t="shared" si="236"/>
        <v>0</v>
      </c>
      <c r="L140" s="1259">
        <f t="shared" ref="L140" si="239">+SUM(L141:L149)</f>
        <v>0</v>
      </c>
      <c r="M140" s="1260" t="str">
        <f>IFERROR(AVERAGE(M141:M149),"")</f>
        <v/>
      </c>
      <c r="N140" s="1203">
        <f>+SUM(N141:N149)</f>
        <v>0</v>
      </c>
      <c r="O140" s="1267" t="e">
        <f>(I141*O141+I142*O142+I143*O143+I144*O144+I145*O145+I146*O146+I147*O147+I148*O148+I149*O149)/I140</f>
        <v>#DIV/0!</v>
      </c>
      <c r="P140" s="1258">
        <f t="shared" si="236"/>
        <v>0</v>
      </c>
      <c r="Q140" s="1259">
        <f t="shared" ref="Q140" si="240">+SUM(Q141:Q149)</f>
        <v>0</v>
      </c>
      <c r="R140" s="1260">
        <f t="shared" si="236"/>
        <v>0</v>
      </c>
      <c r="S140" s="1261">
        <f t="shared" ref="S140" si="241">+SUM(S141:S149)</f>
        <v>0</v>
      </c>
      <c r="T140" s="1258">
        <f t="shared" si="236"/>
        <v>0</v>
      </c>
      <c r="U140" s="1259">
        <f t="shared" ref="U140" si="242">+SUM(U141:U149)</f>
        <v>0</v>
      </c>
      <c r="V140" s="1260">
        <f t="shared" si="236"/>
        <v>0</v>
      </c>
      <c r="W140" s="1259">
        <f t="shared" si="236"/>
        <v>0</v>
      </c>
      <c r="X140" s="1448"/>
      <c r="Y140" s="1258">
        <f t="shared" si="128"/>
        <v>0</v>
      </c>
      <c r="Z140" s="1265">
        <f t="shared" si="127"/>
        <v>0</v>
      </c>
      <c r="AA140" s="1260">
        <f t="shared" si="159"/>
        <v>0</v>
      </c>
      <c r="AB140" s="1265">
        <f t="shared" si="160"/>
        <v>0</v>
      </c>
      <c r="AC140" s="1209" t="str">
        <f>IFERROR(AVERAGE(AC141:AC149),"")</f>
        <v/>
      </c>
      <c r="AD140" s="1317">
        <f>+SUM(AD141:AD149)</f>
        <v>0</v>
      </c>
      <c r="AE140" s="1306" t="e">
        <f>(Y141*AE141+Y142*AE142+Y143*AE143+Y144*AE144+Y145*AE145+Y146*AE146+Y147*AE147+Y148*AE148+Y149*AE149)/Y140</f>
        <v>#DIV/0!</v>
      </c>
      <c r="AF140" s="1268">
        <f>+MAX(AF141:AF149)</f>
        <v>0</v>
      </c>
      <c r="AG140" s="1269">
        <f t="array" ref="AG140">+MIN(IF(AG141:AG149&gt;0,AG141:AG149))</f>
        <v>0</v>
      </c>
      <c r="AH140" s="1370" t="str">
        <f>IF(SUM(Y141:Y149)&gt;0,IF(SUM(Z141:Z149)=0,"Зээлдэгчийн тоог бүрэн шивнэ үү.",""),"")</f>
        <v/>
      </c>
    </row>
    <row r="141" spans="1:34">
      <c r="A141" s="1442"/>
      <c r="B141" s="1327">
        <v>1</v>
      </c>
      <c r="C141" s="778" t="s">
        <v>638</v>
      </c>
      <c r="D141" s="1128">
        <v>129</v>
      </c>
      <c r="E141" s="1214"/>
      <c r="F141" s="1215"/>
      <c r="G141" s="1216"/>
      <c r="H141" s="1217"/>
      <c r="I141" s="1271"/>
      <c r="J141" s="1215"/>
      <c r="K141" s="1216"/>
      <c r="L141" s="1215"/>
      <c r="M141" s="1328"/>
      <c r="N141" s="1329">
        <f>+I141*O141</f>
        <v>0</v>
      </c>
      <c r="O141" s="1330"/>
      <c r="P141" s="1275"/>
      <c r="Q141" s="1215"/>
      <c r="R141" s="1216"/>
      <c r="S141" s="1217"/>
      <c r="T141" s="1271"/>
      <c r="U141" s="1215"/>
      <c r="V141" s="1216"/>
      <c r="W141" s="1215"/>
      <c r="X141" s="1448"/>
      <c r="Y141" s="1276">
        <f t="shared" si="128"/>
        <v>0</v>
      </c>
      <c r="Z141" s="1277">
        <f t="shared" si="127"/>
        <v>0</v>
      </c>
      <c r="AA141" s="1278">
        <f t="shared" si="159"/>
        <v>0</v>
      </c>
      <c r="AB141" s="1277">
        <f t="shared" si="160"/>
        <v>0</v>
      </c>
      <c r="AC141" s="1279"/>
      <c r="AD141" s="1280">
        <f>+Y141*AE141</f>
        <v>0</v>
      </c>
      <c r="AE141" s="1281"/>
      <c r="AF141" s="1281"/>
      <c r="AG141" s="1282"/>
      <c r="AH141" s="1370" t="str">
        <f t="shared" ref="AH141:AH149" si="243">IF(I141&gt;0,IF(AND(O141&gt;0,O141&lt;0.15,AE141&gt;0,AE141&lt;0.15,AF141&gt;0,AF141&lt;0.15,AG141&gt;0,AG141&lt;0.15),"","ЗЖДХ болон дээд хүүг сараар шивнэ үү."),"")</f>
        <v/>
      </c>
    </row>
    <row r="142" spans="1:34">
      <c r="A142" s="1442"/>
      <c r="B142" s="1331">
        <v>2</v>
      </c>
      <c r="C142" s="779" t="s">
        <v>639</v>
      </c>
      <c r="D142" s="1128">
        <v>130</v>
      </c>
      <c r="E142" s="1165"/>
      <c r="F142" s="1174"/>
      <c r="G142" s="1167"/>
      <c r="H142" s="1169"/>
      <c r="I142" s="1283"/>
      <c r="J142" s="1174"/>
      <c r="K142" s="1167"/>
      <c r="L142" s="1174"/>
      <c r="M142" s="1284"/>
      <c r="N142" s="1285">
        <f t="shared" si="161"/>
        <v>0</v>
      </c>
      <c r="O142" s="1286"/>
      <c r="P142" s="1287"/>
      <c r="Q142" s="1174"/>
      <c r="R142" s="1167"/>
      <c r="S142" s="1169"/>
      <c r="T142" s="1283"/>
      <c r="U142" s="1174"/>
      <c r="V142" s="1167"/>
      <c r="W142" s="1174"/>
      <c r="X142" s="1448"/>
      <c r="Y142" s="1288">
        <f t="shared" si="128"/>
        <v>0</v>
      </c>
      <c r="Z142" s="1172">
        <f t="shared" si="127"/>
        <v>0</v>
      </c>
      <c r="AA142" s="1173">
        <f t="shared" si="159"/>
        <v>0</v>
      </c>
      <c r="AB142" s="1172">
        <f t="shared" si="160"/>
        <v>0</v>
      </c>
      <c r="AC142" s="1289"/>
      <c r="AD142" s="1290">
        <f t="shared" si="162"/>
        <v>0</v>
      </c>
      <c r="AE142" s="1291"/>
      <c r="AF142" s="1291"/>
      <c r="AG142" s="1292"/>
      <c r="AH142" s="1370" t="str">
        <f t="shared" si="243"/>
        <v/>
      </c>
    </row>
    <row r="143" spans="1:34">
      <c r="A143" s="1442"/>
      <c r="B143" s="1331">
        <v>3</v>
      </c>
      <c r="C143" s="779" t="s">
        <v>640</v>
      </c>
      <c r="D143" s="1128">
        <v>131</v>
      </c>
      <c r="E143" s="1165"/>
      <c r="F143" s="1174"/>
      <c r="G143" s="1167"/>
      <c r="H143" s="1169"/>
      <c r="I143" s="1283"/>
      <c r="J143" s="1174"/>
      <c r="K143" s="1167"/>
      <c r="L143" s="1174"/>
      <c r="M143" s="1284"/>
      <c r="N143" s="1285">
        <f t="shared" si="161"/>
        <v>0</v>
      </c>
      <c r="O143" s="1286"/>
      <c r="P143" s="1287"/>
      <c r="Q143" s="1174"/>
      <c r="R143" s="1167"/>
      <c r="S143" s="1169"/>
      <c r="T143" s="1283"/>
      <c r="U143" s="1174"/>
      <c r="V143" s="1167"/>
      <c r="W143" s="1174"/>
      <c r="X143" s="1448"/>
      <c r="Y143" s="1288">
        <f t="shared" si="128"/>
        <v>0</v>
      </c>
      <c r="Z143" s="1172">
        <f t="shared" si="127"/>
        <v>0</v>
      </c>
      <c r="AA143" s="1173">
        <f>ROUND(SUM(G143,K143,-R143,-V143),2)</f>
        <v>0</v>
      </c>
      <c r="AB143" s="1172">
        <f t="shared" si="160"/>
        <v>0</v>
      </c>
      <c r="AC143" s="1289"/>
      <c r="AD143" s="1290">
        <f t="shared" si="162"/>
        <v>0</v>
      </c>
      <c r="AE143" s="1291"/>
      <c r="AF143" s="1291"/>
      <c r="AG143" s="1292"/>
      <c r="AH143" s="1370" t="str">
        <f t="shared" si="243"/>
        <v/>
      </c>
    </row>
    <row r="144" spans="1:34" s="1345" customFormat="1">
      <c r="A144" s="1442"/>
      <c r="B144" s="1331">
        <v>4</v>
      </c>
      <c r="C144" s="779" t="s">
        <v>641</v>
      </c>
      <c r="D144" s="1128">
        <v>132</v>
      </c>
      <c r="E144" s="1332"/>
      <c r="F144" s="1333"/>
      <c r="G144" s="1334"/>
      <c r="H144" s="1335"/>
      <c r="I144" s="1336"/>
      <c r="J144" s="1333"/>
      <c r="K144" s="1334"/>
      <c r="L144" s="1333"/>
      <c r="M144" s="1337"/>
      <c r="N144" s="1338">
        <f t="shared" si="161"/>
        <v>0</v>
      </c>
      <c r="O144" s="1339"/>
      <c r="P144" s="1340"/>
      <c r="Q144" s="1333"/>
      <c r="R144" s="1334"/>
      <c r="S144" s="1335"/>
      <c r="T144" s="1336"/>
      <c r="U144" s="1333"/>
      <c r="V144" s="1334"/>
      <c r="W144" s="1333"/>
      <c r="X144" s="1448"/>
      <c r="Y144" s="1341">
        <f t="shared" si="128"/>
        <v>0</v>
      </c>
      <c r="Z144" s="1342">
        <f t="shared" ref="Z144:Z149" si="244">+F144+J144-U144</f>
        <v>0</v>
      </c>
      <c r="AA144" s="1290">
        <f t="shared" si="159"/>
        <v>0</v>
      </c>
      <c r="AB144" s="1342">
        <f t="shared" si="160"/>
        <v>0</v>
      </c>
      <c r="AC144" s="1289"/>
      <c r="AD144" s="1290">
        <f t="shared" si="162"/>
        <v>0</v>
      </c>
      <c r="AE144" s="1343"/>
      <c r="AF144" s="1343"/>
      <c r="AG144" s="1344"/>
      <c r="AH144" s="1370" t="str">
        <f t="shared" si="243"/>
        <v/>
      </c>
    </row>
    <row r="145" spans="1:34">
      <c r="A145" s="1442"/>
      <c r="B145" s="1331">
        <v>5</v>
      </c>
      <c r="C145" s="779" t="s">
        <v>642</v>
      </c>
      <c r="D145" s="1128">
        <v>133</v>
      </c>
      <c r="E145" s="1165"/>
      <c r="F145" s="1174"/>
      <c r="G145" s="1167"/>
      <c r="H145" s="1169"/>
      <c r="I145" s="1283"/>
      <c r="J145" s="1174"/>
      <c r="K145" s="1167"/>
      <c r="L145" s="1174"/>
      <c r="M145" s="1284"/>
      <c r="N145" s="1285">
        <f t="shared" si="161"/>
        <v>0</v>
      </c>
      <c r="O145" s="1286"/>
      <c r="P145" s="1287"/>
      <c r="Q145" s="1174"/>
      <c r="R145" s="1167"/>
      <c r="S145" s="1169"/>
      <c r="T145" s="1283"/>
      <c r="U145" s="1174"/>
      <c r="V145" s="1167"/>
      <c r="W145" s="1174"/>
      <c r="X145" s="1448"/>
      <c r="Y145" s="1288">
        <f t="shared" si="128"/>
        <v>0</v>
      </c>
      <c r="Z145" s="1172">
        <f t="shared" si="244"/>
        <v>0</v>
      </c>
      <c r="AA145" s="1173">
        <f t="shared" si="159"/>
        <v>0</v>
      </c>
      <c r="AB145" s="1172">
        <f t="shared" si="160"/>
        <v>0</v>
      </c>
      <c r="AC145" s="1289"/>
      <c r="AD145" s="1290">
        <f t="shared" si="162"/>
        <v>0</v>
      </c>
      <c r="AE145" s="1291"/>
      <c r="AF145" s="1291"/>
      <c r="AG145" s="1292"/>
      <c r="AH145" s="1370" t="str">
        <f t="shared" si="243"/>
        <v/>
      </c>
    </row>
    <row r="146" spans="1:34">
      <c r="A146" s="1442"/>
      <c r="B146" s="1331">
        <v>6</v>
      </c>
      <c r="C146" s="779" t="s">
        <v>643</v>
      </c>
      <c r="D146" s="1128">
        <v>134</v>
      </c>
      <c r="E146" s="1165"/>
      <c r="F146" s="1174"/>
      <c r="G146" s="1167"/>
      <c r="H146" s="1169"/>
      <c r="I146" s="1283"/>
      <c r="J146" s="1174"/>
      <c r="K146" s="1167"/>
      <c r="L146" s="1174"/>
      <c r="M146" s="1284"/>
      <c r="N146" s="1285">
        <f t="shared" si="161"/>
        <v>0</v>
      </c>
      <c r="O146" s="1286"/>
      <c r="P146" s="1287"/>
      <c r="Q146" s="1174"/>
      <c r="R146" s="1167"/>
      <c r="S146" s="1169"/>
      <c r="T146" s="1283"/>
      <c r="U146" s="1174"/>
      <c r="V146" s="1167"/>
      <c r="W146" s="1174"/>
      <c r="X146" s="1448"/>
      <c r="Y146" s="1288">
        <f t="shared" ref="Y146:Y149" si="245">ROUND(SUM(E146,I146,-P146,-T146),2)</f>
        <v>0</v>
      </c>
      <c r="Z146" s="1172">
        <f t="shared" si="244"/>
        <v>0</v>
      </c>
      <c r="AA146" s="1173">
        <f t="shared" si="159"/>
        <v>0</v>
      </c>
      <c r="AB146" s="1172">
        <f t="shared" si="160"/>
        <v>0</v>
      </c>
      <c r="AC146" s="1289"/>
      <c r="AD146" s="1290">
        <f t="shared" si="162"/>
        <v>0</v>
      </c>
      <c r="AE146" s="1291"/>
      <c r="AF146" s="1291"/>
      <c r="AG146" s="1292"/>
      <c r="AH146" s="1370" t="str">
        <f t="shared" si="243"/>
        <v/>
      </c>
    </row>
    <row r="147" spans="1:34">
      <c r="A147" s="1442"/>
      <c r="B147" s="1331">
        <v>7</v>
      </c>
      <c r="C147" s="779" t="s">
        <v>644</v>
      </c>
      <c r="D147" s="1128">
        <v>135</v>
      </c>
      <c r="E147" s="1165"/>
      <c r="F147" s="1174"/>
      <c r="G147" s="1167"/>
      <c r="H147" s="1169"/>
      <c r="I147" s="1283"/>
      <c r="J147" s="1174"/>
      <c r="K147" s="1167"/>
      <c r="L147" s="1174"/>
      <c r="M147" s="1284"/>
      <c r="N147" s="1285">
        <f t="shared" si="161"/>
        <v>0</v>
      </c>
      <c r="O147" s="1286"/>
      <c r="P147" s="1287"/>
      <c r="Q147" s="1174"/>
      <c r="R147" s="1167"/>
      <c r="S147" s="1169"/>
      <c r="T147" s="1283"/>
      <c r="U147" s="1174"/>
      <c r="V147" s="1167"/>
      <c r="W147" s="1174"/>
      <c r="X147" s="1448"/>
      <c r="Y147" s="1288">
        <f t="shared" si="245"/>
        <v>0</v>
      </c>
      <c r="Z147" s="1172">
        <f t="shared" si="244"/>
        <v>0</v>
      </c>
      <c r="AA147" s="1173">
        <f t="shared" si="159"/>
        <v>0</v>
      </c>
      <c r="AB147" s="1172">
        <f t="shared" si="160"/>
        <v>0</v>
      </c>
      <c r="AC147" s="1289"/>
      <c r="AD147" s="1290">
        <f t="shared" si="162"/>
        <v>0</v>
      </c>
      <c r="AE147" s="1291"/>
      <c r="AF147" s="1291"/>
      <c r="AG147" s="1292"/>
      <c r="AH147" s="1370" t="str">
        <f t="shared" si="243"/>
        <v/>
      </c>
    </row>
    <row r="148" spans="1:34">
      <c r="A148" s="1442"/>
      <c r="B148" s="1331">
        <v>8</v>
      </c>
      <c r="C148" s="779" t="s">
        <v>645</v>
      </c>
      <c r="D148" s="1128">
        <v>136</v>
      </c>
      <c r="E148" s="1165"/>
      <c r="F148" s="1174"/>
      <c r="G148" s="1167"/>
      <c r="H148" s="1169"/>
      <c r="I148" s="1283"/>
      <c r="J148" s="1174"/>
      <c r="K148" s="1167"/>
      <c r="L148" s="1174"/>
      <c r="M148" s="1284"/>
      <c r="N148" s="1285">
        <f t="shared" si="161"/>
        <v>0</v>
      </c>
      <c r="O148" s="1286"/>
      <c r="P148" s="1287"/>
      <c r="Q148" s="1174"/>
      <c r="R148" s="1167"/>
      <c r="S148" s="1169"/>
      <c r="T148" s="1283"/>
      <c r="U148" s="1174"/>
      <c r="V148" s="1167"/>
      <c r="W148" s="1174"/>
      <c r="X148" s="1448"/>
      <c r="Y148" s="1288">
        <f t="shared" si="245"/>
        <v>0</v>
      </c>
      <c r="Z148" s="1172">
        <f t="shared" si="244"/>
        <v>0</v>
      </c>
      <c r="AA148" s="1173">
        <f t="shared" si="159"/>
        <v>0</v>
      </c>
      <c r="AB148" s="1172">
        <f t="shared" si="160"/>
        <v>0</v>
      </c>
      <c r="AC148" s="1289"/>
      <c r="AD148" s="1290">
        <f t="shared" si="162"/>
        <v>0</v>
      </c>
      <c r="AE148" s="1291"/>
      <c r="AF148" s="1291"/>
      <c r="AG148" s="1292"/>
      <c r="AH148" s="1370" t="str">
        <f t="shared" si="243"/>
        <v/>
      </c>
    </row>
    <row r="149" spans="1:34" s="1345" customFormat="1" ht="15.75" thickBot="1">
      <c r="A149" s="1446"/>
      <c r="B149" s="1346">
        <v>9</v>
      </c>
      <c r="C149" s="783" t="s">
        <v>646</v>
      </c>
      <c r="D149" s="1347">
        <v>137</v>
      </c>
      <c r="E149" s="1348"/>
      <c r="F149" s="1349"/>
      <c r="G149" s="1350"/>
      <c r="H149" s="1351"/>
      <c r="I149" s="1352"/>
      <c r="J149" s="1349"/>
      <c r="K149" s="1350"/>
      <c r="L149" s="1349"/>
      <c r="M149" s="1353"/>
      <c r="N149" s="1354">
        <f t="shared" si="161"/>
        <v>0</v>
      </c>
      <c r="O149" s="1355"/>
      <c r="P149" s="1356"/>
      <c r="Q149" s="1349"/>
      <c r="R149" s="1350"/>
      <c r="S149" s="1351"/>
      <c r="T149" s="1352"/>
      <c r="U149" s="1349"/>
      <c r="V149" s="1350"/>
      <c r="W149" s="1349"/>
      <c r="X149" s="1449"/>
      <c r="Y149" s="1357">
        <f t="shared" si="245"/>
        <v>0</v>
      </c>
      <c r="Z149" s="1358">
        <f t="shared" si="244"/>
        <v>0</v>
      </c>
      <c r="AA149" s="1359">
        <f t="shared" si="159"/>
        <v>0</v>
      </c>
      <c r="AB149" s="1358">
        <f t="shared" si="160"/>
        <v>0</v>
      </c>
      <c r="AC149" s="1360"/>
      <c r="AD149" s="1359">
        <f t="shared" si="162"/>
        <v>0</v>
      </c>
      <c r="AE149" s="1361"/>
      <c r="AF149" s="1361"/>
      <c r="AG149" s="1362"/>
      <c r="AH149" s="1370" t="str">
        <f t="shared" si="243"/>
        <v/>
      </c>
    </row>
    <row r="151" spans="1:34" ht="15" customHeight="1">
      <c r="A151" s="1435" t="s">
        <v>647</v>
      </c>
      <c r="B151" s="1435"/>
      <c r="C151" s="1435"/>
      <c r="D151" s="1435"/>
      <c r="E151" s="1435"/>
      <c r="F151" s="1435"/>
      <c r="G151" s="1435"/>
      <c r="H151" s="1435"/>
      <c r="I151" s="1435"/>
      <c r="J151" s="1435"/>
      <c r="K151" s="1435"/>
      <c r="L151" s="1435"/>
      <c r="M151" s="1435"/>
      <c r="N151" s="1435"/>
      <c r="O151" s="1435"/>
      <c r="R151" s="371"/>
      <c r="S151" s="371"/>
      <c r="V151" s="371"/>
      <c r="W151" s="371"/>
      <c r="AC151" s="371"/>
      <c r="AD151" s="371"/>
      <c r="AE151" s="371"/>
      <c r="AF151" s="371"/>
      <c r="AG151" s="371"/>
      <c r="AH151" s="1367"/>
    </row>
    <row r="152" spans="1:34" ht="15" customHeight="1">
      <c r="A152" s="29" t="s">
        <v>648</v>
      </c>
      <c r="B152" s="29"/>
      <c r="C152" s="29"/>
      <c r="D152" s="29"/>
      <c r="E152" s="29"/>
      <c r="F152" s="29"/>
      <c r="G152" s="29"/>
      <c r="H152" s="29"/>
      <c r="I152" s="29"/>
      <c r="J152" s="29"/>
      <c r="K152" s="29"/>
      <c r="L152" s="29"/>
      <c r="M152" s="29"/>
      <c r="N152" s="29"/>
      <c r="O152" s="29"/>
      <c r="P152" s="29"/>
      <c r="Q152" s="29"/>
      <c r="R152" s="29"/>
      <c r="S152" s="29"/>
      <c r="T152" s="29"/>
      <c r="U152" s="29"/>
      <c r="V152" s="371"/>
      <c r="W152" s="371"/>
      <c r="AC152" s="371"/>
      <c r="AD152" s="371"/>
      <c r="AE152" s="371"/>
      <c r="AF152" s="371"/>
      <c r="AG152" s="371"/>
      <c r="AH152" s="1367"/>
    </row>
    <row r="153" spans="1:34" ht="15" customHeight="1">
      <c r="A153" s="29" t="s">
        <v>649</v>
      </c>
      <c r="E153" s="371"/>
      <c r="G153" s="371"/>
      <c r="K153" s="371"/>
      <c r="O153" s="371"/>
      <c r="R153" s="371"/>
      <c r="S153" s="371"/>
      <c r="V153" s="371"/>
      <c r="W153" s="371"/>
      <c r="AC153" s="371"/>
      <c r="AD153" s="371"/>
      <c r="AE153" s="371"/>
      <c r="AF153" s="371"/>
      <c r="AG153" s="371"/>
      <c r="AH153" s="1367"/>
    </row>
    <row r="154" spans="1:34" ht="12.75" customHeight="1">
      <c r="A154" s="29"/>
      <c r="B154" s="1363" t="s">
        <v>650</v>
      </c>
      <c r="C154" s="679"/>
      <c r="E154" s="371"/>
      <c r="G154" s="371"/>
      <c r="K154" s="371"/>
      <c r="O154" s="371"/>
      <c r="R154" s="371"/>
      <c r="S154" s="371"/>
      <c r="V154" s="371"/>
      <c r="W154" s="371"/>
      <c r="AC154" s="371"/>
      <c r="AD154" s="371"/>
      <c r="AE154" s="371"/>
      <c r="AF154" s="371"/>
      <c r="AG154" s="371"/>
      <c r="AH154" s="1367"/>
    </row>
    <row r="155" spans="1:34" ht="357">
      <c r="A155" s="29" t="s">
        <v>651</v>
      </c>
      <c r="E155" s="371"/>
      <c r="G155" s="371"/>
      <c r="K155" s="371"/>
      <c r="O155" s="371"/>
      <c r="R155" s="371"/>
      <c r="S155" s="371"/>
      <c r="V155" s="371"/>
      <c r="W155" s="371"/>
      <c r="AC155" s="371"/>
      <c r="AD155" s="371"/>
      <c r="AE155" s="371"/>
      <c r="AF155" s="371"/>
      <c r="AG155" s="371"/>
      <c r="AH155" s="1367"/>
    </row>
    <row r="156" spans="1:34" ht="369.75">
      <c r="A156" s="29" t="s">
        <v>652</v>
      </c>
      <c r="E156" s="371"/>
      <c r="G156" s="371"/>
      <c r="K156" s="371"/>
      <c r="O156" s="371"/>
      <c r="R156" s="371"/>
      <c r="S156" s="371"/>
      <c r="V156" s="371"/>
      <c r="W156" s="371"/>
      <c r="AC156" s="371"/>
      <c r="AD156" s="371"/>
      <c r="AE156" s="371"/>
      <c r="AF156" s="371"/>
      <c r="AG156" s="371"/>
      <c r="AH156" s="1367"/>
    </row>
    <row r="157" spans="1:34" ht="409.6">
      <c r="A157" s="1072" t="s">
        <v>653</v>
      </c>
      <c r="B157" s="1072"/>
      <c r="C157" s="1072"/>
      <c r="D157" s="1072"/>
      <c r="E157" s="1072"/>
      <c r="F157" s="1072"/>
      <c r="G157" s="1072"/>
      <c r="H157" s="1072"/>
      <c r="I157" s="1072"/>
      <c r="J157" s="1072"/>
      <c r="K157" s="1072"/>
      <c r="L157" s="1072"/>
      <c r="M157" s="1072"/>
      <c r="N157" s="1072"/>
      <c r="O157" s="1072"/>
      <c r="R157" s="371"/>
      <c r="S157" s="371"/>
      <c r="V157" s="371"/>
      <c r="W157" s="371"/>
      <c r="AC157" s="371"/>
      <c r="AD157" s="371"/>
      <c r="AE157" s="371"/>
      <c r="AF157" s="371"/>
      <c r="AG157" s="371"/>
      <c r="AH157" s="1367"/>
    </row>
    <row r="158" spans="1:34" ht="409.6">
      <c r="A158" s="1364" t="s">
        <v>654</v>
      </c>
      <c r="B158" s="1364"/>
      <c r="C158" s="1364"/>
      <c r="D158" s="1364"/>
      <c r="E158" s="1364"/>
      <c r="F158" s="1364"/>
      <c r="G158" s="1364"/>
      <c r="H158" s="1364"/>
      <c r="I158" s="1364"/>
      <c r="J158" s="1364"/>
      <c r="K158" s="1364"/>
      <c r="L158" s="1364"/>
      <c r="M158" s="1364"/>
      <c r="N158" s="1364"/>
      <c r="O158" s="1364"/>
      <c r="R158" s="371"/>
      <c r="S158" s="371"/>
      <c r="V158" s="371"/>
      <c r="W158" s="371"/>
      <c r="AC158" s="371"/>
      <c r="AD158" s="371"/>
      <c r="AE158" s="371"/>
      <c r="AF158" s="371"/>
      <c r="AG158" s="371"/>
      <c r="AH158" s="1367"/>
    </row>
    <row r="159" spans="1:34" ht="192">
      <c r="A159" s="1364" t="s">
        <v>655</v>
      </c>
      <c r="E159" s="371"/>
      <c r="G159" s="371"/>
      <c r="K159" s="371"/>
      <c r="O159" s="371"/>
      <c r="R159" s="371"/>
      <c r="S159" s="371"/>
      <c r="V159" s="371"/>
      <c r="W159" s="371"/>
      <c r="AC159" s="371"/>
      <c r="AD159" s="371"/>
      <c r="AE159" s="371"/>
      <c r="AF159" s="371"/>
      <c r="AG159" s="371"/>
      <c r="AH159" s="1367"/>
    </row>
    <row r="160" spans="1:34" ht="54.75" customHeight="1">
      <c r="A160" s="1445" t="s">
        <v>656</v>
      </c>
      <c r="B160" s="1445"/>
      <c r="C160" s="1445"/>
      <c r="D160" s="1445"/>
      <c r="E160" s="1445"/>
      <c r="F160" s="1445"/>
      <c r="G160" s="1445"/>
      <c r="H160" s="1445"/>
      <c r="I160" s="1445"/>
      <c r="J160" s="1445"/>
      <c r="K160" s="1445"/>
      <c r="L160" s="1445"/>
      <c r="M160" s="1445"/>
      <c r="N160" s="1445"/>
      <c r="O160" s="1445"/>
      <c r="P160" s="1445"/>
      <c r="Q160" s="1445"/>
      <c r="R160" s="1445"/>
      <c r="S160" s="1445"/>
      <c r="T160" s="1445"/>
      <c r="U160" s="1445"/>
      <c r="V160" s="1445"/>
      <c r="W160" s="1445"/>
      <c r="X160" s="1445"/>
      <c r="AC160" s="371"/>
      <c r="AD160" s="371"/>
      <c r="AE160" s="371"/>
      <c r="AF160" s="371"/>
      <c r="AG160" s="371"/>
      <c r="AH160" s="1367"/>
    </row>
    <row r="161" spans="1:34">
      <c r="A161" s="1434" t="s">
        <v>657</v>
      </c>
      <c r="B161" s="1434"/>
      <c r="C161" s="1434"/>
      <c r="D161" s="1434"/>
      <c r="E161" s="1434"/>
      <c r="F161" s="1434"/>
      <c r="G161" s="1434"/>
      <c r="H161" s="1434"/>
      <c r="I161" s="1434"/>
      <c r="J161" s="1434"/>
      <c r="K161" s="1434"/>
      <c r="L161" s="1434"/>
      <c r="M161" s="1434"/>
      <c r="N161" s="1434"/>
      <c r="O161" s="1434"/>
      <c r="P161" s="1434"/>
      <c r="Q161" s="1434"/>
      <c r="R161" s="1434"/>
      <c r="S161" s="1434"/>
      <c r="T161" s="1434"/>
      <c r="U161" s="1434"/>
      <c r="V161" s="1434"/>
      <c r="W161" s="1434"/>
      <c r="X161" s="1434"/>
      <c r="Y161" s="1434"/>
      <c r="Z161" s="1434"/>
      <c r="AA161" s="1434"/>
      <c r="AB161" s="1434"/>
      <c r="AC161" s="1434"/>
      <c r="AD161" s="1434"/>
      <c r="AE161" s="1434"/>
      <c r="AF161" s="1434"/>
      <c r="AG161" s="1434"/>
      <c r="AH161" s="1367"/>
    </row>
    <row r="162" spans="1:34" ht="409.6">
      <c r="A162" s="1096" t="s">
        <v>658</v>
      </c>
      <c r="B162" s="1096"/>
      <c r="C162" s="1096"/>
      <c r="D162" s="1096"/>
      <c r="E162" s="1096"/>
      <c r="F162" s="1096"/>
      <c r="G162" s="1096"/>
      <c r="H162" s="1096"/>
      <c r="I162" s="1096"/>
      <c r="J162" s="1096"/>
      <c r="K162" s="1096"/>
      <c r="L162" s="1096"/>
      <c r="M162" s="1096"/>
      <c r="N162" s="1096"/>
      <c r="O162" s="1096"/>
      <c r="P162" s="1096"/>
      <c r="Q162" s="1096"/>
      <c r="R162" s="1096"/>
      <c r="S162" s="1096"/>
      <c r="T162" s="1096"/>
      <c r="U162" s="1096"/>
      <c r="V162" s="1096"/>
      <c r="W162" s="1096"/>
      <c r="X162" s="1096"/>
      <c r="AC162" s="371"/>
      <c r="AD162" s="371"/>
      <c r="AE162" s="371"/>
      <c r="AF162" s="371"/>
      <c r="AG162" s="371"/>
      <c r="AH162" s="1367"/>
    </row>
    <row r="163" spans="1:34" ht="409.6">
      <c r="A163" s="1096" t="s">
        <v>659</v>
      </c>
      <c r="B163" s="1096"/>
      <c r="C163" s="1096"/>
      <c r="D163" s="1096"/>
      <c r="E163" s="1096"/>
      <c r="F163" s="1096"/>
      <c r="G163" s="1096"/>
      <c r="H163" s="1096"/>
      <c r="I163" s="1096"/>
      <c r="J163" s="1096"/>
      <c r="K163" s="1096"/>
      <c r="L163" s="1096"/>
      <c r="M163" s="1096"/>
      <c r="N163" s="1096"/>
      <c r="O163" s="1096"/>
      <c r="P163" s="1096"/>
      <c r="Q163" s="1096"/>
      <c r="R163" s="1096"/>
      <c r="S163" s="1096"/>
      <c r="T163" s="1096"/>
      <c r="U163" s="1096"/>
      <c r="V163" s="1096"/>
      <c r="W163" s="1096"/>
      <c r="X163" s="1096"/>
      <c r="AC163" s="371"/>
      <c r="AD163" s="371"/>
      <c r="AE163" s="371"/>
      <c r="AF163" s="371"/>
      <c r="AG163" s="371"/>
      <c r="AH163" s="1367"/>
    </row>
    <row r="164" spans="1:34" ht="409.6">
      <c r="A164" s="1096" t="s">
        <v>660</v>
      </c>
      <c r="B164" s="1096"/>
      <c r="C164" s="1096"/>
      <c r="D164" s="1096"/>
      <c r="E164" s="1096"/>
      <c r="F164" s="1096"/>
      <c r="G164" s="1096"/>
      <c r="H164" s="1096"/>
      <c r="I164" s="1096"/>
      <c r="J164" s="1096"/>
      <c r="K164" s="1096"/>
      <c r="L164" s="1096"/>
      <c r="M164" s="1096"/>
      <c r="N164" s="1096"/>
      <c r="O164" s="1096"/>
      <c r="P164" s="1096"/>
      <c r="Q164" s="1096"/>
      <c r="R164" s="1096"/>
      <c r="S164" s="1096"/>
      <c r="T164" s="1096"/>
      <c r="U164" s="1096"/>
      <c r="V164" s="1096"/>
      <c r="W164" s="1096"/>
      <c r="X164" s="1096"/>
      <c r="AC164" s="371"/>
      <c r="AD164" s="371"/>
      <c r="AE164" s="371"/>
      <c r="AF164" s="371"/>
      <c r="AG164" s="371"/>
      <c r="AH164" s="1367"/>
    </row>
    <row r="165" spans="1:34" ht="409.6">
      <c r="A165" s="1096" t="s">
        <v>661</v>
      </c>
      <c r="B165" s="1096"/>
      <c r="C165" s="1096"/>
      <c r="D165" s="1096"/>
      <c r="E165" s="1096"/>
      <c r="F165" s="1096"/>
      <c r="G165" s="1096"/>
      <c r="H165" s="1096"/>
      <c r="I165" s="1096"/>
      <c r="J165" s="1096"/>
      <c r="K165" s="1096"/>
      <c r="L165" s="1096"/>
      <c r="M165" s="1096"/>
      <c r="N165" s="1096"/>
      <c r="O165" s="1096"/>
      <c r="P165" s="1096"/>
      <c r="Q165" s="1096"/>
      <c r="R165" s="1096"/>
      <c r="S165" s="1096"/>
      <c r="T165" s="1096"/>
      <c r="U165" s="1096"/>
      <c r="V165" s="1096"/>
      <c r="W165" s="1096"/>
      <c r="X165" s="1096"/>
      <c r="AC165" s="371"/>
      <c r="AD165" s="371"/>
      <c r="AE165" s="371"/>
      <c r="AF165" s="371"/>
      <c r="AG165" s="371"/>
      <c r="AH165" s="1367"/>
    </row>
    <row r="166" spans="1:34" ht="409.6">
      <c r="A166" s="1096" t="s">
        <v>662</v>
      </c>
      <c r="B166" s="1096"/>
      <c r="C166" s="1096"/>
      <c r="D166" s="1096"/>
      <c r="E166" s="1096"/>
      <c r="F166" s="1096"/>
      <c r="G166" s="1096"/>
      <c r="H166" s="1096"/>
      <c r="I166" s="1096"/>
      <c r="J166" s="1096"/>
      <c r="K166" s="1096"/>
      <c r="L166" s="1096"/>
      <c r="M166" s="1096"/>
      <c r="N166" s="1096"/>
      <c r="O166" s="1096"/>
      <c r="P166" s="1096"/>
      <c r="Q166" s="1096"/>
      <c r="R166" s="1096"/>
      <c r="S166" s="1096"/>
      <c r="T166" s="1096"/>
      <c r="U166" s="1096"/>
      <c r="V166" s="1096"/>
      <c r="W166" s="1096"/>
      <c r="X166" s="1096"/>
      <c r="AC166" s="371"/>
      <c r="AD166" s="371"/>
      <c r="AE166" s="371"/>
      <c r="AF166" s="371"/>
      <c r="AG166" s="371"/>
      <c r="AH166" s="1367"/>
    </row>
    <row r="167" spans="1:34">
      <c r="A167" s="1364"/>
      <c r="E167" s="371"/>
      <c r="G167" s="371"/>
      <c r="K167" s="371"/>
      <c r="O167" s="371"/>
      <c r="R167" s="371"/>
      <c r="S167" s="371"/>
      <c r="V167" s="371"/>
      <c r="W167" s="371"/>
      <c r="AC167" s="371"/>
      <c r="AD167" s="371"/>
      <c r="AE167" s="371"/>
      <c r="AF167" s="371"/>
      <c r="AG167" s="371"/>
      <c r="AH167" s="1367"/>
    </row>
    <row r="168" spans="1:34">
      <c r="A168" s="1436" t="s">
        <v>111</v>
      </c>
      <c r="B168" s="1436"/>
      <c r="C168" s="1436"/>
      <c r="D168" s="1436"/>
      <c r="E168" s="1436"/>
      <c r="F168" s="1436"/>
      <c r="G168" s="1436"/>
      <c r="H168" s="1436"/>
      <c r="I168" s="1436"/>
      <c r="J168" s="1436"/>
      <c r="K168" s="1436"/>
      <c r="L168" s="1436"/>
      <c r="M168" s="1436"/>
      <c r="N168" s="1436"/>
      <c r="O168" s="1436"/>
      <c r="R168" s="371"/>
      <c r="S168" s="371"/>
      <c r="V168" s="371"/>
      <c r="W168" s="371"/>
      <c r="AC168" s="371"/>
      <c r="AD168" s="371"/>
      <c r="AE168" s="371"/>
      <c r="AF168" s="371"/>
      <c r="AG168" s="371"/>
      <c r="AH168" s="1367"/>
    </row>
    <row r="169" spans="1:34">
      <c r="A169" s="1437" t="s">
        <v>112</v>
      </c>
      <c r="B169" s="1437"/>
      <c r="C169" s="1437"/>
      <c r="D169" s="1437"/>
      <c r="E169" s="1437"/>
      <c r="F169" s="1437"/>
      <c r="G169" s="1437"/>
      <c r="H169" s="1437"/>
      <c r="I169" s="1437"/>
      <c r="J169" s="1437"/>
      <c r="K169" s="1437"/>
      <c r="L169" s="1437"/>
      <c r="M169" s="1437"/>
      <c r="N169" s="1437"/>
      <c r="O169" s="1437"/>
      <c r="R169" s="371"/>
      <c r="S169" s="371"/>
      <c r="V169" s="371"/>
      <c r="W169" s="371"/>
      <c r="AC169" s="371"/>
      <c r="AD169" s="371"/>
      <c r="AE169" s="371"/>
      <c r="AF169" s="371"/>
      <c r="AG169" s="371"/>
      <c r="AH169" s="1367"/>
    </row>
    <row r="170" spans="1:34">
      <c r="E170" s="1101"/>
      <c r="G170" s="371"/>
      <c r="H170" s="1072"/>
      <c r="K170" s="371"/>
      <c r="O170" s="371"/>
      <c r="R170" s="371"/>
      <c r="S170" s="371"/>
      <c r="V170" s="371"/>
      <c r="W170" s="371"/>
      <c r="AC170" s="371"/>
      <c r="AD170" s="371"/>
      <c r="AE170" s="371"/>
      <c r="AF170" s="371"/>
      <c r="AG170" s="371"/>
      <c r="AH170" s="1367"/>
    </row>
    <row r="171" spans="1:34" ht="38.25">
      <c r="E171" s="371"/>
      <c r="F171" s="1365" t="s">
        <v>392</v>
      </c>
      <c r="G171" s="371"/>
      <c r="H171" s="1072" t="str">
        <f>+STATISTICS!C112</f>
        <v>/Нэр/</v>
      </c>
      <c r="K171" s="371"/>
      <c r="O171" s="371"/>
      <c r="R171" s="371"/>
      <c r="S171" s="371"/>
      <c r="V171" s="371"/>
      <c r="W171" s="371"/>
      <c r="AC171" s="371"/>
      <c r="AD171" s="371"/>
      <c r="AE171" s="371"/>
      <c r="AF171" s="371"/>
      <c r="AG171" s="371"/>
      <c r="AH171" s="1367"/>
    </row>
    <row r="172" spans="1:34">
      <c r="E172" s="371"/>
      <c r="F172" s="1366"/>
      <c r="G172" s="371"/>
      <c r="H172" s="1072"/>
      <c r="K172" s="371"/>
      <c r="O172" s="371"/>
      <c r="R172" s="371"/>
      <c r="S172" s="371"/>
      <c r="V172" s="371"/>
      <c r="W172" s="371"/>
      <c r="AC172" s="371"/>
      <c r="AD172" s="371"/>
      <c r="AE172" s="371"/>
      <c r="AF172" s="371"/>
      <c r="AG172" s="371"/>
      <c r="AH172" s="1367"/>
    </row>
    <row r="173" spans="1:34" ht="25.5">
      <c r="E173" s="371"/>
      <c r="F173" s="1365" t="s">
        <v>115</v>
      </c>
      <c r="G173" s="371"/>
      <c r="H173" s="1072" t="str">
        <f>+STATISTICS!C114</f>
        <v>/Нэр/</v>
      </c>
      <c r="K173" s="371"/>
      <c r="O173" s="371"/>
      <c r="R173" s="371"/>
      <c r="S173" s="371"/>
      <c r="V173" s="371"/>
      <c r="W173" s="371"/>
      <c r="AC173" s="371"/>
      <c r="AD173" s="371"/>
      <c r="AE173" s="371"/>
      <c r="AF173" s="371"/>
      <c r="AG173" s="371"/>
      <c r="AH173" s="1367"/>
    </row>
  </sheetData>
  <sheetProtection algorithmName="SHA-512" hashValue="I+7aeAK4+YJwP2ReJ4vaTlg4S8V3a07lpu+XGURtuDom+Dxnr5bU2wr0Xr+bJrfLOiCtlXciBsJf8tt78/Bhyg==" saltValue="v7P6JV3/oWfy0YQCEmN4LA==" spinCount="100000" sheet="1" objects="1" scenarios="1"/>
  <mergeCells count="67">
    <mergeCell ref="AF10:AF11"/>
    <mergeCell ref="X9:X11"/>
    <mergeCell ref="Y9:AG9"/>
    <mergeCell ref="R10:S10"/>
    <mergeCell ref="M25:O29"/>
    <mergeCell ref="AC25:AG29"/>
    <mergeCell ref="AG10:AG11"/>
    <mergeCell ref="X13:X25"/>
    <mergeCell ref="M10:M11"/>
    <mergeCell ref="O10:O11"/>
    <mergeCell ref="G10:H10"/>
    <mergeCell ref="G30:H30"/>
    <mergeCell ref="T9:W9"/>
    <mergeCell ref="T10:U10"/>
    <mergeCell ref="I10:J10"/>
    <mergeCell ref="K10:L10"/>
    <mergeCell ref="K30:O30"/>
    <mergeCell ref="R30:S30"/>
    <mergeCell ref="V30:W30"/>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A98:A102"/>
    <mergeCell ref="A4:AG4"/>
    <mergeCell ref="A5:AG5"/>
    <mergeCell ref="A6:AG6"/>
    <mergeCell ref="A160:X160"/>
    <mergeCell ref="A140:A149"/>
    <mergeCell ref="X31:X149"/>
    <mergeCell ref="A108:A113"/>
    <mergeCell ref="A114:A119"/>
    <mergeCell ref="A120:A124"/>
    <mergeCell ref="A125:A129"/>
    <mergeCell ref="A130:A134"/>
    <mergeCell ref="A135:A139"/>
    <mergeCell ref="A103:A107"/>
    <mergeCell ref="A31:A37"/>
    <mergeCell ref="A38:A42"/>
    <mergeCell ref="R1:AG1"/>
    <mergeCell ref="A161:AG16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B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19"/>
      <c r="C1" s="1419"/>
      <c r="D1" s="1419"/>
      <c r="E1" s="6"/>
      <c r="F1" s="7"/>
      <c r="G1" s="6"/>
      <c r="H1" s="6"/>
      <c r="I1" s="6"/>
      <c r="J1" s="6"/>
      <c r="K1" s="6"/>
      <c r="L1" s="6"/>
      <c r="M1" s="6"/>
      <c r="N1" s="6"/>
      <c r="O1" s="6"/>
      <c r="P1" s="6"/>
      <c r="Q1" s="6"/>
      <c r="R1" s="6"/>
      <c r="S1" s="6"/>
      <c r="T1" s="6"/>
      <c r="U1" s="6"/>
      <c r="V1" s="6"/>
      <c r="W1" s="6"/>
      <c r="X1" s="6"/>
    </row>
    <row r="2" spans="1:29" ht="10.5" customHeight="1">
      <c r="A2" s="6"/>
      <c r="B2" s="1419"/>
      <c r="C2" s="1419"/>
      <c r="D2" s="1419"/>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20" t="s">
        <v>663</v>
      </c>
      <c r="B4" s="1420"/>
      <c r="C4" s="1420"/>
      <c r="D4" s="1420"/>
      <c r="E4" s="1420"/>
      <c r="F4" s="1420"/>
      <c r="G4" s="1420"/>
      <c r="H4" s="1420"/>
      <c r="I4" s="1420"/>
      <c r="J4" s="1420"/>
      <c r="K4" s="1420"/>
      <c r="L4" s="1420"/>
      <c r="M4" s="1420"/>
      <c r="N4" s="1420"/>
      <c r="O4" s="1420"/>
      <c r="P4" s="1420"/>
      <c r="Q4" s="1420"/>
      <c r="R4" s="1420"/>
      <c r="S4" s="1420"/>
      <c r="T4" s="1420"/>
      <c r="U4" s="1420"/>
      <c r="V4" s="7"/>
      <c r="W4" s="7"/>
      <c r="X4" s="7"/>
      <c r="Y4" s="7"/>
      <c r="Z4" s="7"/>
      <c r="AA4" s="7"/>
      <c r="AB4" s="7"/>
      <c r="AC4" s="7"/>
    </row>
    <row r="5" spans="1:29" ht="12.75" customHeight="1">
      <c r="A5" s="1421" t="str">
        <f>+STATISTICS!A5</f>
        <v>ХАДГАЛАМЖ, ЗЭЭЛИЙН ХОРШООНЫ НЭР</v>
      </c>
      <c r="B5" s="1421"/>
      <c r="C5" s="1421"/>
      <c r="D5" s="1421"/>
      <c r="E5" s="1421"/>
      <c r="F5" s="1421"/>
      <c r="G5" s="1421"/>
      <c r="H5" s="1421"/>
      <c r="I5" s="1421"/>
      <c r="J5" s="1421"/>
      <c r="K5" s="1421"/>
      <c r="L5" s="1421"/>
      <c r="M5" s="1421"/>
      <c r="N5" s="1421"/>
      <c r="O5" s="1421"/>
      <c r="P5" s="1421"/>
      <c r="Q5" s="1421"/>
      <c r="R5" s="1421"/>
      <c r="S5" s="1421"/>
      <c r="T5" s="1421"/>
      <c r="U5" s="1421"/>
      <c r="V5" s="7"/>
      <c r="W5" s="7"/>
      <c r="X5" s="7"/>
      <c r="Y5" s="7"/>
      <c r="Z5" s="7"/>
      <c r="AA5" s="7"/>
      <c r="AB5" s="7"/>
      <c r="AC5" s="7"/>
    </row>
    <row r="6" spans="1:29" ht="12.75" customHeight="1">
      <c r="A6" s="1420" t="s">
        <v>38</v>
      </c>
      <c r="B6" s="1420"/>
      <c r="C6" s="1420"/>
      <c r="D6" s="1420"/>
      <c r="E6" s="1420"/>
      <c r="F6" s="1420"/>
      <c r="G6" s="1420"/>
      <c r="H6" s="1420"/>
      <c r="I6" s="1420"/>
      <c r="J6" s="1420"/>
      <c r="K6" s="1420"/>
      <c r="L6" s="1420"/>
      <c r="M6" s="1420"/>
      <c r="N6" s="1420"/>
      <c r="O6" s="1420"/>
      <c r="P6" s="1420"/>
      <c r="Q6" s="1420"/>
      <c r="R6" s="1420"/>
      <c r="S6" s="1420"/>
      <c r="T6" s="1420"/>
      <c r="U6" s="1420"/>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22"/>
      <c r="B8" s="1423"/>
      <c r="C8" s="9"/>
      <c r="D8"/>
      <c r="E8" s="9"/>
      <c r="F8" s="9"/>
      <c r="G8" s="9"/>
      <c r="H8" s="9"/>
      <c r="I8" s="9"/>
      <c r="J8" s="9"/>
      <c r="K8" s="9"/>
      <c r="L8" s="9"/>
      <c r="M8" s="9"/>
      <c r="N8" s="9"/>
      <c r="O8" s="9"/>
      <c r="P8" s="9"/>
      <c r="Q8" s="9"/>
      <c r="R8" s="9"/>
      <c r="S8" s="9"/>
      <c r="T8" s="9"/>
      <c r="U8" s="67" t="s">
        <v>117</v>
      </c>
      <c r="V8" s="9"/>
    </row>
    <row r="9" spans="1:29" ht="24.75" customHeight="1">
      <c r="A9" s="1518" t="s">
        <v>664</v>
      </c>
      <c r="B9" s="1528" t="s">
        <v>665</v>
      </c>
      <c r="C9" s="1530" t="s">
        <v>666</v>
      </c>
      <c r="D9" s="1532" t="s">
        <v>557</v>
      </c>
      <c r="E9" s="1532"/>
      <c r="F9" s="1512" t="s">
        <v>558</v>
      </c>
      <c r="G9" s="1512"/>
      <c r="H9" s="1512"/>
      <c r="I9" s="1512"/>
      <c r="J9" s="1512"/>
      <c r="K9" s="1512" t="s">
        <v>559</v>
      </c>
      <c r="L9" s="1512"/>
      <c r="M9" s="1512" t="s">
        <v>560</v>
      </c>
      <c r="N9" s="1512"/>
      <c r="O9" s="1512" t="s">
        <v>561</v>
      </c>
      <c r="P9" s="1512"/>
      <c r="Q9" s="1512" t="s">
        <v>562</v>
      </c>
      <c r="R9" s="1512"/>
      <c r="S9" s="1512"/>
      <c r="T9" s="1513"/>
      <c r="U9" s="1514"/>
    </row>
    <row r="10" spans="1:29" ht="39.75" thickBot="1">
      <c r="A10" s="1519"/>
      <c r="B10" s="1529"/>
      <c r="C10" s="1531"/>
      <c r="D10" s="373" t="s">
        <v>569</v>
      </c>
      <c r="E10" s="1020" t="s">
        <v>570</v>
      </c>
      <c r="F10" s="373" t="s">
        <v>569</v>
      </c>
      <c r="G10" s="1020" t="s">
        <v>570</v>
      </c>
      <c r="H10" s="422" t="s">
        <v>667</v>
      </c>
      <c r="I10" s="422"/>
      <c r="J10" s="423" t="s">
        <v>668</v>
      </c>
      <c r="K10" s="373" t="s">
        <v>569</v>
      </c>
      <c r="L10" s="1020" t="s">
        <v>570</v>
      </c>
      <c r="M10" s="373" t="s">
        <v>569</v>
      </c>
      <c r="N10" s="1020" t="s">
        <v>570</v>
      </c>
      <c r="O10" s="373" t="s">
        <v>569</v>
      </c>
      <c r="P10" s="1020" t="s">
        <v>570</v>
      </c>
      <c r="Q10" s="373" t="s">
        <v>569</v>
      </c>
      <c r="R10" s="1020" t="s">
        <v>570</v>
      </c>
      <c r="S10" s="422" t="s">
        <v>667</v>
      </c>
      <c r="T10" s="990"/>
      <c r="U10" s="424" t="s">
        <v>668</v>
      </c>
    </row>
    <row r="11" spans="1:29" ht="15.75" thickBot="1">
      <c r="A11" s="1519"/>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991"/>
      <c r="U11" s="429">
        <v>16</v>
      </c>
    </row>
    <row r="12" spans="1:29" ht="15.75" thickBot="1">
      <c r="A12" s="1520"/>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1055"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996">
        <f>+T19+T36+T47+T60+T68+T76+T87+T101</f>
        <v>0</v>
      </c>
      <c r="U12" s="988" t="e">
        <f>+(U19+U36+U47+U60+U68+U76+U87+U101)/Q12</f>
        <v>#DIV/0!</v>
      </c>
    </row>
    <row r="13" spans="1:29">
      <c r="A13" s="431" t="s">
        <v>671</v>
      </c>
      <c r="B13" s="432" t="s">
        <v>586</v>
      </c>
      <c r="C13" s="420">
        <v>2</v>
      </c>
      <c r="D13" s="451"/>
      <c r="E13" s="452"/>
      <c r="F13" s="457"/>
      <c r="G13" s="452"/>
      <c r="H13" s="452"/>
      <c r="I13" s="1061"/>
      <c r="J13" s="974"/>
      <c r="K13" s="457"/>
      <c r="L13" s="452"/>
      <c r="M13" s="457"/>
      <c r="N13" s="458"/>
      <c r="O13" s="1527" t="s">
        <v>587</v>
      </c>
      <c r="P13" s="1527"/>
      <c r="Q13" s="374">
        <f>ROUND(SUM(D13,F13,-K13,-M13),2)</f>
        <v>0</v>
      </c>
      <c r="R13" s="389">
        <f>+E13+G13-N13</f>
        <v>0</v>
      </c>
      <c r="S13" s="452"/>
      <c r="T13" s="1057"/>
      <c r="U13" s="989"/>
    </row>
    <row r="14" spans="1:29">
      <c r="A14" s="433" t="s">
        <v>672</v>
      </c>
      <c r="B14" s="434" t="s">
        <v>588</v>
      </c>
      <c r="C14" s="405">
        <v>3</v>
      </c>
      <c r="D14" s="453"/>
      <c r="E14" s="454"/>
      <c r="F14" s="459"/>
      <c r="G14" s="454"/>
      <c r="H14" s="454"/>
      <c r="I14" s="381"/>
      <c r="J14" s="975"/>
      <c r="K14" s="459"/>
      <c r="L14" s="454"/>
      <c r="M14" s="459"/>
      <c r="N14" s="454"/>
      <c r="O14" s="457"/>
      <c r="P14" s="458"/>
      <c r="Q14" s="381">
        <f t="shared" ref="Q14:Q77" si="1">ROUND(SUM(D14,F14,-K14,-M14),2)</f>
        <v>0</v>
      </c>
      <c r="R14" s="390">
        <f t="shared" ref="R14:R77" si="2">+E14+G14-N14</f>
        <v>0</v>
      </c>
      <c r="S14" s="454"/>
      <c r="T14" s="1058"/>
      <c r="U14" s="983"/>
    </row>
    <row r="15" spans="1:29">
      <c r="A15" s="433" t="s">
        <v>673</v>
      </c>
      <c r="B15" s="434" t="s">
        <v>589</v>
      </c>
      <c r="C15" s="405">
        <v>4</v>
      </c>
      <c r="D15" s="453"/>
      <c r="E15" s="454"/>
      <c r="F15" s="459"/>
      <c r="G15" s="454"/>
      <c r="H15" s="454"/>
      <c r="I15" s="381"/>
      <c r="J15" s="975"/>
      <c r="K15" s="459"/>
      <c r="L15" s="454"/>
      <c r="M15" s="459"/>
      <c r="N15" s="454"/>
      <c r="O15" s="459"/>
      <c r="P15" s="454"/>
      <c r="Q15" s="381">
        <f t="shared" si="1"/>
        <v>0</v>
      </c>
      <c r="R15" s="390">
        <f t="shared" si="2"/>
        <v>0</v>
      </c>
      <c r="S15" s="454"/>
      <c r="T15" s="1058"/>
      <c r="U15" s="983"/>
    </row>
    <row r="16" spans="1:29">
      <c r="A16" s="433" t="s">
        <v>674</v>
      </c>
      <c r="B16" s="434" t="s">
        <v>172</v>
      </c>
      <c r="C16" s="405">
        <v>5</v>
      </c>
      <c r="D16" s="453"/>
      <c r="E16" s="454"/>
      <c r="F16" s="459"/>
      <c r="G16" s="454"/>
      <c r="H16" s="454"/>
      <c r="I16" s="381"/>
      <c r="J16" s="975"/>
      <c r="K16" s="459"/>
      <c r="L16" s="454"/>
      <c r="M16" s="459"/>
      <c r="N16" s="454"/>
      <c r="O16" s="459"/>
      <c r="P16" s="454"/>
      <c r="Q16" s="381">
        <f t="shared" si="1"/>
        <v>0</v>
      </c>
      <c r="R16" s="390">
        <f t="shared" si="2"/>
        <v>0</v>
      </c>
      <c r="S16" s="454"/>
      <c r="T16" s="1058"/>
      <c r="U16" s="983"/>
    </row>
    <row r="17" spans="1:21">
      <c r="A17" s="433" t="s">
        <v>675</v>
      </c>
      <c r="B17" s="434" t="s">
        <v>590</v>
      </c>
      <c r="C17" s="405">
        <v>6</v>
      </c>
      <c r="D17" s="453"/>
      <c r="E17" s="454"/>
      <c r="F17" s="460"/>
      <c r="G17" s="461"/>
      <c r="H17" s="454"/>
      <c r="I17" s="1054"/>
      <c r="J17" s="976"/>
      <c r="K17" s="460"/>
      <c r="L17" s="461"/>
      <c r="M17" s="460"/>
      <c r="N17" s="461"/>
      <c r="O17" s="459"/>
      <c r="P17" s="454"/>
      <c r="Q17" s="381">
        <f t="shared" si="1"/>
        <v>0</v>
      </c>
      <c r="R17" s="390">
        <f>+E17+G17-N17</f>
        <v>0</v>
      </c>
      <c r="S17" s="454"/>
      <c r="T17" s="1059"/>
      <c r="U17" s="984"/>
    </row>
    <row r="18" spans="1:21">
      <c r="A18" s="435" t="s">
        <v>676</v>
      </c>
      <c r="B18" s="436" t="s">
        <v>591</v>
      </c>
      <c r="C18" s="406">
        <v>7</v>
      </c>
      <c r="D18" s="455"/>
      <c r="E18" s="456"/>
      <c r="F18" s="459"/>
      <c r="G18" s="454"/>
      <c r="H18" s="1516" t="s">
        <v>587</v>
      </c>
      <c r="I18" s="1533"/>
      <c r="J18" s="1534"/>
      <c r="K18" s="459"/>
      <c r="L18" s="462"/>
      <c r="M18" s="459"/>
      <c r="N18" s="454"/>
      <c r="O18" s="379">
        <f>K18+M18</f>
        <v>0</v>
      </c>
      <c r="P18" s="1054">
        <f>L18+N18</f>
        <v>0</v>
      </c>
      <c r="Q18" s="381">
        <f t="shared" si="1"/>
        <v>0</v>
      </c>
      <c r="R18" s="390">
        <f>+E18+G18-N18</f>
        <v>0</v>
      </c>
      <c r="S18" s="1515" t="s">
        <v>587</v>
      </c>
      <c r="T18" s="1516"/>
      <c r="U18" s="1517"/>
    </row>
    <row r="19" spans="1:21">
      <c r="A19" s="437">
        <v>1</v>
      </c>
      <c r="B19" s="438" t="s">
        <v>677</v>
      </c>
      <c r="C19" s="407">
        <v>8</v>
      </c>
      <c r="D19" s="415">
        <f>+D20+D22+D26+D28+D30+D32</f>
        <v>0</v>
      </c>
      <c r="E19" s="391">
        <f>+E20+E22+E26+E28+E30+E32</f>
        <v>0</v>
      </c>
      <c r="F19" s="382">
        <f>+F20+F22+F26+F28+F30+F32</f>
        <v>0</v>
      </c>
      <c r="G19" s="391">
        <f>+G20+G22+G26+G28+G30+G32</f>
        <v>0</v>
      </c>
      <c r="H19" s="1070" t="str">
        <f ca="1">IFERROR(SUM(H21,H23:H25,H27,H29,H31,H33:H35)/SUM(COUNTIF(INDIRECT({"H21","H23:H25","H27","H29","H31","H33:H35"}),"&gt;0")),"")</f>
        <v/>
      </c>
      <c r="I19" s="382">
        <f>+I20+I22+I26+I28+I30+I32</f>
        <v>0</v>
      </c>
      <c r="J19" s="977" t="e">
        <f>+I19/F19</f>
        <v>#DIV/0!</v>
      </c>
      <c r="K19" s="382">
        <f>+K20+K22+K26+K28+K30+K32</f>
        <v>0</v>
      </c>
      <c r="L19" s="391">
        <f>+L20+L22+L26+L28+L30+L32</f>
        <v>0</v>
      </c>
      <c r="M19" s="382">
        <f>+M20+M22+M26+M28+M30+M32</f>
        <v>0</v>
      </c>
      <c r="N19" s="399">
        <f>+N20+N22+N26+N28+N30+N32</f>
        <v>0</v>
      </c>
      <c r="O19" s="1521"/>
      <c r="P19" s="1522"/>
      <c r="Q19" s="376">
        <f t="shared" si="1"/>
        <v>0</v>
      </c>
      <c r="R19" s="391">
        <f t="shared" si="2"/>
        <v>0</v>
      </c>
      <c r="S19" s="391" t="str">
        <f ca="1">IFERROR(SUM(S21,S23:S25,S27,S29,S31,S33:S35)/SUM(COUNTIF(INDIRECT({"S21","S23:S25","S27","S29","S31","S33:S35"}),"&gt;0")),"")</f>
        <v/>
      </c>
      <c r="T19" s="992">
        <f>+T20+T22+T26+T28+T30+T32</f>
        <v>0</v>
      </c>
      <c r="U19" s="981"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978">
        <f t="shared" si="3"/>
        <v>0</v>
      </c>
      <c r="K20" s="383">
        <f t="shared" si="3"/>
        <v>0</v>
      </c>
      <c r="L20" s="392">
        <f t="shared" si="3"/>
        <v>0</v>
      </c>
      <c r="M20" s="383">
        <f t="shared" si="3"/>
        <v>0</v>
      </c>
      <c r="N20" s="400">
        <f t="shared" si="3"/>
        <v>0</v>
      </c>
      <c r="O20" s="1523"/>
      <c r="P20" s="1524"/>
      <c r="Q20" s="377">
        <f t="shared" si="1"/>
        <v>0</v>
      </c>
      <c r="R20" s="392">
        <f t="shared" si="2"/>
        <v>0</v>
      </c>
      <c r="S20" s="393">
        <f t="shared" ref="S20" si="4">+S21</f>
        <v>0</v>
      </c>
      <c r="T20" s="993">
        <f t="shared" ref="T20" si="5">+T21</f>
        <v>0</v>
      </c>
      <c r="U20" s="982">
        <f>+U21</f>
        <v>0</v>
      </c>
    </row>
    <row r="21" spans="1:21">
      <c r="A21" s="441" t="s">
        <v>395</v>
      </c>
      <c r="B21" s="442" t="s">
        <v>679</v>
      </c>
      <c r="C21" s="405">
        <v>10</v>
      </c>
      <c r="D21" s="453"/>
      <c r="E21" s="454"/>
      <c r="F21" s="459"/>
      <c r="G21" s="454"/>
      <c r="H21" s="454"/>
      <c r="I21" s="381">
        <f>+F21*J21</f>
        <v>0</v>
      </c>
      <c r="J21" s="975"/>
      <c r="K21" s="459"/>
      <c r="L21" s="454"/>
      <c r="M21" s="459"/>
      <c r="N21" s="462"/>
      <c r="O21" s="1523"/>
      <c r="P21" s="1524"/>
      <c r="Q21" s="375">
        <f t="shared" si="1"/>
        <v>0</v>
      </c>
      <c r="R21" s="390">
        <f t="shared" si="2"/>
        <v>0</v>
      </c>
      <c r="S21" s="454"/>
      <c r="T21" s="1058">
        <f>+Q21*U21</f>
        <v>0</v>
      </c>
      <c r="U21" s="983"/>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979" t="e">
        <f>+(F23*J23+F24*J24+F25*J25)/F22</f>
        <v>#DIV/0!</v>
      </c>
      <c r="K22" s="384">
        <f>+SUM(K23:K25)</f>
        <v>0</v>
      </c>
      <c r="L22" s="393">
        <f>+SUM(L23:L25)</f>
        <v>0</v>
      </c>
      <c r="M22" s="384">
        <f>+SUM(M23:M25)</f>
        <v>0</v>
      </c>
      <c r="N22" s="401">
        <f>+SUM(N23:N25)</f>
        <v>0</v>
      </c>
      <c r="O22" s="1523"/>
      <c r="P22" s="1524"/>
      <c r="Q22" s="378">
        <f t="shared" si="1"/>
        <v>0</v>
      </c>
      <c r="R22" s="393">
        <f t="shared" si="2"/>
        <v>0</v>
      </c>
      <c r="S22" s="393" t="str">
        <f>IFERROR(AVERAGE(S23:S25),"")</f>
        <v/>
      </c>
      <c r="T22" s="993">
        <f>+SUM(T23:T25)</f>
        <v>0</v>
      </c>
      <c r="U22" s="982" t="e">
        <f>+(Q23*U23+Q24*U24+Q25*U25)/Q22</f>
        <v>#DIV/0!</v>
      </c>
    </row>
    <row r="23" spans="1:21">
      <c r="A23" s="441" t="s">
        <v>413</v>
      </c>
      <c r="B23" s="442" t="s">
        <v>681</v>
      </c>
      <c r="C23" s="405">
        <v>12</v>
      </c>
      <c r="D23" s="453"/>
      <c r="E23" s="454"/>
      <c r="F23" s="459"/>
      <c r="G23" s="454"/>
      <c r="H23" s="454"/>
      <c r="I23" s="381">
        <f t="shared" ref="I23:I25" si="6">+F23*J23</f>
        <v>0</v>
      </c>
      <c r="J23" s="975"/>
      <c r="K23" s="459"/>
      <c r="L23" s="454"/>
      <c r="M23" s="459"/>
      <c r="N23" s="462"/>
      <c r="O23" s="1523"/>
      <c r="P23" s="1524"/>
      <c r="Q23" s="375">
        <f t="shared" si="1"/>
        <v>0</v>
      </c>
      <c r="R23" s="390">
        <f t="shared" si="2"/>
        <v>0</v>
      </c>
      <c r="S23" s="454"/>
      <c r="T23" s="1058">
        <f t="shared" ref="T23:T25" si="7">+Q23*U23</f>
        <v>0</v>
      </c>
      <c r="U23" s="983"/>
    </row>
    <row r="24" spans="1:21">
      <c r="A24" s="441" t="s">
        <v>420</v>
      </c>
      <c r="B24" s="442" t="s">
        <v>682</v>
      </c>
      <c r="C24" s="405">
        <v>13</v>
      </c>
      <c r="D24" s="453"/>
      <c r="E24" s="454"/>
      <c r="F24" s="459"/>
      <c r="G24" s="454"/>
      <c r="H24" s="454"/>
      <c r="I24" s="381">
        <f t="shared" si="6"/>
        <v>0</v>
      </c>
      <c r="J24" s="975"/>
      <c r="K24" s="459"/>
      <c r="L24" s="454"/>
      <c r="M24" s="459"/>
      <c r="N24" s="462"/>
      <c r="O24" s="1523"/>
      <c r="P24" s="1524"/>
      <c r="Q24" s="375">
        <f t="shared" si="1"/>
        <v>0</v>
      </c>
      <c r="R24" s="390">
        <f t="shared" si="2"/>
        <v>0</v>
      </c>
      <c r="S24" s="454"/>
      <c r="T24" s="1058">
        <f t="shared" si="7"/>
        <v>0</v>
      </c>
      <c r="U24" s="983"/>
    </row>
    <row r="25" spans="1:21">
      <c r="A25" s="441" t="s">
        <v>422</v>
      </c>
      <c r="B25" s="442" t="s">
        <v>683</v>
      </c>
      <c r="C25" s="405">
        <v>14</v>
      </c>
      <c r="D25" s="453"/>
      <c r="E25" s="454"/>
      <c r="F25" s="459"/>
      <c r="G25" s="454"/>
      <c r="H25" s="454"/>
      <c r="I25" s="381">
        <f t="shared" si="6"/>
        <v>0</v>
      </c>
      <c r="J25" s="975"/>
      <c r="K25" s="459"/>
      <c r="L25" s="454"/>
      <c r="M25" s="459"/>
      <c r="N25" s="462"/>
      <c r="O25" s="1523"/>
      <c r="P25" s="1524"/>
      <c r="Q25" s="375">
        <f t="shared" si="1"/>
        <v>0</v>
      </c>
      <c r="R25" s="390">
        <f t="shared" si="2"/>
        <v>0</v>
      </c>
      <c r="S25" s="454"/>
      <c r="T25" s="1058">
        <f t="shared" si="7"/>
        <v>0</v>
      </c>
      <c r="U25" s="983"/>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979">
        <f t="shared" si="8"/>
        <v>0</v>
      </c>
      <c r="K26" s="384">
        <f t="shared" si="8"/>
        <v>0</v>
      </c>
      <c r="L26" s="393">
        <f t="shared" si="8"/>
        <v>0</v>
      </c>
      <c r="M26" s="384">
        <f t="shared" si="8"/>
        <v>0</v>
      </c>
      <c r="N26" s="401">
        <f t="shared" si="8"/>
        <v>0</v>
      </c>
      <c r="O26" s="1523"/>
      <c r="P26" s="1524"/>
      <c r="Q26" s="378">
        <f t="shared" si="1"/>
        <v>0</v>
      </c>
      <c r="R26" s="393">
        <f t="shared" si="2"/>
        <v>0</v>
      </c>
      <c r="S26" s="393">
        <f>+S27</f>
        <v>0</v>
      </c>
      <c r="T26" s="993">
        <f t="shared" ref="T26" si="9">+T27</f>
        <v>0</v>
      </c>
      <c r="U26" s="982">
        <f>+U27</f>
        <v>0</v>
      </c>
    </row>
    <row r="27" spans="1:21" ht="25.5">
      <c r="A27" s="441" t="s">
        <v>444</v>
      </c>
      <c r="B27" s="442" t="s">
        <v>685</v>
      </c>
      <c r="C27" s="405">
        <v>16</v>
      </c>
      <c r="D27" s="453"/>
      <c r="E27" s="454"/>
      <c r="F27" s="459"/>
      <c r="G27" s="454"/>
      <c r="H27" s="454"/>
      <c r="I27" s="381">
        <f>+F27*J27</f>
        <v>0</v>
      </c>
      <c r="J27" s="975"/>
      <c r="K27" s="459"/>
      <c r="L27" s="454"/>
      <c r="M27" s="459"/>
      <c r="N27" s="462"/>
      <c r="O27" s="1523"/>
      <c r="P27" s="1524"/>
      <c r="Q27" s="375">
        <f t="shared" si="1"/>
        <v>0</v>
      </c>
      <c r="R27" s="390">
        <f t="shared" si="2"/>
        <v>0</v>
      </c>
      <c r="S27" s="454"/>
      <c r="T27" s="1058">
        <f>+Q27*U27</f>
        <v>0</v>
      </c>
      <c r="U27" s="983"/>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979">
        <f t="shared" si="10"/>
        <v>0</v>
      </c>
      <c r="K28" s="384">
        <f t="shared" si="10"/>
        <v>0</v>
      </c>
      <c r="L28" s="393">
        <f t="shared" si="10"/>
        <v>0</v>
      </c>
      <c r="M28" s="384">
        <f t="shared" si="10"/>
        <v>0</v>
      </c>
      <c r="N28" s="401">
        <f t="shared" si="10"/>
        <v>0</v>
      </c>
      <c r="O28" s="1523"/>
      <c r="P28" s="1524"/>
      <c r="Q28" s="378">
        <f t="shared" si="1"/>
        <v>0</v>
      </c>
      <c r="R28" s="393">
        <f t="shared" si="2"/>
        <v>0</v>
      </c>
      <c r="S28" s="393">
        <f>+S29</f>
        <v>0</v>
      </c>
      <c r="T28" s="993">
        <f t="shared" ref="T28" si="11">+T29</f>
        <v>0</v>
      </c>
      <c r="U28" s="982">
        <f>+U29</f>
        <v>0</v>
      </c>
    </row>
    <row r="29" spans="1:21">
      <c r="A29" s="441" t="s">
        <v>467</v>
      </c>
      <c r="B29" s="442" t="s">
        <v>687</v>
      </c>
      <c r="C29" s="405">
        <v>18</v>
      </c>
      <c r="D29" s="453"/>
      <c r="E29" s="454"/>
      <c r="F29" s="459"/>
      <c r="G29" s="454"/>
      <c r="H29" s="454"/>
      <c r="I29" s="381">
        <f>+F29*J29</f>
        <v>0</v>
      </c>
      <c r="J29" s="975"/>
      <c r="K29" s="459"/>
      <c r="L29" s="454"/>
      <c r="M29" s="459"/>
      <c r="N29" s="462"/>
      <c r="O29" s="1523"/>
      <c r="P29" s="1524"/>
      <c r="Q29" s="375">
        <f t="shared" si="1"/>
        <v>0</v>
      </c>
      <c r="R29" s="390">
        <f t="shared" si="2"/>
        <v>0</v>
      </c>
      <c r="S29" s="454"/>
      <c r="T29" s="1058">
        <f>+Q29*U29</f>
        <v>0</v>
      </c>
      <c r="U29" s="983"/>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979">
        <f t="shared" si="12"/>
        <v>0</v>
      </c>
      <c r="K30" s="384">
        <f t="shared" si="12"/>
        <v>0</v>
      </c>
      <c r="L30" s="393">
        <f t="shared" si="12"/>
        <v>0</v>
      </c>
      <c r="M30" s="384">
        <f t="shared" si="12"/>
        <v>0</v>
      </c>
      <c r="N30" s="401">
        <f t="shared" si="12"/>
        <v>0</v>
      </c>
      <c r="O30" s="1523"/>
      <c r="P30" s="1524"/>
      <c r="Q30" s="378">
        <f t="shared" si="1"/>
        <v>0</v>
      </c>
      <c r="R30" s="393">
        <f t="shared" si="2"/>
        <v>0</v>
      </c>
      <c r="S30" s="393">
        <f>+S31</f>
        <v>0</v>
      </c>
      <c r="T30" s="993">
        <f t="shared" ref="T30" si="13">+T31</f>
        <v>0</v>
      </c>
      <c r="U30" s="982">
        <f>+U31</f>
        <v>0</v>
      </c>
    </row>
    <row r="31" spans="1:21">
      <c r="A31" s="441" t="s">
        <v>688</v>
      </c>
      <c r="B31" s="442" t="s">
        <v>689</v>
      </c>
      <c r="C31" s="405">
        <v>20</v>
      </c>
      <c r="D31" s="453"/>
      <c r="E31" s="454"/>
      <c r="F31" s="459"/>
      <c r="G31" s="454"/>
      <c r="H31" s="454"/>
      <c r="I31" s="381">
        <f>+F31*J31</f>
        <v>0</v>
      </c>
      <c r="J31" s="975"/>
      <c r="K31" s="459"/>
      <c r="L31" s="454"/>
      <c r="M31" s="459"/>
      <c r="N31" s="462"/>
      <c r="O31" s="1523"/>
      <c r="P31" s="1524"/>
      <c r="Q31" s="375">
        <f t="shared" si="1"/>
        <v>0</v>
      </c>
      <c r="R31" s="390">
        <f t="shared" si="2"/>
        <v>0</v>
      </c>
      <c r="S31" s="454"/>
      <c r="T31" s="1058">
        <f>+Q31*U31</f>
        <v>0</v>
      </c>
      <c r="U31" s="983"/>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979" t="e">
        <f>+(F33*J33+F34*J34+F35*J35)/F32</f>
        <v>#DIV/0!</v>
      </c>
      <c r="K32" s="384">
        <f>+SUM(K33:K35)</f>
        <v>0</v>
      </c>
      <c r="L32" s="393">
        <f>+SUM(L33:L35)</f>
        <v>0</v>
      </c>
      <c r="M32" s="384">
        <f>+SUM(M33:M35)</f>
        <v>0</v>
      </c>
      <c r="N32" s="401">
        <f>+SUM(N33:N35)</f>
        <v>0</v>
      </c>
      <c r="O32" s="1523"/>
      <c r="P32" s="1524"/>
      <c r="Q32" s="378">
        <f t="shared" si="1"/>
        <v>0</v>
      </c>
      <c r="R32" s="393">
        <f t="shared" si="2"/>
        <v>0</v>
      </c>
      <c r="S32" s="393" t="str">
        <f>IFERROR(AVERAGE(S23:S25),"")</f>
        <v/>
      </c>
      <c r="T32" s="993">
        <f>+SUM(T33:T35)</f>
        <v>0</v>
      </c>
      <c r="U32" s="982" t="e">
        <f>+(Q33*U33+Q34*U34+Q35*U35)/Q32</f>
        <v>#DIV/0!</v>
      </c>
    </row>
    <row r="33" spans="1:21" ht="25.5">
      <c r="A33" s="441" t="s">
        <v>691</v>
      </c>
      <c r="B33" s="442" t="s">
        <v>692</v>
      </c>
      <c r="C33" s="405">
        <v>22</v>
      </c>
      <c r="D33" s="453"/>
      <c r="E33" s="454"/>
      <c r="F33" s="459"/>
      <c r="G33" s="454"/>
      <c r="H33" s="454"/>
      <c r="I33" s="381">
        <f t="shared" ref="I33:I35" si="14">+F33*J33</f>
        <v>0</v>
      </c>
      <c r="J33" s="975"/>
      <c r="K33" s="459"/>
      <c r="L33" s="454"/>
      <c r="M33" s="459"/>
      <c r="N33" s="462"/>
      <c r="O33" s="1523"/>
      <c r="P33" s="1524"/>
      <c r="Q33" s="375">
        <f t="shared" si="1"/>
        <v>0</v>
      </c>
      <c r="R33" s="390">
        <f t="shared" si="2"/>
        <v>0</v>
      </c>
      <c r="S33" s="454"/>
      <c r="T33" s="1058">
        <f t="shared" ref="T33:T35" si="15">+Q33*U33</f>
        <v>0</v>
      </c>
      <c r="U33" s="983"/>
    </row>
    <row r="34" spans="1:21" ht="25.5">
      <c r="A34" s="441" t="s">
        <v>693</v>
      </c>
      <c r="B34" s="442" t="s">
        <v>694</v>
      </c>
      <c r="C34" s="405">
        <v>23</v>
      </c>
      <c r="D34" s="453"/>
      <c r="E34" s="454"/>
      <c r="F34" s="459"/>
      <c r="G34" s="454"/>
      <c r="H34" s="454"/>
      <c r="I34" s="381">
        <f t="shared" si="14"/>
        <v>0</v>
      </c>
      <c r="J34" s="975"/>
      <c r="K34" s="459"/>
      <c r="L34" s="454"/>
      <c r="M34" s="459"/>
      <c r="N34" s="462"/>
      <c r="O34" s="1523"/>
      <c r="P34" s="1524"/>
      <c r="Q34" s="375">
        <f t="shared" si="1"/>
        <v>0</v>
      </c>
      <c r="R34" s="390">
        <f t="shared" si="2"/>
        <v>0</v>
      </c>
      <c r="S34" s="454"/>
      <c r="T34" s="1058">
        <f t="shared" si="15"/>
        <v>0</v>
      </c>
      <c r="U34" s="983"/>
    </row>
    <row r="35" spans="1:21">
      <c r="A35" s="441" t="s">
        <v>695</v>
      </c>
      <c r="B35" s="445" t="s">
        <v>696</v>
      </c>
      <c r="C35" s="410">
        <v>24</v>
      </c>
      <c r="D35" s="463"/>
      <c r="E35" s="461"/>
      <c r="F35" s="460"/>
      <c r="G35" s="461"/>
      <c r="H35" s="461"/>
      <c r="I35" s="381">
        <f t="shared" si="14"/>
        <v>0</v>
      </c>
      <c r="J35" s="976"/>
      <c r="K35" s="460"/>
      <c r="L35" s="461"/>
      <c r="M35" s="460"/>
      <c r="N35" s="464"/>
      <c r="O35" s="1523"/>
      <c r="P35" s="1524"/>
      <c r="Q35" s="379">
        <f t="shared" si="1"/>
        <v>0</v>
      </c>
      <c r="R35" s="394">
        <f t="shared" si="2"/>
        <v>0</v>
      </c>
      <c r="S35" s="461"/>
      <c r="T35" s="1059">
        <f t="shared" si="15"/>
        <v>0</v>
      </c>
      <c r="U35" s="984"/>
    </row>
    <row r="36" spans="1:21">
      <c r="A36" s="446">
        <v>2</v>
      </c>
      <c r="B36" s="438" t="s">
        <v>697</v>
      </c>
      <c r="C36" s="411">
        <v>25</v>
      </c>
      <c r="D36" s="415">
        <f>+D37+D40+D42+D44</f>
        <v>0</v>
      </c>
      <c r="E36" s="391">
        <f>+E37+E40+E42+E44</f>
        <v>0</v>
      </c>
      <c r="F36" s="382">
        <f>+F37+F40+F42+F44</f>
        <v>0</v>
      </c>
      <c r="G36" s="391">
        <f>+G37+G40+G42+G44</f>
        <v>0</v>
      </c>
      <c r="H36" s="1070" t="str">
        <f ca="1">IFERROR(SUM(H38:H39,H41,H43,H45:H46)/SUM(COUNTIF(INDIRECT({"H38:H39","H41","H43","H45:H46"}),"&gt;0")),"")</f>
        <v/>
      </c>
      <c r="I36" s="382">
        <f>+I37+I40+I42+I44</f>
        <v>0</v>
      </c>
      <c r="J36" s="977" t="e">
        <f>+I36/F36</f>
        <v>#DIV/0!</v>
      </c>
      <c r="K36" s="382">
        <f>+K37+K40+K42+K44</f>
        <v>0</v>
      </c>
      <c r="L36" s="391">
        <f>+L37+L40+L42+L44</f>
        <v>0</v>
      </c>
      <c r="M36" s="382">
        <f>+M37+M40+M42+M44</f>
        <v>0</v>
      </c>
      <c r="N36" s="399">
        <f>+N37+N40+N42+N44</f>
        <v>0</v>
      </c>
      <c r="O36" s="1523"/>
      <c r="P36" s="1524"/>
      <c r="Q36" s="376">
        <f t="shared" si="1"/>
        <v>0</v>
      </c>
      <c r="R36" s="391">
        <f t="shared" si="2"/>
        <v>0</v>
      </c>
      <c r="S36" s="391" t="str">
        <f ca="1">IFERROR(SUM(S38:S39,S41,S43,S45:S46)/SUM(COUNTIF(INDIRECT({"S38:S39","S41","S43","S45:SH46"}),"&gt;0")),"")</f>
        <v/>
      </c>
      <c r="T36" s="992">
        <f>+T37+T40+T42+T44</f>
        <v>0</v>
      </c>
      <c r="U36" s="981"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978" t="e">
        <f>+(F38*J38+F39*J39)/F37</f>
        <v>#DIV/0!</v>
      </c>
      <c r="K37" s="383">
        <f>+SUM(K38:K39)</f>
        <v>0</v>
      </c>
      <c r="L37" s="392">
        <f>+SUM(L38:L39)</f>
        <v>0</v>
      </c>
      <c r="M37" s="383">
        <f>+SUM(M38:M39)</f>
        <v>0</v>
      </c>
      <c r="N37" s="400">
        <f>+SUM(N38:N39)</f>
        <v>0</v>
      </c>
      <c r="O37" s="1523"/>
      <c r="P37" s="1524"/>
      <c r="Q37" s="377">
        <f t="shared" si="1"/>
        <v>0</v>
      </c>
      <c r="R37" s="392">
        <f t="shared" si="2"/>
        <v>0</v>
      </c>
      <c r="S37" s="392" t="str">
        <f>IFERROR(AVERAGE(S38:S39),"")</f>
        <v/>
      </c>
      <c r="T37" s="994">
        <f>+SUM(T38:T39)</f>
        <v>0</v>
      </c>
      <c r="U37" s="985" t="e">
        <f>+(Q38*U38+Q39*U39)/Q37</f>
        <v>#DIV/0!</v>
      </c>
    </row>
    <row r="38" spans="1:21">
      <c r="A38" s="441" t="s">
        <v>397</v>
      </c>
      <c r="B38" s="442" t="s">
        <v>699</v>
      </c>
      <c r="C38" s="405">
        <v>27</v>
      </c>
      <c r="D38" s="453"/>
      <c r="E38" s="454"/>
      <c r="F38" s="459"/>
      <c r="G38" s="454"/>
      <c r="H38" s="454"/>
      <c r="I38" s="381">
        <f t="shared" ref="I38:I39" si="16">+F38*J38</f>
        <v>0</v>
      </c>
      <c r="J38" s="975"/>
      <c r="K38" s="459"/>
      <c r="L38" s="454"/>
      <c r="M38" s="459"/>
      <c r="N38" s="462"/>
      <c r="O38" s="1523"/>
      <c r="P38" s="1524"/>
      <c r="Q38" s="375">
        <f t="shared" si="1"/>
        <v>0</v>
      </c>
      <c r="R38" s="390">
        <f t="shared" si="2"/>
        <v>0</v>
      </c>
      <c r="S38" s="454"/>
      <c r="T38" s="1058">
        <f t="shared" ref="T38:T39" si="17">+Q38*U38</f>
        <v>0</v>
      </c>
      <c r="U38" s="983"/>
    </row>
    <row r="39" spans="1:21">
      <c r="A39" s="441" t="s">
        <v>700</v>
      </c>
      <c r="B39" s="442" t="s">
        <v>701</v>
      </c>
      <c r="C39" s="405">
        <v>28</v>
      </c>
      <c r="D39" s="453"/>
      <c r="E39" s="454"/>
      <c r="F39" s="459"/>
      <c r="G39" s="454"/>
      <c r="H39" s="454"/>
      <c r="I39" s="381">
        <f t="shared" si="16"/>
        <v>0</v>
      </c>
      <c r="J39" s="975"/>
      <c r="K39" s="459"/>
      <c r="L39" s="454"/>
      <c r="M39" s="459"/>
      <c r="N39" s="462"/>
      <c r="O39" s="1523"/>
      <c r="P39" s="1524"/>
      <c r="Q39" s="375">
        <f t="shared" si="1"/>
        <v>0</v>
      </c>
      <c r="R39" s="390">
        <f t="shared" si="2"/>
        <v>0</v>
      </c>
      <c r="S39" s="454"/>
      <c r="T39" s="1058">
        <f t="shared" si="17"/>
        <v>0</v>
      </c>
      <c r="U39" s="983"/>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979">
        <f t="shared" si="18"/>
        <v>0</v>
      </c>
      <c r="K40" s="384">
        <f t="shared" si="18"/>
        <v>0</v>
      </c>
      <c r="L40" s="393">
        <f t="shared" si="18"/>
        <v>0</v>
      </c>
      <c r="M40" s="384">
        <f t="shared" si="18"/>
        <v>0</v>
      </c>
      <c r="N40" s="401">
        <f t="shared" si="18"/>
        <v>0</v>
      </c>
      <c r="O40" s="1523"/>
      <c r="P40" s="1524"/>
      <c r="Q40" s="378">
        <f t="shared" si="1"/>
        <v>0</v>
      </c>
      <c r="R40" s="393">
        <f t="shared" si="2"/>
        <v>0</v>
      </c>
      <c r="S40" s="393">
        <f>+S41</f>
        <v>0</v>
      </c>
      <c r="T40" s="993">
        <f t="shared" ref="T40" si="19">+T41</f>
        <v>0</v>
      </c>
      <c r="U40" s="982">
        <f>+U41</f>
        <v>0</v>
      </c>
    </row>
    <row r="41" spans="1:21">
      <c r="A41" s="441" t="s">
        <v>424</v>
      </c>
      <c r="B41" s="442" t="s">
        <v>703</v>
      </c>
      <c r="C41" s="405">
        <v>30</v>
      </c>
      <c r="D41" s="453"/>
      <c r="E41" s="454"/>
      <c r="F41" s="459"/>
      <c r="G41" s="454"/>
      <c r="H41" s="454"/>
      <c r="I41" s="381">
        <f>+F41*J41</f>
        <v>0</v>
      </c>
      <c r="J41" s="975"/>
      <c r="K41" s="459"/>
      <c r="L41" s="454"/>
      <c r="M41" s="459"/>
      <c r="N41" s="462"/>
      <c r="O41" s="1523"/>
      <c r="P41" s="1524"/>
      <c r="Q41" s="375">
        <f t="shared" si="1"/>
        <v>0</v>
      </c>
      <c r="R41" s="390">
        <f t="shared" si="2"/>
        <v>0</v>
      </c>
      <c r="S41" s="454"/>
      <c r="T41" s="1058">
        <f>+Q41*U41</f>
        <v>0</v>
      </c>
      <c r="U41" s="983"/>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979">
        <f t="shared" si="20"/>
        <v>0</v>
      </c>
      <c r="K42" s="384">
        <f t="shared" si="20"/>
        <v>0</v>
      </c>
      <c r="L42" s="393">
        <f t="shared" si="20"/>
        <v>0</v>
      </c>
      <c r="M42" s="384">
        <f t="shared" si="20"/>
        <v>0</v>
      </c>
      <c r="N42" s="401">
        <f t="shared" si="20"/>
        <v>0</v>
      </c>
      <c r="O42" s="1523"/>
      <c r="P42" s="1524"/>
      <c r="Q42" s="378">
        <f t="shared" si="1"/>
        <v>0</v>
      </c>
      <c r="R42" s="393">
        <f t="shared" si="2"/>
        <v>0</v>
      </c>
      <c r="S42" s="393">
        <f>+S43</f>
        <v>0</v>
      </c>
      <c r="T42" s="993">
        <f t="shared" ref="T42" si="21">+T43</f>
        <v>0</v>
      </c>
      <c r="U42" s="982">
        <f>+U43</f>
        <v>0</v>
      </c>
    </row>
    <row r="43" spans="1:21" ht="25.5">
      <c r="A43" s="441" t="s">
        <v>458</v>
      </c>
      <c r="B43" s="442" t="s">
        <v>705</v>
      </c>
      <c r="C43" s="405">
        <v>32</v>
      </c>
      <c r="D43" s="453"/>
      <c r="E43" s="454"/>
      <c r="F43" s="459"/>
      <c r="G43" s="454"/>
      <c r="H43" s="454"/>
      <c r="I43" s="381">
        <f>+F43*J43</f>
        <v>0</v>
      </c>
      <c r="J43" s="975"/>
      <c r="K43" s="459"/>
      <c r="L43" s="454"/>
      <c r="M43" s="459"/>
      <c r="N43" s="462"/>
      <c r="O43" s="1523"/>
      <c r="P43" s="1524"/>
      <c r="Q43" s="375">
        <f t="shared" si="1"/>
        <v>0</v>
      </c>
      <c r="R43" s="390">
        <f t="shared" si="2"/>
        <v>0</v>
      </c>
      <c r="S43" s="454"/>
      <c r="T43" s="1058">
        <f>+Q43*U43</f>
        <v>0</v>
      </c>
      <c r="U43" s="983"/>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979" t="e">
        <f>+(F45*J45+F46*J46)/F44</f>
        <v>#DIV/0!</v>
      </c>
      <c r="K44" s="384">
        <f>+SUM(K45:K46)</f>
        <v>0</v>
      </c>
      <c r="L44" s="393">
        <f>+SUM(L45:L46)</f>
        <v>0</v>
      </c>
      <c r="M44" s="384">
        <f>+SUM(M45:M46)</f>
        <v>0</v>
      </c>
      <c r="N44" s="401">
        <f>+SUM(N45:N46)</f>
        <v>0</v>
      </c>
      <c r="O44" s="1523"/>
      <c r="P44" s="1524"/>
      <c r="Q44" s="378">
        <f t="shared" si="1"/>
        <v>0</v>
      </c>
      <c r="R44" s="393">
        <f t="shared" si="2"/>
        <v>0</v>
      </c>
      <c r="S44" s="393" t="str">
        <f>IFERROR(AVERAGE(S45:S46),"")</f>
        <v/>
      </c>
      <c r="T44" s="993">
        <f>+SUM(T45:T46)</f>
        <v>0</v>
      </c>
      <c r="U44" s="982" t="e">
        <f>+(Q45*U45+Q46*U46)/Q44</f>
        <v>#DIV/0!</v>
      </c>
    </row>
    <row r="45" spans="1:21">
      <c r="A45" s="441" t="s">
        <v>469</v>
      </c>
      <c r="B45" s="442" t="s">
        <v>707</v>
      </c>
      <c r="C45" s="405">
        <v>34</v>
      </c>
      <c r="D45" s="453"/>
      <c r="E45" s="454"/>
      <c r="F45" s="459"/>
      <c r="G45" s="454"/>
      <c r="H45" s="454"/>
      <c r="I45" s="381">
        <f t="shared" ref="I45:I46" si="22">+F45*J45</f>
        <v>0</v>
      </c>
      <c r="J45" s="975"/>
      <c r="K45" s="459"/>
      <c r="L45" s="454"/>
      <c r="M45" s="459"/>
      <c r="N45" s="462"/>
      <c r="O45" s="1523"/>
      <c r="P45" s="1524"/>
      <c r="Q45" s="375">
        <f t="shared" si="1"/>
        <v>0</v>
      </c>
      <c r="R45" s="390">
        <f t="shared" si="2"/>
        <v>0</v>
      </c>
      <c r="S45" s="454"/>
      <c r="T45" s="1058">
        <f t="shared" ref="T45:T46" si="23">+Q45*U45</f>
        <v>0</v>
      </c>
      <c r="U45" s="983"/>
    </row>
    <row r="46" spans="1:21" ht="25.5">
      <c r="A46" s="441" t="s">
        <v>471</v>
      </c>
      <c r="B46" s="445" t="s">
        <v>708</v>
      </c>
      <c r="C46" s="410">
        <v>35</v>
      </c>
      <c r="D46" s="463"/>
      <c r="E46" s="461"/>
      <c r="F46" s="460"/>
      <c r="G46" s="461"/>
      <c r="H46" s="461"/>
      <c r="I46" s="381">
        <f t="shared" si="22"/>
        <v>0</v>
      </c>
      <c r="J46" s="976"/>
      <c r="K46" s="460"/>
      <c r="L46" s="461"/>
      <c r="M46" s="460"/>
      <c r="N46" s="464"/>
      <c r="O46" s="1523"/>
      <c r="P46" s="1524"/>
      <c r="Q46" s="379">
        <f t="shared" si="1"/>
        <v>0</v>
      </c>
      <c r="R46" s="394">
        <f t="shared" si="2"/>
        <v>0</v>
      </c>
      <c r="S46" s="461"/>
      <c r="T46" s="1059">
        <f t="shared" si="23"/>
        <v>0</v>
      </c>
      <c r="U46" s="984"/>
    </row>
    <row r="47" spans="1:21">
      <c r="A47" s="447">
        <v>3</v>
      </c>
      <c r="B47" s="438" t="s">
        <v>709</v>
      </c>
      <c r="C47" s="411">
        <v>36</v>
      </c>
      <c r="D47" s="418">
        <f>+D48+D53+D57</f>
        <v>0</v>
      </c>
      <c r="E47" s="395">
        <f>+E48+E53+E57</f>
        <v>0</v>
      </c>
      <c r="F47" s="385">
        <f>+F48+F53+F57</f>
        <v>0</v>
      </c>
      <c r="G47" s="395">
        <f>+G48+G53+G57</f>
        <v>0</v>
      </c>
      <c r="H47" s="1071" t="str">
        <f ca="1">IFERROR(SUM(H49:H52,H54:H56,H58:H59)/SUM(COUNTIF(INDIRECT({"H49:H52","H54:H56","H58:H59"}),"&gt;0")),"")</f>
        <v/>
      </c>
      <c r="I47" s="385">
        <f>+I48+I53+I57</f>
        <v>0</v>
      </c>
      <c r="J47" s="977" t="e">
        <f>+I47/F47</f>
        <v>#DIV/0!</v>
      </c>
      <c r="K47" s="385">
        <f>+K48+K53+K57</f>
        <v>0</v>
      </c>
      <c r="L47" s="395">
        <f>+L48+L53+L57</f>
        <v>0</v>
      </c>
      <c r="M47" s="385">
        <f>+M48+M53+M57</f>
        <v>0</v>
      </c>
      <c r="N47" s="402">
        <f>+N48+N53+N57</f>
        <v>0</v>
      </c>
      <c r="O47" s="1523"/>
      <c r="P47" s="1524"/>
      <c r="Q47" s="387">
        <f t="shared" si="1"/>
        <v>0</v>
      </c>
      <c r="R47" s="395">
        <f t="shared" si="2"/>
        <v>0</v>
      </c>
      <c r="S47" s="395" t="str">
        <f ca="1">IFERROR(SUM(S49:S52,S54:S56,S58:S59)/SUM(COUNTIF(INDIRECT({"S49:S52","S54:S56","S58:S59"}),"&gt;0")),"")</f>
        <v/>
      </c>
      <c r="T47" s="995">
        <f>+T48+T53+T57</f>
        <v>0</v>
      </c>
      <c r="U47" s="986"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978" t="e">
        <f>+(F49*J49+F50*J50+F51*J51+F52*J52)/F48</f>
        <v>#DIV/0!</v>
      </c>
      <c r="K48" s="383">
        <f>+SUM(K49:K52)</f>
        <v>0</v>
      </c>
      <c r="L48" s="392">
        <f>+SUM(L49:L52)</f>
        <v>0</v>
      </c>
      <c r="M48" s="383">
        <f>+SUM(M49:M52)</f>
        <v>0</v>
      </c>
      <c r="N48" s="400">
        <f>+SUM(N49:N52)</f>
        <v>0</v>
      </c>
      <c r="O48" s="1523"/>
      <c r="P48" s="1524"/>
      <c r="Q48" s="377">
        <f t="shared" si="1"/>
        <v>0</v>
      </c>
      <c r="R48" s="392">
        <f t="shared" si="2"/>
        <v>0</v>
      </c>
      <c r="S48" s="392" t="str">
        <f>IFERROR(AVERAGE(S49:S52),"")</f>
        <v/>
      </c>
      <c r="T48" s="994">
        <f>+SUM(T49:T52)</f>
        <v>0</v>
      </c>
      <c r="U48" s="985" t="e">
        <f>+(Q49*U49+Q50*U50+Q51*U51+Q52*U52)/Q48</f>
        <v>#DIV/0!</v>
      </c>
    </row>
    <row r="49" spans="1:21" ht="25.5">
      <c r="A49" s="441" t="s">
        <v>711</v>
      </c>
      <c r="B49" s="442" t="s">
        <v>712</v>
      </c>
      <c r="C49" s="405">
        <v>38</v>
      </c>
      <c r="D49" s="453"/>
      <c r="E49" s="454"/>
      <c r="F49" s="459"/>
      <c r="G49" s="454"/>
      <c r="H49" s="454"/>
      <c r="I49" s="381">
        <f t="shared" ref="I49:I52" si="24">+F49*J49</f>
        <v>0</v>
      </c>
      <c r="J49" s="975"/>
      <c r="K49" s="459"/>
      <c r="L49" s="454"/>
      <c r="M49" s="459"/>
      <c r="N49" s="462"/>
      <c r="O49" s="1523"/>
      <c r="P49" s="1524"/>
      <c r="Q49" s="375">
        <f t="shared" si="1"/>
        <v>0</v>
      </c>
      <c r="R49" s="390">
        <f t="shared" si="2"/>
        <v>0</v>
      </c>
      <c r="S49" s="454"/>
      <c r="T49" s="1058">
        <f t="shared" ref="T49:T52" si="25">+Q49*U49</f>
        <v>0</v>
      </c>
      <c r="U49" s="983"/>
    </row>
    <row r="50" spans="1:21" ht="25.5">
      <c r="A50" s="441" t="s">
        <v>713</v>
      </c>
      <c r="B50" s="442" t="s">
        <v>714</v>
      </c>
      <c r="C50" s="405">
        <v>39</v>
      </c>
      <c r="D50" s="453"/>
      <c r="E50" s="454"/>
      <c r="F50" s="459"/>
      <c r="G50" s="454"/>
      <c r="H50" s="454"/>
      <c r="I50" s="381">
        <f t="shared" si="24"/>
        <v>0</v>
      </c>
      <c r="J50" s="975"/>
      <c r="K50" s="459"/>
      <c r="L50" s="454"/>
      <c r="M50" s="459"/>
      <c r="N50" s="462"/>
      <c r="O50" s="1523"/>
      <c r="P50" s="1524"/>
      <c r="Q50" s="375">
        <f t="shared" si="1"/>
        <v>0</v>
      </c>
      <c r="R50" s="390">
        <f t="shared" si="2"/>
        <v>0</v>
      </c>
      <c r="S50" s="454"/>
      <c r="T50" s="1058">
        <f t="shared" si="25"/>
        <v>0</v>
      </c>
      <c r="U50" s="983"/>
    </row>
    <row r="51" spans="1:21" ht="25.5">
      <c r="A51" s="441" t="s">
        <v>715</v>
      </c>
      <c r="B51" s="442" t="s">
        <v>716</v>
      </c>
      <c r="C51" s="405">
        <v>40</v>
      </c>
      <c r="D51" s="453"/>
      <c r="E51" s="454"/>
      <c r="F51" s="459"/>
      <c r="G51" s="454"/>
      <c r="H51" s="454"/>
      <c r="I51" s="381">
        <f t="shared" si="24"/>
        <v>0</v>
      </c>
      <c r="J51" s="975"/>
      <c r="K51" s="459"/>
      <c r="L51" s="454"/>
      <c r="M51" s="459"/>
      <c r="N51" s="462"/>
      <c r="O51" s="1523"/>
      <c r="P51" s="1524"/>
      <c r="Q51" s="375">
        <f t="shared" si="1"/>
        <v>0</v>
      </c>
      <c r="R51" s="390">
        <f t="shared" si="2"/>
        <v>0</v>
      </c>
      <c r="S51" s="454"/>
      <c r="T51" s="1058">
        <f t="shared" si="25"/>
        <v>0</v>
      </c>
      <c r="U51" s="983"/>
    </row>
    <row r="52" spans="1:21">
      <c r="A52" s="441" t="s">
        <v>717</v>
      </c>
      <c r="B52" s="442" t="s">
        <v>718</v>
      </c>
      <c r="C52" s="405">
        <v>41</v>
      </c>
      <c r="D52" s="453"/>
      <c r="E52" s="454"/>
      <c r="F52" s="459"/>
      <c r="G52" s="454"/>
      <c r="H52" s="454"/>
      <c r="I52" s="381">
        <f t="shared" si="24"/>
        <v>0</v>
      </c>
      <c r="J52" s="975"/>
      <c r="K52" s="459"/>
      <c r="L52" s="454"/>
      <c r="M52" s="459"/>
      <c r="N52" s="462"/>
      <c r="O52" s="1523"/>
      <c r="P52" s="1524"/>
      <c r="Q52" s="375">
        <f t="shared" si="1"/>
        <v>0</v>
      </c>
      <c r="R52" s="390">
        <f t="shared" si="2"/>
        <v>0</v>
      </c>
      <c r="S52" s="454"/>
      <c r="T52" s="1058">
        <f t="shared" si="25"/>
        <v>0</v>
      </c>
      <c r="U52" s="983"/>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979" t="e">
        <f>+(F54*J54+F55*J55+F56*J56)/F53</f>
        <v>#DIV/0!</v>
      </c>
      <c r="K53" s="384">
        <f>+SUM(K54:K56)</f>
        <v>0</v>
      </c>
      <c r="L53" s="393">
        <f>+SUM(L54:L56)</f>
        <v>0</v>
      </c>
      <c r="M53" s="384">
        <f>+SUM(M54:M56)</f>
        <v>0</v>
      </c>
      <c r="N53" s="401">
        <f>+SUM(N54:N56)</f>
        <v>0</v>
      </c>
      <c r="O53" s="1523"/>
      <c r="P53" s="1524"/>
      <c r="Q53" s="378">
        <f t="shared" si="1"/>
        <v>0</v>
      </c>
      <c r="R53" s="393">
        <f t="shared" si="2"/>
        <v>0</v>
      </c>
      <c r="S53" s="393" t="str">
        <f>IFERROR(AVERAGE(S44:S46),"")</f>
        <v/>
      </c>
      <c r="T53" s="993">
        <f>+SUM(T54:T56)</f>
        <v>0</v>
      </c>
      <c r="U53" s="982" t="e">
        <f>+(Q54*U54+Q55*U55+Q56*U56)/Q53</f>
        <v>#DIV/0!</v>
      </c>
    </row>
    <row r="54" spans="1:21" ht="25.5">
      <c r="A54" s="441" t="s">
        <v>720</v>
      </c>
      <c r="B54" s="442" t="s">
        <v>721</v>
      </c>
      <c r="C54" s="405">
        <v>43</v>
      </c>
      <c r="D54" s="453"/>
      <c r="E54" s="454"/>
      <c r="F54" s="459"/>
      <c r="G54" s="454"/>
      <c r="H54" s="454"/>
      <c r="I54" s="381">
        <f t="shared" ref="I54:I55" si="26">+F54*J54</f>
        <v>0</v>
      </c>
      <c r="J54" s="975"/>
      <c r="K54" s="459"/>
      <c r="L54" s="454"/>
      <c r="M54" s="459"/>
      <c r="N54" s="462"/>
      <c r="O54" s="1523"/>
      <c r="P54" s="1524"/>
      <c r="Q54" s="375">
        <f t="shared" si="1"/>
        <v>0</v>
      </c>
      <c r="R54" s="390">
        <f t="shared" si="2"/>
        <v>0</v>
      </c>
      <c r="S54" s="454"/>
      <c r="T54" s="1058">
        <f t="shared" ref="T54:T55" si="27">+Q54*U54</f>
        <v>0</v>
      </c>
      <c r="U54" s="983"/>
    </row>
    <row r="55" spans="1:21" ht="25.5">
      <c r="A55" s="441" t="s">
        <v>722</v>
      </c>
      <c r="B55" s="442" t="s">
        <v>723</v>
      </c>
      <c r="C55" s="405">
        <v>44</v>
      </c>
      <c r="D55" s="453"/>
      <c r="E55" s="454"/>
      <c r="F55" s="459"/>
      <c r="G55" s="454"/>
      <c r="H55" s="454"/>
      <c r="I55" s="381">
        <f t="shared" si="26"/>
        <v>0</v>
      </c>
      <c r="J55" s="975"/>
      <c r="K55" s="459"/>
      <c r="L55" s="454"/>
      <c r="M55" s="459"/>
      <c r="N55" s="462"/>
      <c r="O55" s="1523"/>
      <c r="P55" s="1524"/>
      <c r="Q55" s="375">
        <f t="shared" si="1"/>
        <v>0</v>
      </c>
      <c r="R55" s="390">
        <f t="shared" si="2"/>
        <v>0</v>
      </c>
      <c r="S55" s="454"/>
      <c r="T55" s="1058">
        <f t="shared" si="27"/>
        <v>0</v>
      </c>
      <c r="U55" s="983"/>
    </row>
    <row r="56" spans="1:21">
      <c r="A56" s="441" t="s">
        <v>724</v>
      </c>
      <c r="B56" s="442" t="s">
        <v>725</v>
      </c>
      <c r="C56" s="405">
        <v>45</v>
      </c>
      <c r="D56" s="453"/>
      <c r="E56" s="454"/>
      <c r="F56" s="459"/>
      <c r="G56" s="454"/>
      <c r="H56" s="454"/>
      <c r="I56" s="381">
        <f>+F56*J56</f>
        <v>0</v>
      </c>
      <c r="J56" s="975"/>
      <c r="K56" s="459"/>
      <c r="L56" s="454"/>
      <c r="M56" s="459"/>
      <c r="N56" s="462"/>
      <c r="O56" s="1523"/>
      <c r="P56" s="1524"/>
      <c r="Q56" s="375">
        <f t="shared" si="1"/>
        <v>0</v>
      </c>
      <c r="R56" s="390">
        <f t="shared" si="2"/>
        <v>0</v>
      </c>
      <c r="S56" s="454"/>
      <c r="T56" s="1058">
        <f>+Q56*U56</f>
        <v>0</v>
      </c>
      <c r="U56" s="983"/>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979" t="e">
        <f>+(F58*J58+F59*J59)/F57</f>
        <v>#DIV/0!</v>
      </c>
      <c r="K57" s="384">
        <f>+SUM(K58:K59)</f>
        <v>0</v>
      </c>
      <c r="L57" s="393">
        <f>+SUM(L58:L59)</f>
        <v>0</v>
      </c>
      <c r="M57" s="384">
        <f>+SUM(M58:M59)</f>
        <v>0</v>
      </c>
      <c r="N57" s="401">
        <f>+SUM(N58:N59)</f>
        <v>0</v>
      </c>
      <c r="O57" s="1523"/>
      <c r="P57" s="1524"/>
      <c r="Q57" s="378">
        <f t="shared" si="1"/>
        <v>0</v>
      </c>
      <c r="R57" s="393">
        <f t="shared" si="2"/>
        <v>0</v>
      </c>
      <c r="S57" s="393" t="str">
        <f>IFERROR(AVERAGE(S58:S59),"")</f>
        <v/>
      </c>
      <c r="T57" s="993">
        <f>+SUM(T58:T59)</f>
        <v>0</v>
      </c>
      <c r="U57" s="982" t="e">
        <f>+(Q58*U58+Q59*U59)/Q57</f>
        <v>#DIV/0!</v>
      </c>
    </row>
    <row r="58" spans="1:21">
      <c r="A58" s="441" t="s">
        <v>727</v>
      </c>
      <c r="B58" s="442" t="s">
        <v>728</v>
      </c>
      <c r="C58" s="405">
        <v>47</v>
      </c>
      <c r="D58" s="453"/>
      <c r="E58" s="454"/>
      <c r="F58" s="459"/>
      <c r="G58" s="454"/>
      <c r="H58" s="454"/>
      <c r="I58" s="381">
        <f t="shared" ref="I58:I59" si="28">+F58*J58</f>
        <v>0</v>
      </c>
      <c r="J58" s="975"/>
      <c r="K58" s="459"/>
      <c r="L58" s="454"/>
      <c r="M58" s="459"/>
      <c r="N58" s="462"/>
      <c r="O58" s="1523"/>
      <c r="P58" s="1524"/>
      <c r="Q58" s="375">
        <f t="shared" si="1"/>
        <v>0</v>
      </c>
      <c r="R58" s="390">
        <f t="shared" si="2"/>
        <v>0</v>
      </c>
      <c r="S58" s="454"/>
      <c r="T58" s="1058">
        <f t="shared" ref="T58:T59" si="29">+Q58*U58</f>
        <v>0</v>
      </c>
      <c r="U58" s="983"/>
    </row>
    <row r="59" spans="1:21" ht="38.25">
      <c r="A59" s="441" t="s">
        <v>729</v>
      </c>
      <c r="B59" s="445" t="s">
        <v>730</v>
      </c>
      <c r="C59" s="410">
        <v>48</v>
      </c>
      <c r="D59" s="463"/>
      <c r="E59" s="461"/>
      <c r="F59" s="460"/>
      <c r="G59" s="461"/>
      <c r="H59" s="461"/>
      <c r="I59" s="381">
        <f t="shared" si="28"/>
        <v>0</v>
      </c>
      <c r="J59" s="976"/>
      <c r="K59" s="460"/>
      <c r="L59" s="461"/>
      <c r="M59" s="460"/>
      <c r="N59" s="464"/>
      <c r="O59" s="1523"/>
      <c r="P59" s="1524"/>
      <c r="Q59" s="379">
        <f t="shared" si="1"/>
        <v>0</v>
      </c>
      <c r="R59" s="394">
        <f t="shared" si="2"/>
        <v>0</v>
      </c>
      <c r="S59" s="461"/>
      <c r="T59" s="1059">
        <f t="shared" si="29"/>
        <v>0</v>
      </c>
      <c r="U59" s="984"/>
    </row>
    <row r="60" spans="1:21">
      <c r="A60" s="447">
        <v>4</v>
      </c>
      <c r="B60" s="438" t="s">
        <v>731</v>
      </c>
      <c r="C60" s="411">
        <v>49</v>
      </c>
      <c r="D60" s="415">
        <f>+D61+D63+D65</f>
        <v>0</v>
      </c>
      <c r="E60" s="391">
        <f>+E61+E63+E65</f>
        <v>0</v>
      </c>
      <c r="F60" s="382">
        <f>+F61+F63+F65</f>
        <v>0</v>
      </c>
      <c r="G60" s="391">
        <f>+G61+G63+G65</f>
        <v>0</v>
      </c>
      <c r="H60" s="1070" t="str">
        <f ca="1">+IFERROR(SUM(H62,H64,H66:H67)/SUM(COUNTIF(INDIRECT({"H62","H64","H66:H67"}),"&gt;0")),"")</f>
        <v/>
      </c>
      <c r="I60" s="382">
        <f>+I61+I63+I65</f>
        <v>0</v>
      </c>
      <c r="J60" s="977" t="e">
        <f>+I60/F60</f>
        <v>#DIV/0!</v>
      </c>
      <c r="K60" s="382">
        <f>+K61+K63+K65</f>
        <v>0</v>
      </c>
      <c r="L60" s="391">
        <f>+L61+L63+L65</f>
        <v>0</v>
      </c>
      <c r="M60" s="382">
        <f>+M61+M63+M65</f>
        <v>0</v>
      </c>
      <c r="N60" s="403">
        <f>+N61+N63+N65</f>
        <v>0</v>
      </c>
      <c r="O60" s="1523"/>
      <c r="P60" s="1524"/>
      <c r="Q60" s="388">
        <f t="shared" si="1"/>
        <v>0</v>
      </c>
      <c r="R60" s="391">
        <f t="shared" si="2"/>
        <v>0</v>
      </c>
      <c r="S60" s="391" t="str">
        <f ca="1">+IFERROR(SUM(S62,S64,S66:S67)/SUM(COUNTIF(INDIRECT({"S62","S64","S66:S67"}),"&gt;0")),"")</f>
        <v/>
      </c>
      <c r="T60" s="992">
        <f>+T61+T63+T65</f>
        <v>0</v>
      </c>
      <c r="U60" s="981"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978">
        <f t="shared" si="30"/>
        <v>0</v>
      </c>
      <c r="K61" s="383">
        <f t="shared" si="30"/>
        <v>0</v>
      </c>
      <c r="L61" s="392">
        <f t="shared" si="30"/>
        <v>0</v>
      </c>
      <c r="M61" s="383">
        <f t="shared" si="30"/>
        <v>0</v>
      </c>
      <c r="N61" s="400">
        <f t="shared" si="30"/>
        <v>0</v>
      </c>
      <c r="O61" s="1523"/>
      <c r="P61" s="1524"/>
      <c r="Q61" s="377">
        <f t="shared" si="1"/>
        <v>0</v>
      </c>
      <c r="R61" s="392">
        <f t="shared" si="2"/>
        <v>0</v>
      </c>
      <c r="S61" s="392">
        <f>+S62</f>
        <v>0</v>
      </c>
      <c r="T61" s="994">
        <f t="shared" ref="T61" si="31">+T62</f>
        <v>0</v>
      </c>
      <c r="U61" s="985">
        <f>+U62</f>
        <v>0</v>
      </c>
    </row>
    <row r="62" spans="1:21" ht="25.5">
      <c r="A62" s="441" t="s">
        <v>732</v>
      </c>
      <c r="B62" s="442" t="s">
        <v>733</v>
      </c>
      <c r="C62" s="405">
        <v>51</v>
      </c>
      <c r="D62" s="453"/>
      <c r="E62" s="454"/>
      <c r="F62" s="459"/>
      <c r="G62" s="454"/>
      <c r="H62" s="454"/>
      <c r="I62" s="381">
        <f>+F62*J62</f>
        <v>0</v>
      </c>
      <c r="J62" s="975"/>
      <c r="K62" s="459"/>
      <c r="L62" s="454"/>
      <c r="M62" s="459"/>
      <c r="N62" s="462"/>
      <c r="O62" s="1523"/>
      <c r="P62" s="1524"/>
      <c r="Q62" s="375">
        <f t="shared" si="1"/>
        <v>0</v>
      </c>
      <c r="R62" s="390">
        <f t="shared" si="2"/>
        <v>0</v>
      </c>
      <c r="S62" s="454"/>
      <c r="T62" s="1058">
        <f>+Q62*U62</f>
        <v>0</v>
      </c>
      <c r="U62" s="983"/>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979">
        <f t="shared" si="32"/>
        <v>0</v>
      </c>
      <c r="K63" s="384">
        <f t="shared" si="32"/>
        <v>0</v>
      </c>
      <c r="L63" s="393">
        <f t="shared" si="32"/>
        <v>0</v>
      </c>
      <c r="M63" s="384">
        <f t="shared" si="32"/>
        <v>0</v>
      </c>
      <c r="N63" s="401">
        <f t="shared" si="32"/>
        <v>0</v>
      </c>
      <c r="O63" s="1523"/>
      <c r="P63" s="1524"/>
      <c r="Q63" s="378">
        <f t="shared" si="1"/>
        <v>0</v>
      </c>
      <c r="R63" s="393">
        <f t="shared" si="2"/>
        <v>0</v>
      </c>
      <c r="S63" s="393">
        <f>+S64</f>
        <v>0</v>
      </c>
      <c r="T63" s="993">
        <f t="shared" ref="T63" si="33">+T64</f>
        <v>0</v>
      </c>
      <c r="U63" s="982">
        <f>+U64</f>
        <v>0</v>
      </c>
    </row>
    <row r="64" spans="1:21" ht="25.5">
      <c r="A64" s="441" t="s">
        <v>735</v>
      </c>
      <c r="B64" s="442" t="s">
        <v>736</v>
      </c>
      <c r="C64" s="405">
        <v>53</v>
      </c>
      <c r="D64" s="453"/>
      <c r="E64" s="454"/>
      <c r="F64" s="459"/>
      <c r="G64" s="454"/>
      <c r="H64" s="454"/>
      <c r="I64" s="381">
        <f>+F64*J64</f>
        <v>0</v>
      </c>
      <c r="J64" s="975"/>
      <c r="K64" s="459"/>
      <c r="L64" s="454"/>
      <c r="M64" s="459"/>
      <c r="N64" s="462"/>
      <c r="O64" s="1523"/>
      <c r="P64" s="1524"/>
      <c r="Q64" s="375">
        <f t="shared" si="1"/>
        <v>0</v>
      </c>
      <c r="R64" s="390">
        <f t="shared" si="2"/>
        <v>0</v>
      </c>
      <c r="S64" s="454"/>
      <c r="T64" s="1058">
        <f>+Q64*U64</f>
        <v>0</v>
      </c>
      <c r="U64" s="983"/>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979" t="e">
        <f>+(F66*J66+F67*J67)/F65</f>
        <v>#DIV/0!</v>
      </c>
      <c r="K65" s="384">
        <f>+SUM(K66:K67)</f>
        <v>0</v>
      </c>
      <c r="L65" s="393">
        <f>+SUM(L66:L67)</f>
        <v>0</v>
      </c>
      <c r="M65" s="384">
        <f>+SUM(M66:M67)</f>
        <v>0</v>
      </c>
      <c r="N65" s="401">
        <f>+SUM(N66:N67)</f>
        <v>0</v>
      </c>
      <c r="O65" s="1523"/>
      <c r="P65" s="1524"/>
      <c r="Q65" s="378">
        <f t="shared" si="1"/>
        <v>0</v>
      </c>
      <c r="R65" s="393">
        <f t="shared" si="2"/>
        <v>0</v>
      </c>
      <c r="S65" s="393" t="str">
        <f>IFERROR(AVERAGE(S66:S67),"")</f>
        <v/>
      </c>
      <c r="T65" s="993">
        <f>+SUM(T66:T67)</f>
        <v>0</v>
      </c>
      <c r="U65" s="982" t="e">
        <f>+(Q66*U66+Q67*U67)/Q65</f>
        <v>#DIV/0!</v>
      </c>
    </row>
    <row r="66" spans="1:21">
      <c r="A66" s="441" t="s">
        <v>738</v>
      </c>
      <c r="B66" s="442" t="s">
        <v>737</v>
      </c>
      <c r="C66" s="405">
        <v>55</v>
      </c>
      <c r="D66" s="453"/>
      <c r="E66" s="454"/>
      <c r="F66" s="459"/>
      <c r="G66" s="454"/>
      <c r="H66" s="454"/>
      <c r="I66" s="381">
        <f t="shared" ref="I66:I67" si="34">+F66*J66</f>
        <v>0</v>
      </c>
      <c r="J66" s="975"/>
      <c r="K66" s="459"/>
      <c r="L66" s="454"/>
      <c r="M66" s="459"/>
      <c r="N66" s="462"/>
      <c r="O66" s="1523"/>
      <c r="P66" s="1524"/>
      <c r="Q66" s="375">
        <f t="shared" si="1"/>
        <v>0</v>
      </c>
      <c r="R66" s="390">
        <f t="shared" si="2"/>
        <v>0</v>
      </c>
      <c r="S66" s="454"/>
      <c r="T66" s="1058">
        <f t="shared" ref="T66:T67" si="35">+Q66*U66</f>
        <v>0</v>
      </c>
      <c r="U66" s="983"/>
    </row>
    <row r="67" spans="1:21">
      <c r="A67" s="441" t="s">
        <v>739</v>
      </c>
      <c r="B67" s="445" t="s">
        <v>740</v>
      </c>
      <c r="C67" s="410">
        <v>56</v>
      </c>
      <c r="D67" s="463"/>
      <c r="E67" s="461"/>
      <c r="F67" s="460"/>
      <c r="G67" s="461"/>
      <c r="H67" s="461"/>
      <c r="I67" s="381">
        <f t="shared" si="34"/>
        <v>0</v>
      </c>
      <c r="J67" s="976"/>
      <c r="K67" s="460"/>
      <c r="L67" s="461"/>
      <c r="M67" s="460"/>
      <c r="N67" s="464"/>
      <c r="O67" s="1523"/>
      <c r="P67" s="1524"/>
      <c r="Q67" s="379">
        <f t="shared" si="1"/>
        <v>0</v>
      </c>
      <c r="R67" s="394">
        <f t="shared" si="2"/>
        <v>0</v>
      </c>
      <c r="S67" s="461"/>
      <c r="T67" s="1059">
        <f t="shared" si="35"/>
        <v>0</v>
      </c>
      <c r="U67" s="984"/>
    </row>
    <row r="68" spans="1:21">
      <c r="A68" s="447">
        <v>5</v>
      </c>
      <c r="B68" s="438" t="s">
        <v>741</v>
      </c>
      <c r="C68" s="411">
        <v>57</v>
      </c>
      <c r="D68" s="415">
        <f>+D69+D73</f>
        <v>0</v>
      </c>
      <c r="E68" s="391">
        <f>+E69+E73</f>
        <v>0</v>
      </c>
      <c r="F68" s="382">
        <f>+F69+F73</f>
        <v>0</v>
      </c>
      <c r="G68" s="391">
        <f>+G69+G73</f>
        <v>0</v>
      </c>
      <c r="H68" s="1070" t="str">
        <f ca="1">IFERROR(SUM(H70:H72,H74:H75)/SUM(COUNTIF(INDIRECT({"H70:H72","H74:H75"}),"&gt;0")),"")</f>
        <v/>
      </c>
      <c r="I68" s="382">
        <f>+I69+I73</f>
        <v>0</v>
      </c>
      <c r="J68" s="977" t="e">
        <f>+I68/F68</f>
        <v>#DIV/0!</v>
      </c>
      <c r="K68" s="382">
        <f>+K69+K73</f>
        <v>0</v>
      </c>
      <c r="L68" s="391">
        <f>+L69+L73</f>
        <v>0</v>
      </c>
      <c r="M68" s="382">
        <f>+M69+M73</f>
        <v>0</v>
      </c>
      <c r="N68" s="403">
        <f>+N69+N73</f>
        <v>0</v>
      </c>
      <c r="O68" s="1523"/>
      <c r="P68" s="1524"/>
      <c r="Q68" s="388">
        <f t="shared" si="1"/>
        <v>0</v>
      </c>
      <c r="R68" s="391">
        <f t="shared" si="2"/>
        <v>0</v>
      </c>
      <c r="S68" s="391" t="str">
        <f ca="1">IFERROR(SUM(S70:S72,S74:S75)/SUM(COUNTIF(INDIRECT({"S70:S72","S74:S75"}),"&gt;0")),"")</f>
        <v/>
      </c>
      <c r="T68" s="992">
        <f>+T69+T73</f>
        <v>0</v>
      </c>
      <c r="U68" s="981"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978" t="e">
        <f>+(F70*J70+F71*J71+F72*J72)/F69</f>
        <v>#DIV/0!</v>
      </c>
      <c r="K69" s="383">
        <f>+SUM(K70:K72)</f>
        <v>0</v>
      </c>
      <c r="L69" s="392">
        <f>+SUM(L70:L72)</f>
        <v>0</v>
      </c>
      <c r="M69" s="383">
        <f>+SUM(M70:M72)</f>
        <v>0</v>
      </c>
      <c r="N69" s="400">
        <f>+SUM(N70:N72)</f>
        <v>0</v>
      </c>
      <c r="O69" s="1523"/>
      <c r="P69" s="1524"/>
      <c r="Q69" s="377">
        <f t="shared" si="1"/>
        <v>0</v>
      </c>
      <c r="R69" s="392">
        <f t="shared" si="2"/>
        <v>0</v>
      </c>
      <c r="S69" s="392">
        <f ca="1">IFERROR(AVERAGE(S60:S62),"")</f>
        <v>0</v>
      </c>
      <c r="T69" s="994">
        <f>+SUM(T70:T72)</f>
        <v>0</v>
      </c>
      <c r="U69" s="985" t="e">
        <f>+(Q70*U70+Q71*U71+Q72*U72)/Q69</f>
        <v>#DIV/0!</v>
      </c>
    </row>
    <row r="70" spans="1:21" ht="38.25">
      <c r="A70" s="441" t="s">
        <v>743</v>
      </c>
      <c r="B70" s="442" t="s">
        <v>744</v>
      </c>
      <c r="C70" s="405">
        <v>59</v>
      </c>
      <c r="D70" s="453"/>
      <c r="E70" s="454"/>
      <c r="F70" s="459"/>
      <c r="G70" s="454"/>
      <c r="H70" s="454"/>
      <c r="I70" s="381">
        <f t="shared" ref="I70:I72" si="36">+F70*J70</f>
        <v>0</v>
      </c>
      <c r="J70" s="975"/>
      <c r="K70" s="459"/>
      <c r="L70" s="454"/>
      <c r="M70" s="459"/>
      <c r="N70" s="462"/>
      <c r="O70" s="1523"/>
      <c r="P70" s="1524"/>
      <c r="Q70" s="375">
        <f t="shared" si="1"/>
        <v>0</v>
      </c>
      <c r="R70" s="390">
        <f t="shared" si="2"/>
        <v>0</v>
      </c>
      <c r="S70" s="454"/>
      <c r="T70" s="1058">
        <f t="shared" ref="T70:T72" si="37">+Q70*U70</f>
        <v>0</v>
      </c>
      <c r="U70" s="983"/>
    </row>
    <row r="71" spans="1:21" ht="25.5">
      <c r="A71" s="441" t="s">
        <v>745</v>
      </c>
      <c r="B71" s="442" t="s">
        <v>746</v>
      </c>
      <c r="C71" s="405">
        <v>60</v>
      </c>
      <c r="D71" s="453"/>
      <c r="E71" s="454"/>
      <c r="F71" s="459"/>
      <c r="G71" s="454"/>
      <c r="H71" s="454"/>
      <c r="I71" s="381">
        <f t="shared" si="36"/>
        <v>0</v>
      </c>
      <c r="J71" s="975"/>
      <c r="K71" s="459"/>
      <c r="L71" s="454"/>
      <c r="M71" s="459"/>
      <c r="N71" s="462"/>
      <c r="O71" s="1523"/>
      <c r="P71" s="1524"/>
      <c r="Q71" s="375">
        <f t="shared" si="1"/>
        <v>0</v>
      </c>
      <c r="R71" s="390">
        <f t="shared" si="2"/>
        <v>0</v>
      </c>
      <c r="S71" s="454"/>
      <c r="T71" s="1058">
        <f t="shared" si="37"/>
        <v>0</v>
      </c>
      <c r="U71" s="983"/>
    </row>
    <row r="72" spans="1:21">
      <c r="A72" s="441" t="s">
        <v>747</v>
      </c>
      <c r="B72" s="442" t="s">
        <v>748</v>
      </c>
      <c r="C72" s="405">
        <v>61</v>
      </c>
      <c r="D72" s="453"/>
      <c r="E72" s="454"/>
      <c r="F72" s="459"/>
      <c r="G72" s="454"/>
      <c r="H72" s="454"/>
      <c r="I72" s="381">
        <f t="shared" si="36"/>
        <v>0</v>
      </c>
      <c r="J72" s="975"/>
      <c r="K72" s="459"/>
      <c r="L72" s="454"/>
      <c r="M72" s="459"/>
      <c r="N72" s="462"/>
      <c r="O72" s="1523"/>
      <c r="P72" s="1524"/>
      <c r="Q72" s="375">
        <f t="shared" si="1"/>
        <v>0</v>
      </c>
      <c r="R72" s="390">
        <f t="shared" si="2"/>
        <v>0</v>
      </c>
      <c r="S72" s="454"/>
      <c r="T72" s="1058">
        <f t="shared" si="37"/>
        <v>0</v>
      </c>
      <c r="U72" s="983"/>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979" t="e">
        <f>+(F74*J74+F75*J75)/F73</f>
        <v>#DIV/0!</v>
      </c>
      <c r="K73" s="384">
        <f>+SUM(K74:K75)</f>
        <v>0</v>
      </c>
      <c r="L73" s="393">
        <f>+SUM(L74:L75)</f>
        <v>0</v>
      </c>
      <c r="M73" s="384">
        <f>+SUM(M74:M75)</f>
        <v>0</v>
      </c>
      <c r="N73" s="401">
        <f>+SUM(N74:N75)</f>
        <v>0</v>
      </c>
      <c r="O73" s="1523"/>
      <c r="P73" s="1524"/>
      <c r="Q73" s="378">
        <f t="shared" si="1"/>
        <v>0</v>
      </c>
      <c r="R73" s="393">
        <f t="shared" si="2"/>
        <v>0</v>
      </c>
      <c r="S73" s="393" t="str">
        <f>IFERROR(AVERAGE(S74:S75),"")</f>
        <v/>
      </c>
      <c r="T73" s="993">
        <f>+SUM(T74:T75)</f>
        <v>0</v>
      </c>
      <c r="U73" s="982" t="e">
        <f>+(Q74*U74+Q75*U75)/Q73</f>
        <v>#DIV/0!</v>
      </c>
    </row>
    <row r="74" spans="1:21" ht="25.5">
      <c r="A74" s="441" t="s">
        <v>750</v>
      </c>
      <c r="B74" s="442" t="s">
        <v>751</v>
      </c>
      <c r="C74" s="405">
        <v>63</v>
      </c>
      <c r="D74" s="453"/>
      <c r="E74" s="454"/>
      <c r="F74" s="459"/>
      <c r="G74" s="454"/>
      <c r="H74" s="454"/>
      <c r="I74" s="381">
        <f t="shared" ref="I74:I75" si="38">+F74*J74</f>
        <v>0</v>
      </c>
      <c r="J74" s="975"/>
      <c r="K74" s="459"/>
      <c r="L74" s="454"/>
      <c r="M74" s="459"/>
      <c r="N74" s="462"/>
      <c r="O74" s="1523"/>
      <c r="P74" s="1524"/>
      <c r="Q74" s="375">
        <f t="shared" si="1"/>
        <v>0</v>
      </c>
      <c r="R74" s="390">
        <f t="shared" si="2"/>
        <v>0</v>
      </c>
      <c r="S74" s="454"/>
      <c r="T74" s="1058">
        <f t="shared" ref="T74:T75" si="39">+Q74*U74</f>
        <v>0</v>
      </c>
      <c r="U74" s="983"/>
    </row>
    <row r="75" spans="1:21" ht="25.5">
      <c r="A75" s="441" t="s">
        <v>752</v>
      </c>
      <c r="B75" s="445" t="s">
        <v>753</v>
      </c>
      <c r="C75" s="410">
        <v>64</v>
      </c>
      <c r="D75" s="463"/>
      <c r="E75" s="461"/>
      <c r="F75" s="460"/>
      <c r="G75" s="461"/>
      <c r="H75" s="461"/>
      <c r="I75" s="381">
        <f t="shared" si="38"/>
        <v>0</v>
      </c>
      <c r="J75" s="976"/>
      <c r="K75" s="460"/>
      <c r="L75" s="461"/>
      <c r="M75" s="460"/>
      <c r="N75" s="464"/>
      <c r="O75" s="1523"/>
      <c r="P75" s="1524"/>
      <c r="Q75" s="379">
        <f t="shared" si="1"/>
        <v>0</v>
      </c>
      <c r="R75" s="394">
        <f t="shared" si="2"/>
        <v>0</v>
      </c>
      <c r="S75" s="461"/>
      <c r="T75" s="1059">
        <f t="shared" si="39"/>
        <v>0</v>
      </c>
      <c r="U75" s="984"/>
    </row>
    <row r="76" spans="1:21">
      <c r="A76" s="447">
        <v>6</v>
      </c>
      <c r="B76" s="438" t="s">
        <v>754</v>
      </c>
      <c r="C76" s="411">
        <v>65</v>
      </c>
      <c r="D76" s="415">
        <f>+D77+D80+D85</f>
        <v>0</v>
      </c>
      <c r="E76" s="391">
        <f>+E77+E80+E85</f>
        <v>0</v>
      </c>
      <c r="F76" s="382">
        <f>+F77+F80+F85</f>
        <v>0</v>
      </c>
      <c r="G76" s="391">
        <f>+G77+G80+G85</f>
        <v>0</v>
      </c>
      <c r="H76" s="1070" t="str">
        <f ca="1">+IFERROR(SUM(H78:H79,H81:H84,H86)/SUM(COUNTIF(INDIRECT({"H78:H79","H81:H84","H86"}),"&gt;0")),"")</f>
        <v/>
      </c>
      <c r="I76" s="382">
        <f>+I77+I80+I85</f>
        <v>0</v>
      </c>
      <c r="J76" s="977" t="e">
        <f>+I76/F76</f>
        <v>#DIV/0!</v>
      </c>
      <c r="K76" s="382">
        <f>+K77+K80+K85</f>
        <v>0</v>
      </c>
      <c r="L76" s="391">
        <f>+L77+L80+L85</f>
        <v>0</v>
      </c>
      <c r="M76" s="382">
        <f>+M77+M80+M85</f>
        <v>0</v>
      </c>
      <c r="N76" s="403">
        <f>+N77+N80+N85</f>
        <v>0</v>
      </c>
      <c r="O76" s="1523"/>
      <c r="P76" s="1524"/>
      <c r="Q76" s="388">
        <f t="shared" si="1"/>
        <v>0</v>
      </c>
      <c r="R76" s="391">
        <f t="shared" si="2"/>
        <v>0</v>
      </c>
      <c r="S76" s="391" t="str">
        <f ca="1">+IFERROR(SUM(S78:S79,S81:S84,S86)/SUM(COUNTIF(INDIRECT({"S78:S79","S81:S84","S86"}),"&gt;0")),"")</f>
        <v/>
      </c>
      <c r="T76" s="992">
        <f>+T77+T80+T85</f>
        <v>0</v>
      </c>
      <c r="U76" s="981"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978" t="e">
        <f>+(F78*J78+F79*J79)/F77</f>
        <v>#DIV/0!</v>
      </c>
      <c r="K77" s="383">
        <f>+SUM(K78:K79)</f>
        <v>0</v>
      </c>
      <c r="L77" s="392">
        <f>+SUM(L78:L79)</f>
        <v>0</v>
      </c>
      <c r="M77" s="383">
        <f>+SUM(M78:M79)</f>
        <v>0</v>
      </c>
      <c r="N77" s="400">
        <f>+SUM(N78:N79)</f>
        <v>0</v>
      </c>
      <c r="O77" s="1523"/>
      <c r="P77" s="1524"/>
      <c r="Q77" s="377">
        <f t="shared" si="1"/>
        <v>0</v>
      </c>
      <c r="R77" s="392">
        <f t="shared" si="2"/>
        <v>0</v>
      </c>
      <c r="S77" s="392" t="str">
        <f>IFERROR(AVERAGE(S78:S79),"")</f>
        <v/>
      </c>
      <c r="T77" s="994">
        <f>+SUM(T78:T79)</f>
        <v>0</v>
      </c>
      <c r="U77" s="985" t="e">
        <f>+(Q78*U78+Q79*U79)/Q77</f>
        <v>#DIV/0!</v>
      </c>
    </row>
    <row r="78" spans="1:21" ht="25.5">
      <c r="A78" s="441" t="s">
        <v>756</v>
      </c>
      <c r="B78" s="442" t="s">
        <v>757</v>
      </c>
      <c r="C78" s="405">
        <v>67</v>
      </c>
      <c r="D78" s="453"/>
      <c r="E78" s="454"/>
      <c r="F78" s="459"/>
      <c r="G78" s="454"/>
      <c r="H78" s="454"/>
      <c r="I78" s="381">
        <f t="shared" ref="I78:I79" si="40">+F78*J78</f>
        <v>0</v>
      </c>
      <c r="J78" s="975"/>
      <c r="K78" s="459"/>
      <c r="L78" s="454"/>
      <c r="M78" s="459"/>
      <c r="N78" s="462"/>
      <c r="O78" s="1523"/>
      <c r="P78" s="1524"/>
      <c r="Q78" s="375">
        <f t="shared" ref="Q78:Q112" si="41">ROUND(SUM(D78,F78,-K78,-M78),2)</f>
        <v>0</v>
      </c>
      <c r="R78" s="390">
        <f t="shared" ref="R78:R112" si="42">+E78+G78-N78</f>
        <v>0</v>
      </c>
      <c r="S78" s="454"/>
      <c r="T78" s="1058">
        <f t="shared" ref="T78:T79" si="43">+Q78*U78</f>
        <v>0</v>
      </c>
      <c r="U78" s="983"/>
    </row>
    <row r="79" spans="1:21" ht="25.5">
      <c r="A79" s="441" t="s">
        <v>758</v>
      </c>
      <c r="B79" s="442" t="s">
        <v>759</v>
      </c>
      <c r="C79" s="405">
        <v>68</v>
      </c>
      <c r="D79" s="453"/>
      <c r="E79" s="454"/>
      <c r="F79" s="459"/>
      <c r="G79" s="454"/>
      <c r="H79" s="454"/>
      <c r="I79" s="381">
        <f t="shared" si="40"/>
        <v>0</v>
      </c>
      <c r="J79" s="975"/>
      <c r="K79" s="459"/>
      <c r="L79" s="454"/>
      <c r="M79" s="459"/>
      <c r="N79" s="462"/>
      <c r="O79" s="1523"/>
      <c r="P79" s="1524"/>
      <c r="Q79" s="375">
        <f t="shared" si="41"/>
        <v>0</v>
      </c>
      <c r="R79" s="390">
        <f t="shared" si="42"/>
        <v>0</v>
      </c>
      <c r="S79" s="454"/>
      <c r="T79" s="1058">
        <f t="shared" si="43"/>
        <v>0</v>
      </c>
      <c r="U79" s="983"/>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979" t="e">
        <f>+(F81*J81+F82*J82+F83*J83+F84*J84)/F80</f>
        <v>#DIV/0!</v>
      </c>
      <c r="K80" s="384">
        <f>+SUM(K81:K84)</f>
        <v>0</v>
      </c>
      <c r="L80" s="393">
        <f>+SUM(L81:L84)</f>
        <v>0</v>
      </c>
      <c r="M80" s="384">
        <f>+SUM(M81:M84)</f>
        <v>0</v>
      </c>
      <c r="N80" s="401">
        <f>+SUM(N81:N84)</f>
        <v>0</v>
      </c>
      <c r="O80" s="1523"/>
      <c r="P80" s="1524"/>
      <c r="Q80" s="378">
        <f t="shared" si="41"/>
        <v>0</v>
      </c>
      <c r="R80" s="393">
        <f t="shared" si="42"/>
        <v>0</v>
      </c>
      <c r="S80" s="393" t="str">
        <f>IFERROR(AVERAGE(S81:S84),"")</f>
        <v/>
      </c>
      <c r="T80" s="993">
        <f>+SUM(T81:T84)</f>
        <v>0</v>
      </c>
      <c r="U80" s="982" t="e">
        <f>+(Q81*U81+Q82*U82+Q83*U83+Q84*U84)/Q80</f>
        <v>#DIV/0!</v>
      </c>
    </row>
    <row r="81" spans="1:21">
      <c r="A81" s="441" t="s">
        <v>761</v>
      </c>
      <c r="B81" s="442" t="s">
        <v>762</v>
      </c>
      <c r="C81" s="405">
        <v>70</v>
      </c>
      <c r="D81" s="453"/>
      <c r="E81" s="454"/>
      <c r="F81" s="459"/>
      <c r="G81" s="454"/>
      <c r="H81" s="454"/>
      <c r="I81" s="381">
        <f t="shared" ref="I81:I84" si="44">+F81*J81</f>
        <v>0</v>
      </c>
      <c r="J81" s="975"/>
      <c r="K81" s="459"/>
      <c r="L81" s="454"/>
      <c r="M81" s="459"/>
      <c r="N81" s="462"/>
      <c r="O81" s="1523"/>
      <c r="P81" s="1524"/>
      <c r="Q81" s="375">
        <f t="shared" si="41"/>
        <v>0</v>
      </c>
      <c r="R81" s="390">
        <f t="shared" si="42"/>
        <v>0</v>
      </c>
      <c r="S81" s="454"/>
      <c r="T81" s="1058">
        <f t="shared" ref="T81:T84" si="45">+Q81*U81</f>
        <v>0</v>
      </c>
      <c r="U81" s="983"/>
    </row>
    <row r="82" spans="1:21" ht="25.5">
      <c r="A82" s="441" t="s">
        <v>763</v>
      </c>
      <c r="B82" s="442" t="s">
        <v>764</v>
      </c>
      <c r="C82" s="405">
        <v>71</v>
      </c>
      <c r="D82" s="453"/>
      <c r="E82" s="454"/>
      <c r="F82" s="459"/>
      <c r="G82" s="454"/>
      <c r="H82" s="454"/>
      <c r="I82" s="381">
        <f t="shared" si="44"/>
        <v>0</v>
      </c>
      <c r="J82" s="975"/>
      <c r="K82" s="459"/>
      <c r="L82" s="454"/>
      <c r="M82" s="459"/>
      <c r="N82" s="462"/>
      <c r="O82" s="1523"/>
      <c r="P82" s="1524"/>
      <c r="Q82" s="375">
        <f t="shared" si="41"/>
        <v>0</v>
      </c>
      <c r="R82" s="390">
        <f t="shared" si="42"/>
        <v>0</v>
      </c>
      <c r="S82" s="454"/>
      <c r="T82" s="1058">
        <f t="shared" si="45"/>
        <v>0</v>
      </c>
      <c r="U82" s="983"/>
    </row>
    <row r="83" spans="1:21">
      <c r="A83" s="441" t="s">
        <v>765</v>
      </c>
      <c r="B83" s="442" t="s">
        <v>766</v>
      </c>
      <c r="C83" s="405">
        <v>72</v>
      </c>
      <c r="D83" s="453"/>
      <c r="E83" s="454"/>
      <c r="F83" s="459"/>
      <c r="G83" s="454"/>
      <c r="H83" s="454"/>
      <c r="I83" s="381">
        <f t="shared" si="44"/>
        <v>0</v>
      </c>
      <c r="J83" s="975"/>
      <c r="K83" s="459"/>
      <c r="L83" s="454"/>
      <c r="M83" s="459"/>
      <c r="N83" s="462"/>
      <c r="O83" s="1523"/>
      <c r="P83" s="1524"/>
      <c r="Q83" s="375">
        <f t="shared" si="41"/>
        <v>0</v>
      </c>
      <c r="R83" s="390">
        <f t="shared" si="42"/>
        <v>0</v>
      </c>
      <c r="S83" s="454"/>
      <c r="T83" s="1058">
        <f t="shared" si="45"/>
        <v>0</v>
      </c>
      <c r="U83" s="983"/>
    </row>
    <row r="84" spans="1:21">
      <c r="A84" s="441" t="s">
        <v>767</v>
      </c>
      <c r="B84" s="442" t="s">
        <v>768</v>
      </c>
      <c r="C84" s="405">
        <v>73</v>
      </c>
      <c r="D84" s="453"/>
      <c r="E84" s="454"/>
      <c r="F84" s="459"/>
      <c r="G84" s="454"/>
      <c r="H84" s="454"/>
      <c r="I84" s="381">
        <f t="shared" si="44"/>
        <v>0</v>
      </c>
      <c r="J84" s="975"/>
      <c r="K84" s="459"/>
      <c r="L84" s="454"/>
      <c r="M84" s="459"/>
      <c r="N84" s="462"/>
      <c r="O84" s="1523"/>
      <c r="P84" s="1524"/>
      <c r="Q84" s="375">
        <f t="shared" si="41"/>
        <v>0</v>
      </c>
      <c r="R84" s="390">
        <f t="shared" si="42"/>
        <v>0</v>
      </c>
      <c r="S84" s="454"/>
      <c r="T84" s="1058">
        <f t="shared" si="45"/>
        <v>0</v>
      </c>
      <c r="U84" s="983"/>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979">
        <f t="shared" si="46"/>
        <v>0</v>
      </c>
      <c r="K85" s="384">
        <f t="shared" si="46"/>
        <v>0</v>
      </c>
      <c r="L85" s="393">
        <f t="shared" si="46"/>
        <v>0</v>
      </c>
      <c r="M85" s="384">
        <f t="shared" si="46"/>
        <v>0</v>
      </c>
      <c r="N85" s="401">
        <f t="shared" si="46"/>
        <v>0</v>
      </c>
      <c r="O85" s="1523"/>
      <c r="P85" s="1524"/>
      <c r="Q85" s="378">
        <f t="shared" si="41"/>
        <v>0</v>
      </c>
      <c r="R85" s="393">
        <f t="shared" si="42"/>
        <v>0</v>
      </c>
      <c r="S85" s="393">
        <f>+S86</f>
        <v>0</v>
      </c>
      <c r="T85" s="993">
        <f t="shared" ref="T85" si="47">+T86</f>
        <v>0</v>
      </c>
      <c r="U85" s="982">
        <f>+U86</f>
        <v>0</v>
      </c>
    </row>
    <row r="86" spans="1:21" ht="25.5">
      <c r="A86" s="441" t="s">
        <v>770</v>
      </c>
      <c r="B86" s="445" t="s">
        <v>771</v>
      </c>
      <c r="C86" s="410">
        <v>75</v>
      </c>
      <c r="D86" s="463"/>
      <c r="E86" s="461"/>
      <c r="F86" s="460"/>
      <c r="G86" s="461"/>
      <c r="H86" s="461"/>
      <c r="I86" s="381">
        <f>+F86*J86</f>
        <v>0</v>
      </c>
      <c r="J86" s="976"/>
      <c r="K86" s="460"/>
      <c r="L86" s="461"/>
      <c r="M86" s="460"/>
      <c r="N86" s="464"/>
      <c r="O86" s="1523"/>
      <c r="P86" s="1524"/>
      <c r="Q86" s="379">
        <f t="shared" si="41"/>
        <v>0</v>
      </c>
      <c r="R86" s="394">
        <f t="shared" si="42"/>
        <v>0</v>
      </c>
      <c r="S86" s="461"/>
      <c r="T86" s="1059">
        <f>+Q86*U86</f>
        <v>0</v>
      </c>
      <c r="U86" s="984"/>
    </row>
    <row r="87" spans="1:21" ht="25.5">
      <c r="A87" s="447">
        <v>7</v>
      </c>
      <c r="B87" s="438" t="s">
        <v>772</v>
      </c>
      <c r="C87" s="411">
        <v>76</v>
      </c>
      <c r="D87" s="415">
        <f>+D88+D92+D98</f>
        <v>0</v>
      </c>
      <c r="E87" s="391">
        <f>+E88+E92+E98</f>
        <v>0</v>
      </c>
      <c r="F87" s="382">
        <f>+F88+F92+F98</f>
        <v>0</v>
      </c>
      <c r="G87" s="391">
        <f>+G88+G92+G98</f>
        <v>0</v>
      </c>
      <c r="H87" s="1070" t="str">
        <f ca="1">+IFERROR(SUM(H89:H91,H93:H97,H99:H100)/SUM(COUNTIF(INDIRECT({"H89:H91","H93:H97","H99:H100"}),"&gt;0")),"")</f>
        <v/>
      </c>
      <c r="I87" s="382">
        <f>+I88+I92+I98</f>
        <v>0</v>
      </c>
      <c r="J87" s="977" t="e">
        <f>+I87/F87</f>
        <v>#DIV/0!</v>
      </c>
      <c r="K87" s="382">
        <f>+K88+K92+K98</f>
        <v>0</v>
      </c>
      <c r="L87" s="391">
        <f>+L88+L92+L98</f>
        <v>0</v>
      </c>
      <c r="M87" s="382">
        <f>+M88+M92+M98</f>
        <v>0</v>
      </c>
      <c r="N87" s="403">
        <f>+N88+N92+N98</f>
        <v>0</v>
      </c>
      <c r="O87" s="1523"/>
      <c r="P87" s="1524"/>
      <c r="Q87" s="388">
        <f t="shared" si="41"/>
        <v>0</v>
      </c>
      <c r="R87" s="391">
        <f t="shared" si="42"/>
        <v>0</v>
      </c>
      <c r="S87" s="391" t="str">
        <f ca="1">+IFERROR(SUM(S89:S91,S93:S97,S99:S100)/SUM(COUNTIF(INDIRECT({"S89:S91","S93:S97","S99:S100"}),"&gt;0")),"")</f>
        <v/>
      </c>
      <c r="T87" s="992">
        <f>+T88+T92+T98</f>
        <v>0</v>
      </c>
      <c r="U87" s="981"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978" t="e">
        <f>+(F89*J89+F90*J90+F91*J91)/F88</f>
        <v>#DIV/0!</v>
      </c>
      <c r="K88" s="383">
        <f>+SUM(K89:K91)</f>
        <v>0</v>
      </c>
      <c r="L88" s="392">
        <f>+SUM(L89:L91)</f>
        <v>0</v>
      </c>
      <c r="M88" s="383">
        <f>+SUM(M89:M91)</f>
        <v>0</v>
      </c>
      <c r="N88" s="400">
        <f>+SUM(N89:N91)</f>
        <v>0</v>
      </c>
      <c r="O88" s="1523"/>
      <c r="P88" s="1524"/>
      <c r="Q88" s="377">
        <f t="shared" si="41"/>
        <v>0</v>
      </c>
      <c r="R88" s="392">
        <f t="shared" si="42"/>
        <v>0</v>
      </c>
      <c r="S88" s="392" t="str">
        <f>IFERROR(AVERAGE(S79:S81),"")</f>
        <v/>
      </c>
      <c r="T88" s="994">
        <f>+SUM(T89:T91)</f>
        <v>0</v>
      </c>
      <c r="U88" s="985" t="e">
        <f>+(Q89*U89+Q90*U90+Q91*U91)/Q88</f>
        <v>#DIV/0!</v>
      </c>
    </row>
    <row r="89" spans="1:21" ht="25.5">
      <c r="A89" s="441" t="s">
        <v>774</v>
      </c>
      <c r="B89" s="442" t="s">
        <v>775</v>
      </c>
      <c r="C89" s="405">
        <v>78</v>
      </c>
      <c r="D89" s="453"/>
      <c r="E89" s="454"/>
      <c r="F89" s="459"/>
      <c r="G89" s="454"/>
      <c r="H89" s="454"/>
      <c r="I89" s="381">
        <f t="shared" ref="I89:I91" si="48">+F89*J89</f>
        <v>0</v>
      </c>
      <c r="J89" s="975"/>
      <c r="K89" s="459"/>
      <c r="L89" s="454"/>
      <c r="M89" s="459"/>
      <c r="N89" s="462"/>
      <c r="O89" s="1523"/>
      <c r="P89" s="1524"/>
      <c r="Q89" s="375">
        <f t="shared" si="41"/>
        <v>0</v>
      </c>
      <c r="R89" s="390">
        <f t="shared" si="42"/>
        <v>0</v>
      </c>
      <c r="S89" s="454"/>
      <c r="T89" s="1058">
        <f t="shared" ref="T89:T91" si="49">+Q89*U89</f>
        <v>0</v>
      </c>
      <c r="U89" s="983"/>
    </row>
    <row r="90" spans="1:21">
      <c r="A90" s="441" t="s">
        <v>776</v>
      </c>
      <c r="B90" s="442" t="s">
        <v>777</v>
      </c>
      <c r="C90" s="405">
        <v>79</v>
      </c>
      <c r="D90" s="453"/>
      <c r="E90" s="454"/>
      <c r="F90" s="459"/>
      <c r="G90" s="454"/>
      <c r="H90" s="454"/>
      <c r="I90" s="381">
        <f t="shared" si="48"/>
        <v>0</v>
      </c>
      <c r="J90" s="975"/>
      <c r="K90" s="459"/>
      <c r="L90" s="454"/>
      <c r="M90" s="459"/>
      <c r="N90" s="462"/>
      <c r="O90" s="1523"/>
      <c r="P90" s="1524"/>
      <c r="Q90" s="375">
        <f t="shared" si="41"/>
        <v>0</v>
      </c>
      <c r="R90" s="390">
        <f t="shared" si="42"/>
        <v>0</v>
      </c>
      <c r="S90" s="454"/>
      <c r="T90" s="1058">
        <f t="shared" si="49"/>
        <v>0</v>
      </c>
      <c r="U90" s="983"/>
    </row>
    <row r="91" spans="1:21">
      <c r="A91" s="441" t="s">
        <v>778</v>
      </c>
      <c r="B91" s="442" t="s">
        <v>779</v>
      </c>
      <c r="C91" s="405">
        <v>80</v>
      </c>
      <c r="D91" s="453"/>
      <c r="E91" s="454"/>
      <c r="F91" s="459"/>
      <c r="G91" s="454"/>
      <c r="H91" s="454"/>
      <c r="I91" s="381">
        <f t="shared" si="48"/>
        <v>0</v>
      </c>
      <c r="J91" s="975"/>
      <c r="K91" s="459"/>
      <c r="L91" s="454"/>
      <c r="M91" s="459"/>
      <c r="N91" s="462"/>
      <c r="O91" s="1523"/>
      <c r="P91" s="1524"/>
      <c r="Q91" s="375">
        <f t="shared" si="41"/>
        <v>0</v>
      </c>
      <c r="R91" s="390">
        <f t="shared" si="42"/>
        <v>0</v>
      </c>
      <c r="S91" s="454"/>
      <c r="T91" s="1058">
        <f t="shared" si="49"/>
        <v>0</v>
      </c>
      <c r="U91" s="983"/>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979" t="e">
        <f>+(F93*J93+F94*J94+F95*J95+F96*J96+F97*J97)/F92</f>
        <v>#DIV/0!</v>
      </c>
      <c r="K92" s="384">
        <f>+SUM(K93:K97)</f>
        <v>0</v>
      </c>
      <c r="L92" s="393">
        <f>+SUM(L93:L97)</f>
        <v>0</v>
      </c>
      <c r="M92" s="384">
        <f>+SUM(M93:M97)</f>
        <v>0</v>
      </c>
      <c r="N92" s="401">
        <f>+SUM(N93:N97)</f>
        <v>0</v>
      </c>
      <c r="O92" s="1523"/>
      <c r="P92" s="1524"/>
      <c r="Q92" s="378">
        <f t="shared" si="41"/>
        <v>0</v>
      </c>
      <c r="R92" s="393">
        <f t="shared" si="42"/>
        <v>0</v>
      </c>
      <c r="S92" s="393" t="str">
        <f>IFERROR(AVERAGE(S93:S97),"")</f>
        <v/>
      </c>
      <c r="T92" s="993">
        <f>+SUM(T93:T97)</f>
        <v>0</v>
      </c>
      <c r="U92" s="982" t="e">
        <f>+(Q93*U93+Q94*U94+Q95*U95+Q96*U96+Q97*U97)/Q92</f>
        <v>#DIV/0!</v>
      </c>
    </row>
    <row r="93" spans="1:21">
      <c r="A93" s="441" t="s">
        <v>781</v>
      </c>
      <c r="B93" s="442" t="s">
        <v>782</v>
      </c>
      <c r="C93" s="405">
        <v>82</v>
      </c>
      <c r="D93" s="453"/>
      <c r="E93" s="454"/>
      <c r="F93" s="459"/>
      <c r="G93" s="454"/>
      <c r="H93" s="454"/>
      <c r="I93" s="381"/>
      <c r="J93" s="975"/>
      <c r="K93" s="459"/>
      <c r="L93" s="454"/>
      <c r="M93" s="459"/>
      <c r="N93" s="462"/>
      <c r="O93" s="1523"/>
      <c r="P93" s="1524"/>
      <c r="Q93" s="375">
        <f t="shared" si="41"/>
        <v>0</v>
      </c>
      <c r="R93" s="390">
        <f t="shared" si="42"/>
        <v>0</v>
      </c>
      <c r="S93" s="454"/>
      <c r="T93" s="1058">
        <f t="shared" ref="T93:T97" si="50">+Q93*U93</f>
        <v>0</v>
      </c>
      <c r="U93" s="983"/>
    </row>
    <row r="94" spans="1:21">
      <c r="A94" s="441" t="s">
        <v>783</v>
      </c>
      <c r="B94" s="442" t="s">
        <v>784</v>
      </c>
      <c r="C94" s="405">
        <v>83</v>
      </c>
      <c r="D94" s="453"/>
      <c r="E94" s="454"/>
      <c r="F94" s="459"/>
      <c r="G94" s="454"/>
      <c r="H94" s="454"/>
      <c r="I94" s="381">
        <f t="shared" ref="I94:I97" si="51">+F94*J94</f>
        <v>0</v>
      </c>
      <c r="J94" s="975"/>
      <c r="K94" s="459"/>
      <c r="L94" s="454"/>
      <c r="M94" s="459"/>
      <c r="N94" s="462"/>
      <c r="O94" s="1523"/>
      <c r="P94" s="1524"/>
      <c r="Q94" s="375">
        <f t="shared" si="41"/>
        <v>0</v>
      </c>
      <c r="R94" s="390">
        <f t="shared" si="42"/>
        <v>0</v>
      </c>
      <c r="S94" s="454"/>
      <c r="T94" s="1058">
        <f t="shared" si="50"/>
        <v>0</v>
      </c>
      <c r="U94" s="983"/>
    </row>
    <row r="95" spans="1:21" ht="25.5">
      <c r="A95" s="441" t="s">
        <v>785</v>
      </c>
      <c r="B95" s="442" t="s">
        <v>786</v>
      </c>
      <c r="C95" s="405">
        <v>84</v>
      </c>
      <c r="D95" s="453"/>
      <c r="E95" s="454"/>
      <c r="F95" s="459"/>
      <c r="G95" s="454"/>
      <c r="H95" s="454"/>
      <c r="I95" s="381">
        <f t="shared" si="51"/>
        <v>0</v>
      </c>
      <c r="J95" s="975"/>
      <c r="K95" s="459"/>
      <c r="L95" s="454"/>
      <c r="M95" s="459"/>
      <c r="N95" s="462"/>
      <c r="O95" s="1523"/>
      <c r="P95" s="1524"/>
      <c r="Q95" s="375">
        <f t="shared" si="41"/>
        <v>0</v>
      </c>
      <c r="R95" s="390">
        <f t="shared" si="42"/>
        <v>0</v>
      </c>
      <c r="S95" s="454"/>
      <c r="T95" s="1058">
        <f t="shared" si="50"/>
        <v>0</v>
      </c>
      <c r="U95" s="983"/>
    </row>
    <row r="96" spans="1:21" ht="25.5">
      <c r="A96" s="441" t="s">
        <v>787</v>
      </c>
      <c r="B96" s="442" t="s">
        <v>788</v>
      </c>
      <c r="C96" s="405">
        <v>85</v>
      </c>
      <c r="D96" s="453"/>
      <c r="E96" s="454"/>
      <c r="F96" s="459"/>
      <c r="G96" s="454"/>
      <c r="H96" s="454"/>
      <c r="I96" s="381">
        <f t="shared" si="51"/>
        <v>0</v>
      </c>
      <c r="J96" s="975"/>
      <c r="K96" s="459"/>
      <c r="L96" s="454"/>
      <c r="M96" s="459"/>
      <c r="N96" s="462"/>
      <c r="O96" s="1523"/>
      <c r="P96" s="1524"/>
      <c r="Q96" s="375">
        <f t="shared" si="41"/>
        <v>0</v>
      </c>
      <c r="R96" s="390">
        <f t="shared" si="42"/>
        <v>0</v>
      </c>
      <c r="S96" s="454"/>
      <c r="T96" s="1058">
        <f t="shared" si="50"/>
        <v>0</v>
      </c>
      <c r="U96" s="983"/>
    </row>
    <row r="97" spans="1:21">
      <c r="A97" s="441" t="s">
        <v>789</v>
      </c>
      <c r="B97" s="442" t="s">
        <v>790</v>
      </c>
      <c r="C97" s="405">
        <v>86</v>
      </c>
      <c r="D97" s="453"/>
      <c r="E97" s="454"/>
      <c r="F97" s="459"/>
      <c r="G97" s="454"/>
      <c r="H97" s="454"/>
      <c r="I97" s="381">
        <f t="shared" si="51"/>
        <v>0</v>
      </c>
      <c r="J97" s="975"/>
      <c r="K97" s="459"/>
      <c r="L97" s="454"/>
      <c r="M97" s="459"/>
      <c r="N97" s="462"/>
      <c r="O97" s="1523"/>
      <c r="P97" s="1524"/>
      <c r="Q97" s="375">
        <f t="shared" si="41"/>
        <v>0</v>
      </c>
      <c r="R97" s="390">
        <f t="shared" si="42"/>
        <v>0</v>
      </c>
      <c r="S97" s="454"/>
      <c r="T97" s="1058">
        <f t="shared" si="50"/>
        <v>0</v>
      </c>
      <c r="U97" s="983"/>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979" t="e">
        <f>+(F99*J99+F100*J100)/F98</f>
        <v>#DIV/0!</v>
      </c>
      <c r="K98" s="384">
        <f>+SUM(K99:K100)</f>
        <v>0</v>
      </c>
      <c r="L98" s="393">
        <f>+SUM(L99:L100)</f>
        <v>0</v>
      </c>
      <c r="M98" s="384">
        <f>+SUM(M99:M100)</f>
        <v>0</v>
      </c>
      <c r="N98" s="401">
        <f>+SUM(N99:N100)</f>
        <v>0</v>
      </c>
      <c r="O98" s="1523"/>
      <c r="P98" s="1524"/>
      <c r="Q98" s="378">
        <f t="shared" si="41"/>
        <v>0</v>
      </c>
      <c r="R98" s="393">
        <f t="shared" si="42"/>
        <v>0</v>
      </c>
      <c r="S98" s="393" t="str">
        <f>IFERROR(AVERAGE(S99:S100),"")</f>
        <v/>
      </c>
      <c r="T98" s="993">
        <f>+SUM(T99:T100)</f>
        <v>0</v>
      </c>
      <c r="U98" s="982" t="e">
        <f>+(Q99*U99+Q100*U100)/Q98</f>
        <v>#DIV/0!</v>
      </c>
    </row>
    <row r="99" spans="1:21" ht="25.5">
      <c r="A99" s="441" t="s">
        <v>792</v>
      </c>
      <c r="B99" s="442" t="s">
        <v>793</v>
      </c>
      <c r="C99" s="405">
        <v>88</v>
      </c>
      <c r="D99" s="453"/>
      <c r="E99" s="454"/>
      <c r="F99" s="459"/>
      <c r="G99" s="454"/>
      <c r="H99" s="454"/>
      <c r="I99" s="381">
        <f t="shared" ref="I99:I100" si="52">+F99*J99</f>
        <v>0</v>
      </c>
      <c r="J99" s="975"/>
      <c r="K99" s="459"/>
      <c r="L99" s="454"/>
      <c r="M99" s="459"/>
      <c r="N99" s="462"/>
      <c r="O99" s="1523"/>
      <c r="P99" s="1524"/>
      <c r="Q99" s="375">
        <f t="shared" si="41"/>
        <v>0</v>
      </c>
      <c r="R99" s="390">
        <f t="shared" si="42"/>
        <v>0</v>
      </c>
      <c r="S99" s="454"/>
      <c r="T99" s="1058">
        <f t="shared" ref="T99:T100" si="53">+Q99*U99</f>
        <v>0</v>
      </c>
      <c r="U99" s="983"/>
    </row>
    <row r="100" spans="1:21">
      <c r="A100" s="441" t="s">
        <v>794</v>
      </c>
      <c r="B100" s="445" t="s">
        <v>795</v>
      </c>
      <c r="C100" s="410">
        <v>89</v>
      </c>
      <c r="D100" s="463"/>
      <c r="E100" s="461"/>
      <c r="F100" s="460"/>
      <c r="G100" s="461"/>
      <c r="H100" s="461"/>
      <c r="I100" s="381">
        <f t="shared" si="52"/>
        <v>0</v>
      </c>
      <c r="J100" s="976"/>
      <c r="K100" s="460"/>
      <c r="L100" s="461"/>
      <c r="M100" s="460"/>
      <c r="N100" s="464"/>
      <c r="O100" s="1523"/>
      <c r="P100" s="1524"/>
      <c r="Q100" s="379">
        <f t="shared" si="41"/>
        <v>0</v>
      </c>
      <c r="R100" s="394">
        <f t="shared" si="42"/>
        <v>0</v>
      </c>
      <c r="S100" s="461"/>
      <c r="T100" s="1059">
        <f t="shared" si="53"/>
        <v>0</v>
      </c>
      <c r="U100" s="984"/>
    </row>
    <row r="101" spans="1:21">
      <c r="A101" s="447">
        <v>8</v>
      </c>
      <c r="B101" s="438" t="s">
        <v>796</v>
      </c>
      <c r="C101" s="411">
        <v>90</v>
      </c>
      <c r="D101" s="415">
        <f>+D102+D105+D107+D111</f>
        <v>0</v>
      </c>
      <c r="E101" s="391">
        <f>+E102+E105+E107+E111</f>
        <v>0</v>
      </c>
      <c r="F101" s="382">
        <f>+F102+F105+F107+F111</f>
        <v>0</v>
      </c>
      <c r="G101" s="391">
        <f>+G102+G105+G107+G111</f>
        <v>0</v>
      </c>
      <c r="H101" s="1070" t="str">
        <f ca="1">+IFERROR(SUM(H103:H104,H106,H108:H110,H112)/SUM(COUNTIF(INDIRECT({"H103:H104","H106","H108:H110","H112"}),"&gt;0")),"")</f>
        <v/>
      </c>
      <c r="I101" s="382">
        <f>+I102+I105+I107+I111</f>
        <v>0</v>
      </c>
      <c r="J101" s="977" t="e">
        <f>+I101/F101</f>
        <v>#DIV/0!</v>
      </c>
      <c r="K101" s="382">
        <f>+K102+K105+K107+K111</f>
        <v>0</v>
      </c>
      <c r="L101" s="391">
        <f>+L102+L105+L107+L111</f>
        <v>0</v>
      </c>
      <c r="M101" s="382">
        <f>+M102+M105+M107+M111</f>
        <v>0</v>
      </c>
      <c r="N101" s="403">
        <f>+N102+N105+N107+N111</f>
        <v>0</v>
      </c>
      <c r="O101" s="1523"/>
      <c r="P101" s="1524"/>
      <c r="Q101" s="388">
        <f t="shared" si="41"/>
        <v>0</v>
      </c>
      <c r="R101" s="391">
        <f t="shared" si="42"/>
        <v>0</v>
      </c>
      <c r="S101" s="391" t="str">
        <f ca="1">+IFERROR(SUM(S103:S104,S106,S108:S110,S112)/SUM(COUNTIF(INDIRECT({"S103:S104","S106","S108:S110","S112"}),"&gt;0")),"")</f>
        <v/>
      </c>
      <c r="T101" s="992">
        <f>+T102+T105+T107+T111</f>
        <v>0</v>
      </c>
      <c r="U101" s="981"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978" t="e">
        <f>+(F103*J103+F104*J104)/F102</f>
        <v>#DIV/0!</v>
      </c>
      <c r="K102" s="383">
        <f>+SUM(K103:K104)</f>
        <v>0</v>
      </c>
      <c r="L102" s="392">
        <f>+SUM(L103:L104)</f>
        <v>0</v>
      </c>
      <c r="M102" s="383">
        <f>+SUM(M103:M104)</f>
        <v>0</v>
      </c>
      <c r="N102" s="400">
        <f>+SUM(N103:N104)</f>
        <v>0</v>
      </c>
      <c r="O102" s="1523"/>
      <c r="P102" s="1524"/>
      <c r="Q102" s="377">
        <f t="shared" si="41"/>
        <v>0</v>
      </c>
      <c r="R102" s="392">
        <f t="shared" si="42"/>
        <v>0</v>
      </c>
      <c r="S102" s="392" t="str">
        <f>IFERROR(AVERAGE(S103:S104),"")</f>
        <v/>
      </c>
      <c r="T102" s="994">
        <f>+SUM(T103:T104)</f>
        <v>0</v>
      </c>
      <c r="U102" s="985" t="e">
        <f>+(Q103*U103+Q104*U104)/Q102</f>
        <v>#DIV/0!</v>
      </c>
    </row>
    <row r="103" spans="1:21" ht="25.5">
      <c r="A103" s="441" t="s">
        <v>798</v>
      </c>
      <c r="B103" s="442" t="s">
        <v>799</v>
      </c>
      <c r="C103" s="405">
        <v>92</v>
      </c>
      <c r="D103" s="453"/>
      <c r="E103" s="454"/>
      <c r="F103" s="459"/>
      <c r="G103" s="454"/>
      <c r="H103" s="454"/>
      <c r="I103" s="381">
        <f t="shared" ref="I103:I104" si="54">+F103*J103</f>
        <v>0</v>
      </c>
      <c r="J103" s="975"/>
      <c r="K103" s="459"/>
      <c r="L103" s="454"/>
      <c r="M103" s="459"/>
      <c r="N103" s="462"/>
      <c r="O103" s="1523"/>
      <c r="P103" s="1524"/>
      <c r="Q103" s="375">
        <f t="shared" si="41"/>
        <v>0</v>
      </c>
      <c r="R103" s="390">
        <f t="shared" si="42"/>
        <v>0</v>
      </c>
      <c r="S103" s="454"/>
      <c r="T103" s="1058">
        <f t="shared" ref="T103:T104" si="55">+Q103*U103</f>
        <v>0</v>
      </c>
      <c r="U103" s="983"/>
    </row>
    <row r="104" spans="1:21" ht="25.5">
      <c r="A104" s="441" t="s">
        <v>800</v>
      </c>
      <c r="B104" s="442" t="s">
        <v>801</v>
      </c>
      <c r="C104" s="405">
        <v>93</v>
      </c>
      <c r="D104" s="453"/>
      <c r="E104" s="454"/>
      <c r="F104" s="459"/>
      <c r="G104" s="454"/>
      <c r="H104" s="454"/>
      <c r="I104" s="381">
        <f t="shared" si="54"/>
        <v>0</v>
      </c>
      <c r="J104" s="975"/>
      <c r="K104" s="459"/>
      <c r="L104" s="454"/>
      <c r="M104" s="459"/>
      <c r="N104" s="462"/>
      <c r="O104" s="1523"/>
      <c r="P104" s="1524"/>
      <c r="Q104" s="375">
        <f t="shared" si="41"/>
        <v>0</v>
      </c>
      <c r="R104" s="390">
        <f t="shared" si="42"/>
        <v>0</v>
      </c>
      <c r="S104" s="454"/>
      <c r="T104" s="1058">
        <f t="shared" si="55"/>
        <v>0</v>
      </c>
      <c r="U104" s="983"/>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979">
        <f t="shared" si="56"/>
        <v>0</v>
      </c>
      <c r="K105" s="384">
        <f t="shared" si="56"/>
        <v>0</v>
      </c>
      <c r="L105" s="393">
        <f t="shared" si="56"/>
        <v>0</v>
      </c>
      <c r="M105" s="384">
        <f t="shared" si="56"/>
        <v>0</v>
      </c>
      <c r="N105" s="401">
        <f t="shared" si="56"/>
        <v>0</v>
      </c>
      <c r="O105" s="1523"/>
      <c r="P105" s="1524"/>
      <c r="Q105" s="378">
        <f t="shared" si="41"/>
        <v>0</v>
      </c>
      <c r="R105" s="393">
        <f t="shared" si="42"/>
        <v>0</v>
      </c>
      <c r="S105" s="393">
        <f>+S106</f>
        <v>0</v>
      </c>
      <c r="T105" s="993">
        <f>+T106</f>
        <v>0</v>
      </c>
      <c r="U105" s="982">
        <f>+U106</f>
        <v>0</v>
      </c>
    </row>
    <row r="106" spans="1:21" ht="25.5">
      <c r="A106" s="441" t="s">
        <v>803</v>
      </c>
      <c r="B106" s="442" t="s">
        <v>802</v>
      </c>
      <c r="C106" s="405">
        <v>95</v>
      </c>
      <c r="D106" s="453"/>
      <c r="E106" s="454"/>
      <c r="F106" s="459"/>
      <c r="G106" s="454"/>
      <c r="H106" s="454"/>
      <c r="I106" s="381">
        <f>+F106*J106</f>
        <v>0</v>
      </c>
      <c r="J106" s="975"/>
      <c r="K106" s="459"/>
      <c r="L106" s="454"/>
      <c r="M106" s="459"/>
      <c r="N106" s="462"/>
      <c r="O106" s="1523"/>
      <c r="P106" s="1524"/>
      <c r="Q106" s="375">
        <f t="shared" si="41"/>
        <v>0</v>
      </c>
      <c r="R106" s="390">
        <f t="shared" si="42"/>
        <v>0</v>
      </c>
      <c r="S106" s="454"/>
      <c r="T106" s="1058">
        <f>+Q106*U106</f>
        <v>0</v>
      </c>
      <c r="U106" s="983"/>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979" t="e">
        <f>+(F108*J108+F109*J109+F110*J110)/F107</f>
        <v>#DIV/0!</v>
      </c>
      <c r="K107" s="384">
        <f>+SUM(K108:K110)</f>
        <v>0</v>
      </c>
      <c r="L107" s="393">
        <f>+SUM(L108:L110)</f>
        <v>0</v>
      </c>
      <c r="M107" s="384">
        <f>+SUM(M108:M110)</f>
        <v>0</v>
      </c>
      <c r="N107" s="401">
        <f>+SUM(N108:N110)</f>
        <v>0</v>
      </c>
      <c r="O107" s="1523"/>
      <c r="P107" s="1524"/>
      <c r="Q107" s="378">
        <f t="shared" si="41"/>
        <v>0</v>
      </c>
      <c r="R107" s="393">
        <f t="shared" si="42"/>
        <v>0</v>
      </c>
      <c r="S107" s="393" t="str">
        <f>IFERROR(AVERAGE(S98:S100),"")</f>
        <v/>
      </c>
      <c r="T107" s="993">
        <f>+SUM(T108:T110)</f>
        <v>0</v>
      </c>
      <c r="U107" s="982" t="e">
        <f>+(Q108*U108+Q109*U109+Q110*U110)/Q107</f>
        <v>#DIV/0!</v>
      </c>
    </row>
    <row r="108" spans="1:21">
      <c r="A108" s="441" t="s">
        <v>805</v>
      </c>
      <c r="B108" s="442" t="s">
        <v>806</v>
      </c>
      <c r="C108" s="405">
        <v>97</v>
      </c>
      <c r="D108" s="453"/>
      <c r="E108" s="454"/>
      <c r="F108" s="459"/>
      <c r="G108" s="454"/>
      <c r="H108" s="454"/>
      <c r="I108" s="381">
        <f t="shared" ref="I108:I110" si="57">+F108*J108</f>
        <v>0</v>
      </c>
      <c r="J108" s="975"/>
      <c r="K108" s="459"/>
      <c r="L108" s="454"/>
      <c r="M108" s="459"/>
      <c r="N108" s="462"/>
      <c r="O108" s="1523"/>
      <c r="P108" s="1524"/>
      <c r="Q108" s="375">
        <f t="shared" si="41"/>
        <v>0</v>
      </c>
      <c r="R108" s="390">
        <f t="shared" si="42"/>
        <v>0</v>
      </c>
      <c r="S108" s="454"/>
      <c r="T108" s="1058">
        <f t="shared" ref="T108:T110" si="58">+Q108*U108</f>
        <v>0</v>
      </c>
      <c r="U108" s="983"/>
    </row>
    <row r="109" spans="1:21" ht="25.5">
      <c r="A109" s="441" t="s">
        <v>807</v>
      </c>
      <c r="B109" s="442" t="s">
        <v>808</v>
      </c>
      <c r="C109" s="405">
        <v>98</v>
      </c>
      <c r="D109" s="453"/>
      <c r="E109" s="454"/>
      <c r="F109" s="459"/>
      <c r="G109" s="454"/>
      <c r="H109" s="454"/>
      <c r="I109" s="381"/>
      <c r="J109" s="975"/>
      <c r="K109" s="459"/>
      <c r="L109" s="454"/>
      <c r="M109" s="459"/>
      <c r="N109" s="462"/>
      <c r="O109" s="1523"/>
      <c r="P109" s="1524"/>
      <c r="Q109" s="375">
        <f t="shared" si="41"/>
        <v>0</v>
      </c>
      <c r="R109" s="390">
        <f t="shared" si="42"/>
        <v>0</v>
      </c>
      <c r="S109" s="454"/>
      <c r="T109" s="1058">
        <f t="shared" si="58"/>
        <v>0</v>
      </c>
      <c r="U109" s="983"/>
    </row>
    <row r="110" spans="1:21" ht="25.5">
      <c r="A110" s="441" t="s">
        <v>809</v>
      </c>
      <c r="B110" s="442" t="s">
        <v>810</v>
      </c>
      <c r="C110" s="405">
        <v>99</v>
      </c>
      <c r="D110" s="453"/>
      <c r="E110" s="454"/>
      <c r="F110" s="459"/>
      <c r="G110" s="454"/>
      <c r="H110" s="454"/>
      <c r="I110" s="381">
        <f t="shared" si="57"/>
        <v>0</v>
      </c>
      <c r="J110" s="975"/>
      <c r="K110" s="459"/>
      <c r="L110" s="454"/>
      <c r="M110" s="459"/>
      <c r="N110" s="462"/>
      <c r="O110" s="1523"/>
      <c r="P110" s="1524"/>
      <c r="Q110" s="375">
        <f t="shared" si="41"/>
        <v>0</v>
      </c>
      <c r="R110" s="390">
        <f t="shared" si="42"/>
        <v>0</v>
      </c>
      <c r="S110" s="454"/>
      <c r="T110" s="1058">
        <f t="shared" si="58"/>
        <v>0</v>
      </c>
      <c r="U110" s="983"/>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979">
        <f t="shared" si="59"/>
        <v>0</v>
      </c>
      <c r="K111" s="384">
        <f t="shared" si="59"/>
        <v>0</v>
      </c>
      <c r="L111" s="393">
        <f t="shared" si="59"/>
        <v>0</v>
      </c>
      <c r="M111" s="384">
        <f t="shared" si="59"/>
        <v>0</v>
      </c>
      <c r="N111" s="401">
        <f t="shared" si="59"/>
        <v>0</v>
      </c>
      <c r="O111" s="1523"/>
      <c r="P111" s="1524"/>
      <c r="Q111" s="378">
        <f t="shared" si="41"/>
        <v>0</v>
      </c>
      <c r="R111" s="393">
        <f t="shared" si="42"/>
        <v>0</v>
      </c>
      <c r="S111" s="393">
        <f>+S112</f>
        <v>0</v>
      </c>
      <c r="T111" s="993">
        <f t="shared" ref="T111" si="60">+T112</f>
        <v>0</v>
      </c>
      <c r="U111" s="982">
        <f>+U112</f>
        <v>0</v>
      </c>
    </row>
    <row r="112" spans="1:21" ht="39" thickBot="1">
      <c r="A112" s="449" t="s">
        <v>812</v>
      </c>
      <c r="B112" s="450" t="s">
        <v>813</v>
      </c>
      <c r="C112" s="412">
        <v>101</v>
      </c>
      <c r="D112" s="466"/>
      <c r="E112" s="465"/>
      <c r="F112" s="467"/>
      <c r="G112" s="465"/>
      <c r="H112" s="465"/>
      <c r="I112" s="381">
        <f>+F112*J112</f>
        <v>0</v>
      </c>
      <c r="J112" s="980"/>
      <c r="K112" s="467"/>
      <c r="L112" s="465"/>
      <c r="M112" s="467"/>
      <c r="N112" s="468"/>
      <c r="O112" s="1525"/>
      <c r="P112" s="1526"/>
      <c r="Q112" s="380">
        <f t="shared" si="41"/>
        <v>0</v>
      </c>
      <c r="R112" s="396">
        <f t="shared" si="42"/>
        <v>0</v>
      </c>
      <c r="S112" s="465"/>
      <c r="T112" s="1060">
        <f>+Q112*U112</f>
        <v>0</v>
      </c>
      <c r="U112" s="987"/>
    </row>
    <row r="114" spans="1:21" ht="15" customHeight="1">
      <c r="A114" s="1435" t="s">
        <v>647</v>
      </c>
      <c r="B114" s="1435"/>
      <c r="C114" s="1435"/>
      <c r="D114" s="1435"/>
      <c r="E114" s="1435"/>
      <c r="F114" s="1435"/>
      <c r="G114" s="1435"/>
      <c r="H114" s="1435"/>
      <c r="I114" s="1435"/>
      <c r="J114" s="1435"/>
      <c r="K114" s="1435"/>
      <c r="L114" s="1435"/>
      <c r="M114" s="1435"/>
      <c r="N114" s="1435"/>
      <c r="O114" s="1435"/>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1038"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966" t="s">
        <v>654</v>
      </c>
      <c r="B121" s="966"/>
      <c r="C121" s="966"/>
      <c r="D121" s="966"/>
      <c r="E121" s="966"/>
      <c r="F121" s="966"/>
      <c r="G121" s="966"/>
      <c r="H121" s="966"/>
      <c r="I121" s="966"/>
      <c r="J121" s="966"/>
      <c r="K121" s="966"/>
      <c r="L121" s="966"/>
      <c r="M121" s="966"/>
      <c r="N121" s="966"/>
      <c r="O121" s="966"/>
      <c r="P121"/>
      <c r="Q121"/>
      <c r="R121"/>
      <c r="S121"/>
      <c r="T121"/>
      <c r="U121"/>
    </row>
    <row r="122" spans="1:21">
      <c r="A122" s="966" t="s">
        <v>817</v>
      </c>
      <c r="B122"/>
      <c r="D122"/>
      <c r="E122"/>
      <c r="F122"/>
      <c r="G122"/>
      <c r="H122"/>
      <c r="I122"/>
      <c r="J122"/>
      <c r="K122"/>
      <c r="L122"/>
      <c r="M122"/>
      <c r="N122"/>
      <c r="O122"/>
      <c r="P122"/>
      <c r="Q122"/>
      <c r="R122"/>
      <c r="S122"/>
      <c r="T122"/>
      <c r="U122"/>
    </row>
    <row r="123" spans="1:21">
      <c r="A123" s="966"/>
      <c r="B123"/>
      <c r="D123"/>
      <c r="E123"/>
      <c r="F123"/>
      <c r="G123"/>
      <c r="H123"/>
      <c r="I123"/>
      <c r="J123"/>
      <c r="K123"/>
      <c r="L123"/>
      <c r="M123"/>
      <c r="N123"/>
      <c r="O123"/>
      <c r="P123"/>
      <c r="Q123"/>
      <c r="R123"/>
      <c r="S123"/>
      <c r="T123"/>
      <c r="U123"/>
    </row>
    <row r="124" spans="1:21">
      <c r="A124" s="1510" t="s">
        <v>111</v>
      </c>
      <c r="B124" s="1510"/>
      <c r="C124" s="1510"/>
      <c r="D124" s="1510"/>
      <c r="E124" s="1510"/>
      <c r="F124" s="1510"/>
      <c r="G124" s="1510"/>
      <c r="H124" s="1510"/>
      <c r="I124" s="1510"/>
      <c r="J124" s="1510"/>
      <c r="K124" s="1510"/>
      <c r="L124" s="1510"/>
      <c r="M124" s="1510"/>
      <c r="N124" s="1510"/>
      <c r="O124" s="1510"/>
      <c r="P124"/>
      <c r="Q124"/>
      <c r="R124"/>
      <c r="S124"/>
      <c r="T124"/>
      <c r="U124"/>
    </row>
    <row r="125" spans="1:21">
      <c r="A125" s="1511" t="s">
        <v>112</v>
      </c>
      <c r="B125" s="1511"/>
      <c r="C125" s="1511"/>
      <c r="D125" s="1511"/>
      <c r="E125" s="1511"/>
      <c r="F125" s="1511"/>
      <c r="G125" s="1511"/>
      <c r="H125" s="1511"/>
      <c r="I125" s="1511"/>
      <c r="J125" s="1511"/>
      <c r="K125" s="1511"/>
      <c r="L125" s="1511"/>
      <c r="M125" s="1511"/>
      <c r="N125" s="1511"/>
      <c r="O125" s="1511"/>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B1:D1"/>
    <mergeCell ref="B2:D2"/>
    <mergeCell ref="O19:P112"/>
    <mergeCell ref="M9:N9"/>
    <mergeCell ref="O9:P9"/>
    <mergeCell ref="O13:P13"/>
    <mergeCell ref="K9:L9"/>
    <mergeCell ref="B9:B10"/>
    <mergeCell ref="C9:C10"/>
    <mergeCell ref="D9:E9"/>
    <mergeCell ref="F9:J9"/>
    <mergeCell ref="H18:J18"/>
    <mergeCell ref="A124:O124"/>
    <mergeCell ref="A125:O125"/>
    <mergeCell ref="A114:O114"/>
    <mergeCell ref="A8:B8"/>
    <mergeCell ref="A4:U4"/>
    <mergeCell ref="A5:U5"/>
    <mergeCell ref="A6:U6"/>
    <mergeCell ref="Q9:U9"/>
    <mergeCell ref="S18:U18"/>
    <mergeCell ref="A9:A12"/>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62" activePane="bottomRight" state="frozen"/>
      <selection pane="topRight" activeCell="C1" sqref="C1"/>
      <selection pane="bottomLeft" activeCell="A8" sqref="A8"/>
      <selection pane="bottomRight" activeCell="J84" sqref="J84"/>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5" ht="25.5" customHeight="1">
      <c r="A1" s="1008"/>
      <c r="B1" s="1009"/>
      <c r="C1" s="1008"/>
      <c r="D1" s="1016"/>
      <c r="E1" s="1016"/>
      <c r="F1" s="1016"/>
      <c r="G1" s="1016"/>
      <c r="H1" s="1016"/>
      <c r="I1" s="1017"/>
      <c r="J1" s="1562" t="s">
        <v>818</v>
      </c>
      <c r="K1" s="1563"/>
      <c r="L1" s="1563"/>
      <c r="M1" s="1563"/>
      <c r="N1" s="1563"/>
      <c r="O1" s="1564"/>
    </row>
    <row r="2" spans="1:15" ht="25.5" customHeight="1">
      <c r="B2" s="1007"/>
      <c r="C2" s="1015"/>
      <c r="I2" s="469"/>
      <c r="J2" s="1018"/>
      <c r="K2" s="58"/>
      <c r="L2" s="58"/>
      <c r="M2" s="58"/>
      <c r="N2" s="58"/>
      <c r="O2" s="58"/>
    </row>
    <row r="3" spans="1:15">
      <c r="A3" s="1565" t="s">
        <v>819</v>
      </c>
      <c r="B3" s="1565"/>
      <c r="C3" s="1565"/>
      <c r="D3" s="1565"/>
      <c r="E3" s="1565"/>
      <c r="F3" s="1565"/>
      <c r="G3" s="1565"/>
      <c r="H3" s="1565"/>
      <c r="I3" s="1565"/>
      <c r="J3" s="1565"/>
      <c r="K3" s="1565"/>
      <c r="L3" s="1565"/>
      <c r="M3" s="1565"/>
      <c r="N3" s="1565"/>
      <c r="O3" s="1566"/>
    </row>
    <row r="4" spans="1:15">
      <c r="A4" s="1567" t="str">
        <f>+STATISTICS!A5</f>
        <v>ХАДГАЛАМЖ, ЗЭЭЛИЙН ХОРШООНЫ НЭР</v>
      </c>
      <c r="B4" s="1567"/>
      <c r="C4" s="1567"/>
      <c r="D4" s="1567"/>
      <c r="E4" s="1567"/>
      <c r="F4" s="1567"/>
      <c r="G4" s="1567"/>
      <c r="H4" s="1567"/>
      <c r="I4" s="1567"/>
      <c r="J4" s="1567"/>
      <c r="K4" s="1567"/>
      <c r="L4" s="1567"/>
      <c r="M4" s="1567"/>
      <c r="N4" s="1567"/>
      <c r="O4" s="1568"/>
    </row>
    <row r="5" spans="1:15">
      <c r="A5" s="1565" t="s">
        <v>38</v>
      </c>
      <c r="B5" s="1565"/>
      <c r="C5" s="1565"/>
      <c r="D5" s="1565"/>
      <c r="E5" s="1565"/>
      <c r="F5" s="1565"/>
      <c r="G5" s="1565"/>
      <c r="H5" s="1565"/>
      <c r="I5" s="1565"/>
      <c r="J5" s="1565"/>
      <c r="K5" s="1565"/>
      <c r="L5" s="1565"/>
      <c r="M5" s="1565"/>
      <c r="N5" s="1565"/>
      <c r="O5" s="1566"/>
    </row>
    <row r="6" spans="1:15">
      <c r="A6" s="1010"/>
      <c r="B6" s="1011"/>
      <c r="C6" s="1010"/>
      <c r="D6" s="1012"/>
      <c r="E6" s="1012"/>
      <c r="F6" s="1012"/>
      <c r="G6" s="1012"/>
      <c r="H6" s="1012"/>
      <c r="I6" s="1012"/>
      <c r="J6" s="1012"/>
      <c r="K6" s="1012"/>
      <c r="L6" s="1012"/>
      <c r="M6" s="1012"/>
      <c r="N6" s="1012"/>
      <c r="O6" s="1012"/>
    </row>
    <row r="7" spans="1:15" ht="15.75" thickBot="1">
      <c r="A7" s="1569"/>
      <c r="B7" s="1569"/>
      <c r="C7" s="1013"/>
      <c r="D7" s="1014"/>
      <c r="E7" s="1014"/>
      <c r="F7" s="1"/>
      <c r="G7" s="1014"/>
      <c r="H7" s="1014"/>
      <c r="I7" s="1014"/>
      <c r="J7" s="1014"/>
      <c r="K7" s="1014"/>
      <c r="L7" s="1014"/>
      <c r="M7" s="1014"/>
      <c r="N7" s="1014"/>
      <c r="O7" s="1019" t="s">
        <v>117</v>
      </c>
    </row>
    <row r="8" spans="1:15" ht="38.25">
      <c r="A8" s="884" t="s">
        <v>39</v>
      </c>
      <c r="B8" s="885" t="s">
        <v>820</v>
      </c>
      <c r="C8" s="886" t="s">
        <v>821</v>
      </c>
      <c r="D8" s="887" t="s">
        <v>570</v>
      </c>
      <c r="E8" s="888" t="s">
        <v>822</v>
      </c>
      <c r="F8" s="887" t="s">
        <v>570</v>
      </c>
      <c r="G8" s="885" t="s">
        <v>823</v>
      </c>
      <c r="H8" s="885" t="s">
        <v>824</v>
      </c>
      <c r="I8" s="885" t="s">
        <v>825</v>
      </c>
      <c r="J8" s="886" t="s">
        <v>826</v>
      </c>
      <c r="K8" s="887" t="s">
        <v>570</v>
      </c>
      <c r="L8" s="889" t="s">
        <v>827</v>
      </c>
      <c r="M8" s="1006" t="s">
        <v>570</v>
      </c>
      <c r="N8" s="885" t="s">
        <v>828</v>
      </c>
      <c r="O8" s="890" t="s">
        <v>829</v>
      </c>
    </row>
    <row r="9" spans="1:15">
      <c r="A9" s="1546" t="s">
        <v>830</v>
      </c>
      <c r="B9" s="1547"/>
      <c r="C9" s="1547"/>
      <c r="D9" s="1547"/>
      <c r="E9" s="1547"/>
      <c r="F9" s="1547"/>
      <c r="G9" s="1547"/>
      <c r="H9" s="1547"/>
      <c r="I9" s="1547"/>
      <c r="J9" s="1547"/>
      <c r="K9" s="1547"/>
      <c r="L9" s="1547"/>
      <c r="M9" s="1547"/>
      <c r="N9" s="1547"/>
      <c r="O9" s="1548"/>
    </row>
    <row r="10" spans="1:15">
      <c r="A10" s="822">
        <v>1</v>
      </c>
      <c r="B10" s="1085"/>
      <c r="C10" s="799"/>
      <c r="D10" s="801"/>
      <c r="E10" s="799"/>
      <c r="F10" s="801"/>
      <c r="G10" s="809"/>
      <c r="H10" s="812">
        <f>+E10*G10</f>
        <v>0</v>
      </c>
      <c r="I10" s="1570" t="e">
        <f>H20/E20</f>
        <v>#DIV/0!</v>
      </c>
      <c r="J10" s="799"/>
      <c r="K10" s="801"/>
      <c r="L10" s="806">
        <f>+C10+E10-J10</f>
        <v>0</v>
      </c>
      <c r="M10" s="819">
        <f>+D10+F10-K10</f>
        <v>0</v>
      </c>
      <c r="N10" s="816"/>
      <c r="O10" s="794"/>
    </row>
    <row r="11" spans="1:15">
      <c r="A11" s="823">
        <v>2</v>
      </c>
      <c r="B11" s="1086"/>
      <c r="C11" s="800"/>
      <c r="D11" s="802"/>
      <c r="E11" s="800"/>
      <c r="F11" s="804"/>
      <c r="G11" s="810"/>
      <c r="H11" s="813">
        <f t="shared" ref="H11:H19" si="0">+E11*G11</f>
        <v>0</v>
      </c>
      <c r="I11" s="1571"/>
      <c r="J11" s="800"/>
      <c r="K11" s="802"/>
      <c r="L11" s="807">
        <f t="shared" ref="L11:M19" si="1">+C11+E11-J11</f>
        <v>0</v>
      </c>
      <c r="M11" s="820">
        <f t="shared" si="1"/>
        <v>0</v>
      </c>
      <c r="N11" s="817"/>
      <c r="O11" s="792"/>
    </row>
    <row r="12" spans="1:15">
      <c r="A12" s="823">
        <v>3</v>
      </c>
      <c r="B12" s="1086"/>
      <c r="C12" s="800"/>
      <c r="D12" s="802"/>
      <c r="E12" s="800"/>
      <c r="F12" s="804"/>
      <c r="G12" s="810"/>
      <c r="H12" s="813">
        <f t="shared" si="0"/>
        <v>0</v>
      </c>
      <c r="I12" s="1571"/>
      <c r="J12" s="800"/>
      <c r="K12" s="802"/>
      <c r="L12" s="807">
        <f t="shared" si="1"/>
        <v>0</v>
      </c>
      <c r="M12" s="820">
        <f t="shared" si="1"/>
        <v>0</v>
      </c>
      <c r="N12" s="817"/>
      <c r="O12" s="792"/>
    </row>
    <row r="13" spans="1:15">
      <c r="A13" s="823">
        <v>4</v>
      </c>
      <c r="B13" s="1086"/>
      <c r="C13" s="800"/>
      <c r="D13" s="802"/>
      <c r="E13" s="800"/>
      <c r="F13" s="804"/>
      <c r="G13" s="810"/>
      <c r="H13" s="813">
        <f t="shared" si="0"/>
        <v>0</v>
      </c>
      <c r="I13" s="1571"/>
      <c r="J13" s="800"/>
      <c r="K13" s="802"/>
      <c r="L13" s="807">
        <f t="shared" si="1"/>
        <v>0</v>
      </c>
      <c r="M13" s="820">
        <f t="shared" si="1"/>
        <v>0</v>
      </c>
      <c r="N13" s="817"/>
      <c r="O13" s="792"/>
    </row>
    <row r="14" spans="1:15">
      <c r="A14" s="823">
        <v>5</v>
      </c>
      <c r="B14" s="1086"/>
      <c r="C14" s="800"/>
      <c r="D14" s="802"/>
      <c r="E14" s="800"/>
      <c r="F14" s="804"/>
      <c r="G14" s="810"/>
      <c r="H14" s="813">
        <f t="shared" si="0"/>
        <v>0</v>
      </c>
      <c r="I14" s="1571"/>
      <c r="J14" s="800"/>
      <c r="K14" s="802"/>
      <c r="L14" s="807">
        <f t="shared" si="1"/>
        <v>0</v>
      </c>
      <c r="M14" s="820">
        <f t="shared" si="1"/>
        <v>0</v>
      </c>
      <c r="N14" s="817"/>
      <c r="O14" s="792"/>
    </row>
    <row r="15" spans="1:15">
      <c r="A15" s="823">
        <v>6</v>
      </c>
      <c r="B15" s="1086"/>
      <c r="C15" s="800"/>
      <c r="D15" s="802"/>
      <c r="E15" s="800"/>
      <c r="F15" s="804"/>
      <c r="G15" s="810"/>
      <c r="H15" s="813">
        <f t="shared" si="0"/>
        <v>0</v>
      </c>
      <c r="I15" s="1571"/>
      <c r="J15" s="800"/>
      <c r="K15" s="802"/>
      <c r="L15" s="807">
        <f t="shared" si="1"/>
        <v>0</v>
      </c>
      <c r="M15" s="820">
        <f t="shared" si="1"/>
        <v>0</v>
      </c>
      <c r="N15" s="817"/>
      <c r="O15" s="792"/>
    </row>
    <row r="16" spans="1:15">
      <c r="A16" s="823">
        <v>7</v>
      </c>
      <c r="B16" s="1086"/>
      <c r="C16" s="800"/>
      <c r="D16" s="802"/>
      <c r="E16" s="800"/>
      <c r="F16" s="804"/>
      <c r="G16" s="810"/>
      <c r="H16" s="813">
        <f t="shared" si="0"/>
        <v>0</v>
      </c>
      <c r="I16" s="1571"/>
      <c r="J16" s="800"/>
      <c r="K16" s="802"/>
      <c r="L16" s="807">
        <f t="shared" si="1"/>
        <v>0</v>
      </c>
      <c r="M16" s="820">
        <f t="shared" si="1"/>
        <v>0</v>
      </c>
      <c r="N16" s="817"/>
      <c r="O16" s="792"/>
    </row>
    <row r="17" spans="1:15">
      <c r="A17" s="823">
        <v>8</v>
      </c>
      <c r="B17" s="1086"/>
      <c r="C17" s="800"/>
      <c r="D17" s="802"/>
      <c r="E17" s="800"/>
      <c r="F17" s="804"/>
      <c r="G17" s="810"/>
      <c r="H17" s="813">
        <f t="shared" si="0"/>
        <v>0</v>
      </c>
      <c r="I17" s="1571"/>
      <c r="J17" s="800"/>
      <c r="K17" s="802"/>
      <c r="L17" s="807">
        <f t="shared" si="1"/>
        <v>0</v>
      </c>
      <c r="M17" s="820">
        <f t="shared" si="1"/>
        <v>0</v>
      </c>
      <c r="N17" s="817"/>
      <c r="O17" s="792"/>
    </row>
    <row r="18" spans="1:15">
      <c r="A18" s="823">
        <v>9</v>
      </c>
      <c r="B18" s="1086"/>
      <c r="C18" s="800"/>
      <c r="D18" s="802"/>
      <c r="E18" s="800"/>
      <c r="F18" s="804"/>
      <c r="G18" s="810"/>
      <c r="H18" s="813">
        <f t="shared" si="0"/>
        <v>0</v>
      </c>
      <c r="I18" s="1571"/>
      <c r="J18" s="800"/>
      <c r="K18" s="802"/>
      <c r="L18" s="807">
        <f t="shared" si="1"/>
        <v>0</v>
      </c>
      <c r="M18" s="820">
        <f t="shared" si="1"/>
        <v>0</v>
      </c>
      <c r="N18" s="817"/>
      <c r="O18" s="792"/>
    </row>
    <row r="19" spans="1:15">
      <c r="A19" s="824">
        <v>10</v>
      </c>
      <c r="B19" s="1087"/>
      <c r="C19" s="798"/>
      <c r="D19" s="803"/>
      <c r="E19" s="798"/>
      <c r="F19" s="805"/>
      <c r="G19" s="811"/>
      <c r="H19" s="814">
        <f t="shared" si="0"/>
        <v>0</v>
      </c>
      <c r="I19" s="1572"/>
      <c r="J19" s="798"/>
      <c r="K19" s="815"/>
      <c r="L19" s="808">
        <f t="shared" si="1"/>
        <v>0</v>
      </c>
      <c r="M19" s="821">
        <f t="shared" si="1"/>
        <v>0</v>
      </c>
      <c r="N19" s="818"/>
      <c r="O19" s="795"/>
    </row>
    <row r="20" spans="1:15">
      <c r="A20" s="1544" t="s">
        <v>831</v>
      </c>
      <c r="B20" s="1545"/>
      <c r="C20" s="849">
        <f>+SUM(C10:C19)</f>
        <v>0</v>
      </c>
      <c r="D20" s="850">
        <f>+SUM(D10:D19)</f>
        <v>0</v>
      </c>
      <c r="E20" s="851">
        <f>+SUM(E10:E19)</f>
        <v>0</v>
      </c>
      <c r="F20" s="852">
        <f>+SUM(F10:F19)</f>
        <v>0</v>
      </c>
      <c r="G20" s="853"/>
      <c r="H20" s="854">
        <f>SUM(H10:H19)</f>
        <v>0</v>
      </c>
      <c r="I20" s="997" t="e">
        <f>+(E10*G10+E11*G11+E12*G12+E13*G13+E14*G14+E15*G15+E16*G16+E17*G17+E18*G18+E19*G19)/E20</f>
        <v>#DIV/0!</v>
      </c>
      <c r="J20" s="851">
        <f>+SUM(J10:J19)</f>
        <v>0</v>
      </c>
      <c r="K20" s="852">
        <f>+SUM(K10:K19)</f>
        <v>0</v>
      </c>
      <c r="L20" s="849">
        <f>+SUM(L10:L19)</f>
        <v>0</v>
      </c>
      <c r="M20" s="850">
        <f>+SUM(M10:M19)</f>
        <v>0</v>
      </c>
      <c r="N20" s="855">
        <f>+MAX(N10:N19)</f>
        <v>0</v>
      </c>
      <c r="O20" s="891">
        <f t="array" ref="O20">+MIN(IF(O10:O19&gt;0,O10:O19))</f>
        <v>0</v>
      </c>
    </row>
    <row r="21" spans="1:15">
      <c r="A21" s="1546" t="s">
        <v>832</v>
      </c>
      <c r="B21" s="1547"/>
      <c r="C21" s="1547"/>
      <c r="D21" s="1547"/>
      <c r="E21" s="1547"/>
      <c r="F21" s="1547"/>
      <c r="G21" s="1547"/>
      <c r="H21" s="1547"/>
      <c r="I21" s="1547"/>
      <c r="J21" s="1547"/>
      <c r="K21" s="1547"/>
      <c r="L21" s="1547"/>
      <c r="M21" s="1547"/>
      <c r="N21" s="1547"/>
      <c r="O21" s="1548"/>
    </row>
    <row r="22" spans="1:15">
      <c r="A22" s="822">
        <v>1</v>
      </c>
      <c r="B22" s="1088"/>
      <c r="C22" s="799"/>
      <c r="D22" s="801"/>
      <c r="E22" s="799"/>
      <c r="F22" s="801"/>
      <c r="G22" s="828"/>
      <c r="H22" s="825">
        <f>+E22*G22</f>
        <v>0</v>
      </c>
      <c r="I22" s="1541" t="e">
        <f>H32/E32</f>
        <v>#DIV/0!</v>
      </c>
      <c r="J22" s="799"/>
      <c r="K22" s="801"/>
      <c r="L22" s="806">
        <f t="shared" ref="L22:M31" si="2">+C22+E22-J22</f>
        <v>0</v>
      </c>
      <c r="M22" s="819">
        <f t="shared" si="2"/>
        <v>0</v>
      </c>
      <c r="N22" s="816"/>
      <c r="O22" s="794"/>
    </row>
    <row r="23" spans="1:15">
      <c r="A23" s="823">
        <v>2</v>
      </c>
      <c r="B23" s="1089"/>
      <c r="C23" s="800"/>
      <c r="D23" s="802"/>
      <c r="E23" s="800"/>
      <c r="F23" s="804"/>
      <c r="G23" s="829"/>
      <c r="H23" s="826">
        <f t="shared" ref="H23:H31" si="3">+E23*G23</f>
        <v>0</v>
      </c>
      <c r="I23" s="1542"/>
      <c r="J23" s="800"/>
      <c r="K23" s="802"/>
      <c r="L23" s="807">
        <f t="shared" si="2"/>
        <v>0</v>
      </c>
      <c r="M23" s="820">
        <f t="shared" si="2"/>
        <v>0</v>
      </c>
      <c r="N23" s="817"/>
      <c r="O23" s="792"/>
    </row>
    <row r="24" spans="1:15">
      <c r="A24" s="823">
        <v>3</v>
      </c>
      <c r="B24" s="1089"/>
      <c r="C24" s="800"/>
      <c r="D24" s="802"/>
      <c r="E24" s="800"/>
      <c r="F24" s="804"/>
      <c r="G24" s="829"/>
      <c r="H24" s="826">
        <f t="shared" si="3"/>
        <v>0</v>
      </c>
      <c r="I24" s="1542"/>
      <c r="J24" s="800"/>
      <c r="K24" s="802"/>
      <c r="L24" s="807">
        <f t="shared" si="2"/>
        <v>0</v>
      </c>
      <c r="M24" s="820">
        <f t="shared" si="2"/>
        <v>0</v>
      </c>
      <c r="N24" s="817"/>
      <c r="O24" s="792"/>
    </row>
    <row r="25" spans="1:15">
      <c r="A25" s="823">
        <v>4</v>
      </c>
      <c r="B25" s="1089"/>
      <c r="C25" s="800"/>
      <c r="D25" s="802"/>
      <c r="E25" s="800"/>
      <c r="F25" s="804"/>
      <c r="G25" s="829"/>
      <c r="H25" s="826">
        <f t="shared" si="3"/>
        <v>0</v>
      </c>
      <c r="I25" s="1542"/>
      <c r="J25" s="800"/>
      <c r="K25" s="802"/>
      <c r="L25" s="807">
        <f t="shared" si="2"/>
        <v>0</v>
      </c>
      <c r="M25" s="820">
        <f t="shared" si="2"/>
        <v>0</v>
      </c>
      <c r="N25" s="817"/>
      <c r="O25" s="792"/>
    </row>
    <row r="26" spans="1:15">
      <c r="A26" s="823">
        <v>5</v>
      </c>
      <c r="B26" s="1089"/>
      <c r="C26" s="800"/>
      <c r="D26" s="802"/>
      <c r="E26" s="800"/>
      <c r="F26" s="804"/>
      <c r="G26" s="829"/>
      <c r="H26" s="826">
        <f t="shared" si="3"/>
        <v>0</v>
      </c>
      <c r="I26" s="1542"/>
      <c r="J26" s="800"/>
      <c r="K26" s="802"/>
      <c r="L26" s="807">
        <f t="shared" si="2"/>
        <v>0</v>
      </c>
      <c r="M26" s="820">
        <f t="shared" si="2"/>
        <v>0</v>
      </c>
      <c r="N26" s="817"/>
      <c r="O26" s="792"/>
    </row>
    <row r="27" spans="1:15">
      <c r="A27" s="823">
        <v>6</v>
      </c>
      <c r="B27" s="1089"/>
      <c r="C27" s="800"/>
      <c r="D27" s="802"/>
      <c r="E27" s="800"/>
      <c r="F27" s="804"/>
      <c r="G27" s="829"/>
      <c r="H27" s="826">
        <f t="shared" si="3"/>
        <v>0</v>
      </c>
      <c r="I27" s="1542"/>
      <c r="J27" s="800"/>
      <c r="K27" s="802"/>
      <c r="L27" s="807">
        <f t="shared" si="2"/>
        <v>0</v>
      </c>
      <c r="M27" s="820">
        <f t="shared" si="2"/>
        <v>0</v>
      </c>
      <c r="N27" s="817"/>
      <c r="O27" s="792"/>
    </row>
    <row r="28" spans="1:15">
      <c r="A28" s="823">
        <v>7</v>
      </c>
      <c r="B28" s="1089"/>
      <c r="C28" s="800"/>
      <c r="D28" s="802"/>
      <c r="E28" s="800"/>
      <c r="F28" s="804"/>
      <c r="G28" s="829"/>
      <c r="H28" s="826">
        <f t="shared" si="3"/>
        <v>0</v>
      </c>
      <c r="I28" s="1542"/>
      <c r="J28" s="800"/>
      <c r="K28" s="802"/>
      <c r="L28" s="807">
        <f t="shared" si="2"/>
        <v>0</v>
      </c>
      <c r="M28" s="820">
        <f t="shared" si="2"/>
        <v>0</v>
      </c>
      <c r="N28" s="817"/>
      <c r="O28" s="792"/>
    </row>
    <row r="29" spans="1:15">
      <c r="A29" s="823">
        <v>8</v>
      </c>
      <c r="B29" s="1089"/>
      <c r="C29" s="800"/>
      <c r="D29" s="802"/>
      <c r="E29" s="800"/>
      <c r="F29" s="804"/>
      <c r="G29" s="829"/>
      <c r="H29" s="826">
        <f t="shared" si="3"/>
        <v>0</v>
      </c>
      <c r="I29" s="1542"/>
      <c r="J29" s="800"/>
      <c r="K29" s="802"/>
      <c r="L29" s="807">
        <f t="shared" si="2"/>
        <v>0</v>
      </c>
      <c r="M29" s="820">
        <f t="shared" si="2"/>
        <v>0</v>
      </c>
      <c r="N29" s="817"/>
      <c r="O29" s="792"/>
    </row>
    <row r="30" spans="1:15">
      <c r="A30" s="823">
        <v>9</v>
      </c>
      <c r="B30" s="1089"/>
      <c r="C30" s="800"/>
      <c r="D30" s="802"/>
      <c r="E30" s="800"/>
      <c r="F30" s="804"/>
      <c r="G30" s="829"/>
      <c r="H30" s="826">
        <f t="shared" si="3"/>
        <v>0</v>
      </c>
      <c r="I30" s="1542"/>
      <c r="J30" s="800"/>
      <c r="K30" s="802"/>
      <c r="L30" s="807">
        <f t="shared" si="2"/>
        <v>0</v>
      </c>
      <c r="M30" s="820">
        <f t="shared" si="2"/>
        <v>0</v>
      </c>
      <c r="N30" s="817"/>
      <c r="O30" s="792"/>
    </row>
    <row r="31" spans="1:15">
      <c r="A31" s="824">
        <v>10</v>
      </c>
      <c r="B31" s="1090"/>
      <c r="C31" s="798"/>
      <c r="D31" s="803"/>
      <c r="E31" s="798"/>
      <c r="F31" s="805"/>
      <c r="G31" s="830"/>
      <c r="H31" s="827">
        <f t="shared" si="3"/>
        <v>0</v>
      </c>
      <c r="I31" s="1543"/>
      <c r="J31" s="798"/>
      <c r="K31" s="803"/>
      <c r="L31" s="808">
        <f t="shared" si="2"/>
        <v>0</v>
      </c>
      <c r="M31" s="821">
        <f t="shared" si="2"/>
        <v>0</v>
      </c>
      <c r="N31" s="818"/>
      <c r="O31" s="795"/>
    </row>
    <row r="32" spans="1:15">
      <c r="A32" s="1544" t="s">
        <v>831</v>
      </c>
      <c r="B32" s="1545"/>
      <c r="C32" s="849">
        <f>+SUM(C22:C31)</f>
        <v>0</v>
      </c>
      <c r="D32" s="850">
        <f>+SUM(D22:D31)</f>
        <v>0</v>
      </c>
      <c r="E32" s="851">
        <f>+SUM(E22:E31)</f>
        <v>0</v>
      </c>
      <c r="F32" s="852">
        <f>+SUM(F22:F31)</f>
        <v>0</v>
      </c>
      <c r="G32" s="856"/>
      <c r="H32" s="854">
        <f>SUM(H22:H31)</f>
        <v>0</v>
      </c>
      <c r="I32" s="858" t="e">
        <f>+(E22*G22+E23*G23+E24*G24+E25*G25+E26*G26+E27*G27+E28*G28+E29*G29+E30*G30+E31*G31)/E32</f>
        <v>#DIV/0!</v>
      </c>
      <c r="J32" s="851">
        <f>+SUM(J22:J31)</f>
        <v>0</v>
      </c>
      <c r="K32" s="852">
        <f>+SUM(K22:K31)</f>
        <v>0</v>
      </c>
      <c r="L32" s="857">
        <f>+SUM(L22:L31)</f>
        <v>0</v>
      </c>
      <c r="M32" s="850">
        <f>+SUM(M22:M31)</f>
        <v>0</v>
      </c>
      <c r="N32" s="858">
        <f>+MAX(N22:N31)</f>
        <v>0</v>
      </c>
      <c r="O32" s="891">
        <f t="array" ref="O32">+MIN(IF(O22:O31&gt;0,O22:O31))</f>
        <v>0</v>
      </c>
    </row>
    <row r="33" spans="1:16">
      <c r="A33" s="1549" t="s">
        <v>670</v>
      </c>
      <c r="B33" s="1550"/>
      <c r="C33" s="842">
        <f>+C20+C32</f>
        <v>0</v>
      </c>
      <c r="D33" s="839">
        <f>+D20+D32</f>
        <v>0</v>
      </c>
      <c r="E33" s="843">
        <f>+E20+E32</f>
        <v>0</v>
      </c>
      <c r="F33" s="840">
        <f>+F20+F32</f>
        <v>0</v>
      </c>
      <c r="G33" s="789"/>
      <c r="H33" s="788">
        <f>+H20+H32</f>
        <v>0</v>
      </c>
      <c r="I33" s="790" t="e">
        <f>+(E10*G10+E11*G11+E12*G12+E13*G13+E14*G14+E15*G15+E16*G16+E17*G17+E18*G18+E19*G19+E22*G22+E23*G23+E24*G24+E25*G25+E26*G26+E27*G27+E28*G28+E29*G29+E30*G30+E31*G31)/E33</f>
        <v>#DIV/0!</v>
      </c>
      <c r="J33" s="842">
        <f>+J20+J32</f>
        <v>0</v>
      </c>
      <c r="K33" s="839">
        <f>+K20+K32</f>
        <v>0</v>
      </c>
      <c r="L33" s="842">
        <f>+L20+L32</f>
        <v>0</v>
      </c>
      <c r="M33" s="839">
        <f>+M20+M32</f>
        <v>0</v>
      </c>
      <c r="N33" s="790">
        <f>+MAX(N10:N19,N22:N31)</f>
        <v>0</v>
      </c>
      <c r="O33" s="791">
        <f>IF(O32=0,O20,MIN(O20,O32))</f>
        <v>0</v>
      </c>
      <c r="P33" s="970" t="str">
        <f>IF(L33=Balancesheet!G13,"","Балансын дүнтэй зөрүүтэй байна.")</f>
        <v/>
      </c>
    </row>
    <row r="34" spans="1:16" ht="38.25">
      <c r="A34" s="892" t="s">
        <v>39</v>
      </c>
      <c r="B34" s="844" t="s">
        <v>833</v>
      </c>
      <c r="C34" s="847" t="s">
        <v>834</v>
      </c>
      <c r="D34" s="848" t="s">
        <v>835</v>
      </c>
      <c r="E34" s="846" t="s">
        <v>836</v>
      </c>
      <c r="F34" s="845" t="s">
        <v>835</v>
      </c>
      <c r="G34" s="844" t="s">
        <v>823</v>
      </c>
      <c r="H34" s="844" t="s">
        <v>824</v>
      </c>
      <c r="I34" s="844" t="s">
        <v>825</v>
      </c>
      <c r="J34" s="847" t="s">
        <v>826</v>
      </c>
      <c r="K34" s="848" t="s">
        <v>835</v>
      </c>
      <c r="L34" s="847" t="s">
        <v>837</v>
      </c>
      <c r="M34" s="848" t="s">
        <v>835</v>
      </c>
      <c r="N34" s="844" t="s">
        <v>828</v>
      </c>
      <c r="O34" s="893" t="s">
        <v>829</v>
      </c>
    </row>
    <row r="35" spans="1:16">
      <c r="A35" s="1546" t="s">
        <v>838</v>
      </c>
      <c r="B35" s="1547"/>
      <c r="C35" s="1547"/>
      <c r="D35" s="1547"/>
      <c r="E35" s="1547"/>
      <c r="F35" s="1547"/>
      <c r="G35" s="1547"/>
      <c r="H35" s="1547"/>
      <c r="I35" s="1547"/>
      <c r="J35" s="1547"/>
      <c r="K35" s="1547"/>
      <c r="L35" s="1547"/>
      <c r="M35" s="1547"/>
      <c r="N35" s="1547"/>
      <c r="O35" s="1548"/>
    </row>
    <row r="36" spans="1:16">
      <c r="A36" s="796">
        <v>1</v>
      </c>
      <c r="B36" s="1091"/>
      <c r="C36" s="799"/>
      <c r="D36" s="801"/>
      <c r="E36" s="799"/>
      <c r="F36" s="801"/>
      <c r="G36" s="809"/>
      <c r="H36" s="812">
        <f>+E36*G36</f>
        <v>0</v>
      </c>
      <c r="I36" s="1541" t="e">
        <f>H46/E46</f>
        <v>#DIV/0!</v>
      </c>
      <c r="J36" s="799"/>
      <c r="K36" s="801"/>
      <c r="L36" s="806">
        <f t="shared" ref="L36:M45" si="4">+C36+E36-J36</f>
        <v>0</v>
      </c>
      <c r="M36" s="819">
        <f t="shared" si="4"/>
        <v>0</v>
      </c>
      <c r="N36" s="816"/>
      <c r="O36" s="794"/>
      <c r="P36" s="1005" t="str">
        <f t="shared" ref="P36:P45" si="5">+IF(E36&gt;0,IF(AND(G36&gt;0,G36&lt;0.15,N36&gt;0,N36&lt;0.15,O36&gt;=0,O36&lt;0.15),"","ХЖДХ болон дээд, доод хүүг сараар шивнэ үү."),"")</f>
        <v/>
      </c>
    </row>
    <row r="37" spans="1:16">
      <c r="A37" s="793">
        <v>2</v>
      </c>
      <c r="B37" s="1092"/>
      <c r="C37" s="800"/>
      <c r="D37" s="804"/>
      <c r="E37" s="800"/>
      <c r="F37" s="804"/>
      <c r="G37" s="810"/>
      <c r="H37" s="813">
        <f t="shared" ref="H37:H45" si="6">+E37*G37</f>
        <v>0</v>
      </c>
      <c r="I37" s="1542"/>
      <c r="J37" s="800"/>
      <c r="K37" s="802"/>
      <c r="L37" s="807">
        <f t="shared" si="4"/>
        <v>0</v>
      </c>
      <c r="M37" s="820">
        <f t="shared" si="4"/>
        <v>0</v>
      </c>
      <c r="N37" s="817"/>
      <c r="O37" s="792"/>
      <c r="P37" s="1005" t="str">
        <f t="shared" si="5"/>
        <v/>
      </c>
    </row>
    <row r="38" spans="1:16">
      <c r="A38" s="793">
        <v>3</v>
      </c>
      <c r="B38" s="1092"/>
      <c r="C38" s="800"/>
      <c r="D38" s="804"/>
      <c r="E38" s="800"/>
      <c r="F38" s="804"/>
      <c r="G38" s="810"/>
      <c r="H38" s="813">
        <f t="shared" si="6"/>
        <v>0</v>
      </c>
      <c r="I38" s="1542"/>
      <c r="J38" s="800"/>
      <c r="K38" s="802"/>
      <c r="L38" s="807">
        <f t="shared" si="4"/>
        <v>0</v>
      </c>
      <c r="M38" s="820">
        <f t="shared" si="4"/>
        <v>0</v>
      </c>
      <c r="N38" s="817"/>
      <c r="O38" s="792"/>
      <c r="P38" s="1005" t="str">
        <f t="shared" si="5"/>
        <v/>
      </c>
    </row>
    <row r="39" spans="1:16">
      <c r="A39" s="793">
        <v>4</v>
      </c>
      <c r="B39" s="1092"/>
      <c r="C39" s="800"/>
      <c r="D39" s="804"/>
      <c r="E39" s="800"/>
      <c r="F39" s="804"/>
      <c r="G39" s="810"/>
      <c r="H39" s="813">
        <f t="shared" si="6"/>
        <v>0</v>
      </c>
      <c r="I39" s="1542"/>
      <c r="J39" s="800"/>
      <c r="K39" s="802"/>
      <c r="L39" s="807">
        <f t="shared" si="4"/>
        <v>0</v>
      </c>
      <c r="M39" s="820">
        <f t="shared" si="4"/>
        <v>0</v>
      </c>
      <c r="N39" s="817"/>
      <c r="O39" s="792"/>
      <c r="P39" s="1005" t="str">
        <f t="shared" si="5"/>
        <v/>
      </c>
    </row>
    <row r="40" spans="1:16">
      <c r="A40" s="793">
        <v>5</v>
      </c>
      <c r="B40" s="1092"/>
      <c r="C40" s="800"/>
      <c r="D40" s="804"/>
      <c r="E40" s="800"/>
      <c r="F40" s="804"/>
      <c r="G40" s="810"/>
      <c r="H40" s="813">
        <f t="shared" si="6"/>
        <v>0</v>
      </c>
      <c r="I40" s="1542"/>
      <c r="J40" s="800"/>
      <c r="K40" s="802"/>
      <c r="L40" s="807">
        <f t="shared" si="4"/>
        <v>0</v>
      </c>
      <c r="M40" s="820">
        <f t="shared" si="4"/>
        <v>0</v>
      </c>
      <c r="N40" s="817"/>
      <c r="O40" s="792"/>
      <c r="P40" s="1005" t="str">
        <f t="shared" si="5"/>
        <v/>
      </c>
    </row>
    <row r="41" spans="1:16">
      <c r="A41" s="793">
        <v>6</v>
      </c>
      <c r="B41" s="1092"/>
      <c r="C41" s="800"/>
      <c r="D41" s="804"/>
      <c r="E41" s="800"/>
      <c r="F41" s="804"/>
      <c r="G41" s="810"/>
      <c r="H41" s="813">
        <f t="shared" si="6"/>
        <v>0</v>
      </c>
      <c r="I41" s="1542"/>
      <c r="J41" s="800"/>
      <c r="K41" s="802"/>
      <c r="L41" s="807">
        <f t="shared" si="4"/>
        <v>0</v>
      </c>
      <c r="M41" s="820">
        <f t="shared" si="4"/>
        <v>0</v>
      </c>
      <c r="N41" s="817"/>
      <c r="O41" s="792"/>
      <c r="P41" s="1005" t="str">
        <f t="shared" si="5"/>
        <v/>
      </c>
    </row>
    <row r="42" spans="1:16">
      <c r="A42" s="793">
        <v>7</v>
      </c>
      <c r="B42" s="1092"/>
      <c r="C42" s="800"/>
      <c r="D42" s="804"/>
      <c r="E42" s="800"/>
      <c r="F42" s="804"/>
      <c r="G42" s="810"/>
      <c r="H42" s="813">
        <f>+E42*G42</f>
        <v>0</v>
      </c>
      <c r="I42" s="1542"/>
      <c r="J42" s="800"/>
      <c r="K42" s="802"/>
      <c r="L42" s="807">
        <f t="shared" si="4"/>
        <v>0</v>
      </c>
      <c r="M42" s="820">
        <f t="shared" si="4"/>
        <v>0</v>
      </c>
      <c r="N42" s="817"/>
      <c r="O42" s="792"/>
      <c r="P42" s="1005" t="str">
        <f t="shared" si="5"/>
        <v/>
      </c>
    </row>
    <row r="43" spans="1:16">
      <c r="A43" s="793">
        <v>8</v>
      </c>
      <c r="B43" s="1092"/>
      <c r="C43" s="800"/>
      <c r="D43" s="804"/>
      <c r="E43" s="800"/>
      <c r="F43" s="804"/>
      <c r="G43" s="810"/>
      <c r="H43" s="813">
        <f t="shared" si="6"/>
        <v>0</v>
      </c>
      <c r="I43" s="1542"/>
      <c r="J43" s="800"/>
      <c r="K43" s="802"/>
      <c r="L43" s="807">
        <f t="shared" si="4"/>
        <v>0</v>
      </c>
      <c r="M43" s="820">
        <f t="shared" si="4"/>
        <v>0</v>
      </c>
      <c r="N43" s="817"/>
      <c r="O43" s="792"/>
      <c r="P43" s="1005" t="str">
        <f t="shared" si="5"/>
        <v/>
      </c>
    </row>
    <row r="44" spans="1:16">
      <c r="A44" s="793">
        <v>9</v>
      </c>
      <c r="B44" s="1092"/>
      <c r="C44" s="800"/>
      <c r="D44" s="804"/>
      <c r="E44" s="800"/>
      <c r="F44" s="804"/>
      <c r="G44" s="810"/>
      <c r="H44" s="813">
        <f t="shared" si="6"/>
        <v>0</v>
      </c>
      <c r="I44" s="1542"/>
      <c r="J44" s="800"/>
      <c r="K44" s="802"/>
      <c r="L44" s="807">
        <f t="shared" si="4"/>
        <v>0</v>
      </c>
      <c r="M44" s="820">
        <f t="shared" si="4"/>
        <v>0</v>
      </c>
      <c r="N44" s="817"/>
      <c r="O44" s="792"/>
      <c r="P44" s="1005" t="str">
        <f t="shared" si="5"/>
        <v/>
      </c>
    </row>
    <row r="45" spans="1:16">
      <c r="A45" s="797">
        <v>10</v>
      </c>
      <c r="B45" s="1093"/>
      <c r="C45" s="798"/>
      <c r="D45" s="831"/>
      <c r="E45" s="798"/>
      <c r="F45" s="831"/>
      <c r="G45" s="811"/>
      <c r="H45" s="814">
        <f t="shared" si="6"/>
        <v>0</v>
      </c>
      <c r="I45" s="1543"/>
      <c r="J45" s="798"/>
      <c r="K45" s="815"/>
      <c r="L45" s="808">
        <f t="shared" si="4"/>
        <v>0</v>
      </c>
      <c r="M45" s="821">
        <f t="shared" si="4"/>
        <v>0</v>
      </c>
      <c r="N45" s="818"/>
      <c r="O45" s="795"/>
      <c r="P45" s="1005" t="str">
        <f t="shared" si="5"/>
        <v/>
      </c>
    </row>
    <row r="46" spans="1:16">
      <c r="A46" s="1544" t="s">
        <v>831</v>
      </c>
      <c r="B46" s="1545"/>
      <c r="C46" s="849">
        <f>+SUM(C36:C45)</f>
        <v>0</v>
      </c>
      <c r="D46" s="850">
        <f>+SUM(D36:D45)</f>
        <v>0</v>
      </c>
      <c r="E46" s="851">
        <f>+SUM(E36:E45)</f>
        <v>0</v>
      </c>
      <c r="F46" s="852">
        <f>+SUM(F36:F45)</f>
        <v>0</v>
      </c>
      <c r="G46" s="853"/>
      <c r="H46" s="854">
        <f>SUM(H36:H45)</f>
        <v>0</v>
      </c>
      <c r="I46" s="998" t="e">
        <f>+(E36*G36+E37*G37+E38*G38+E39*G39+E40*G40+E41*G41+E42*G42+E43*G43+E44*G44+E45*G45)/E46</f>
        <v>#DIV/0!</v>
      </c>
      <c r="J46" s="849">
        <f>+SUM(J36:J45)</f>
        <v>0</v>
      </c>
      <c r="K46" s="850">
        <f>+SUM(K36:K45)</f>
        <v>0</v>
      </c>
      <c r="L46" s="849">
        <f>+SUM(L36:L45)</f>
        <v>0</v>
      </c>
      <c r="M46" s="850">
        <f>+SUM(M36:M45)</f>
        <v>0</v>
      </c>
      <c r="N46" s="858">
        <f>+MAX(N36:N45)</f>
        <v>0</v>
      </c>
      <c r="O46" s="891">
        <f t="array" ref="O46">+MIN(IF(O36:O45&gt;0,O36:O45))</f>
        <v>0</v>
      </c>
    </row>
    <row r="47" spans="1:16">
      <c r="A47" s="1546" t="s">
        <v>839</v>
      </c>
      <c r="B47" s="1547"/>
      <c r="C47" s="1547"/>
      <c r="D47" s="1547"/>
      <c r="E47" s="1547"/>
      <c r="F47" s="1547"/>
      <c r="G47" s="1547"/>
      <c r="H47" s="1547"/>
      <c r="I47" s="1547"/>
      <c r="J47" s="1547"/>
      <c r="K47" s="1547"/>
      <c r="L47" s="1547"/>
      <c r="M47" s="1547"/>
      <c r="N47" s="1547"/>
      <c r="O47" s="1548"/>
    </row>
    <row r="48" spans="1:16">
      <c r="A48" s="796">
        <v>1</v>
      </c>
      <c r="B48" s="1094"/>
      <c r="C48" s="799"/>
      <c r="D48" s="801"/>
      <c r="E48" s="799"/>
      <c r="F48" s="801"/>
      <c r="G48" s="828"/>
      <c r="H48" s="812">
        <f>+E48*G48</f>
        <v>0</v>
      </c>
      <c r="I48" s="1541" t="e">
        <f>H58/E58</f>
        <v>#DIV/0!</v>
      </c>
      <c r="J48" s="799"/>
      <c r="K48" s="801"/>
      <c r="L48" s="806">
        <f t="shared" ref="L48:M57" si="7">+C48+E48-J48</f>
        <v>0</v>
      </c>
      <c r="M48" s="819">
        <f t="shared" si="7"/>
        <v>0</v>
      </c>
      <c r="N48" s="816"/>
      <c r="O48" s="794"/>
      <c r="P48" s="1005" t="str">
        <f t="shared" ref="P48:P57" si="8">+IF(E48&gt;0,IF(AND(G48&gt;0,G48&lt;0.15,N48&gt;0,N48&lt;0.15,O48&gt;=0,O48&lt;0.15),"","ХЖДХ болон дээд, доод хүүг сараар шивнэ үү."),"")</f>
        <v/>
      </c>
    </row>
    <row r="49" spans="1:16">
      <c r="A49" s="793">
        <v>2</v>
      </c>
      <c r="B49" s="1092"/>
      <c r="C49" s="800"/>
      <c r="D49" s="804"/>
      <c r="E49" s="800"/>
      <c r="F49" s="804"/>
      <c r="G49" s="829"/>
      <c r="H49" s="813">
        <f t="shared" ref="H49:H57" si="9">+E49*G49</f>
        <v>0</v>
      </c>
      <c r="I49" s="1542"/>
      <c r="J49" s="800"/>
      <c r="K49" s="802"/>
      <c r="L49" s="807">
        <f t="shared" si="7"/>
        <v>0</v>
      </c>
      <c r="M49" s="820">
        <f t="shared" si="7"/>
        <v>0</v>
      </c>
      <c r="N49" s="817"/>
      <c r="O49" s="792"/>
      <c r="P49" s="1005" t="str">
        <f t="shared" si="8"/>
        <v/>
      </c>
    </row>
    <row r="50" spans="1:16">
      <c r="A50" s="793">
        <v>3</v>
      </c>
      <c r="B50" s="1092"/>
      <c r="C50" s="800"/>
      <c r="D50" s="804"/>
      <c r="E50" s="800"/>
      <c r="F50" s="804"/>
      <c r="G50" s="829"/>
      <c r="H50" s="813">
        <f t="shared" si="9"/>
        <v>0</v>
      </c>
      <c r="I50" s="1542"/>
      <c r="J50" s="800"/>
      <c r="K50" s="802"/>
      <c r="L50" s="807">
        <f t="shared" si="7"/>
        <v>0</v>
      </c>
      <c r="M50" s="820">
        <f t="shared" si="7"/>
        <v>0</v>
      </c>
      <c r="N50" s="817"/>
      <c r="O50" s="792"/>
      <c r="P50" s="1005" t="str">
        <f t="shared" si="8"/>
        <v/>
      </c>
    </row>
    <row r="51" spans="1:16">
      <c r="A51" s="793">
        <v>4</v>
      </c>
      <c r="B51" s="1092"/>
      <c r="C51" s="800"/>
      <c r="D51" s="804"/>
      <c r="E51" s="800"/>
      <c r="F51" s="804"/>
      <c r="G51" s="829"/>
      <c r="H51" s="813">
        <f t="shared" si="9"/>
        <v>0</v>
      </c>
      <c r="I51" s="1542"/>
      <c r="J51" s="800"/>
      <c r="K51" s="802"/>
      <c r="L51" s="807">
        <f t="shared" si="7"/>
        <v>0</v>
      </c>
      <c r="M51" s="820">
        <f t="shared" si="7"/>
        <v>0</v>
      </c>
      <c r="N51" s="817"/>
      <c r="O51" s="792"/>
      <c r="P51" s="1005" t="str">
        <f t="shared" si="8"/>
        <v/>
      </c>
    </row>
    <row r="52" spans="1:16">
      <c r="A52" s="793">
        <v>5</v>
      </c>
      <c r="B52" s="1092"/>
      <c r="C52" s="800"/>
      <c r="D52" s="804"/>
      <c r="E52" s="800"/>
      <c r="F52" s="804"/>
      <c r="G52" s="829"/>
      <c r="H52" s="813">
        <f t="shared" si="9"/>
        <v>0</v>
      </c>
      <c r="I52" s="1542"/>
      <c r="J52" s="800"/>
      <c r="K52" s="802"/>
      <c r="L52" s="807">
        <f t="shared" si="7"/>
        <v>0</v>
      </c>
      <c r="M52" s="820">
        <f t="shared" si="7"/>
        <v>0</v>
      </c>
      <c r="N52" s="817"/>
      <c r="O52" s="792"/>
      <c r="P52" s="1005" t="str">
        <f t="shared" si="8"/>
        <v/>
      </c>
    </row>
    <row r="53" spans="1:16">
      <c r="A53" s="793">
        <v>6</v>
      </c>
      <c r="B53" s="1092"/>
      <c r="C53" s="800"/>
      <c r="D53" s="804"/>
      <c r="E53" s="800"/>
      <c r="F53" s="804"/>
      <c r="G53" s="829"/>
      <c r="H53" s="813">
        <f t="shared" si="9"/>
        <v>0</v>
      </c>
      <c r="I53" s="1542"/>
      <c r="J53" s="800"/>
      <c r="K53" s="802"/>
      <c r="L53" s="807">
        <f t="shared" si="7"/>
        <v>0</v>
      </c>
      <c r="M53" s="820">
        <f t="shared" si="7"/>
        <v>0</v>
      </c>
      <c r="N53" s="817"/>
      <c r="O53" s="792"/>
      <c r="P53" s="1005" t="str">
        <f t="shared" si="8"/>
        <v/>
      </c>
    </row>
    <row r="54" spans="1:16">
      <c r="A54" s="793">
        <v>7</v>
      </c>
      <c r="B54" s="1092"/>
      <c r="C54" s="800"/>
      <c r="D54" s="804"/>
      <c r="E54" s="800"/>
      <c r="F54" s="804"/>
      <c r="G54" s="829"/>
      <c r="H54" s="813">
        <f t="shared" si="9"/>
        <v>0</v>
      </c>
      <c r="I54" s="1542"/>
      <c r="J54" s="800"/>
      <c r="K54" s="802"/>
      <c r="L54" s="807">
        <f t="shared" si="7"/>
        <v>0</v>
      </c>
      <c r="M54" s="820">
        <f t="shared" si="7"/>
        <v>0</v>
      </c>
      <c r="N54" s="817"/>
      <c r="O54" s="792"/>
      <c r="P54" s="1005" t="str">
        <f t="shared" si="8"/>
        <v/>
      </c>
    </row>
    <row r="55" spans="1:16">
      <c r="A55" s="793">
        <v>8</v>
      </c>
      <c r="B55" s="1092"/>
      <c r="C55" s="800"/>
      <c r="D55" s="804"/>
      <c r="E55" s="800"/>
      <c r="F55" s="804"/>
      <c r="G55" s="829"/>
      <c r="H55" s="813">
        <f t="shared" si="9"/>
        <v>0</v>
      </c>
      <c r="I55" s="1542"/>
      <c r="J55" s="800"/>
      <c r="K55" s="802"/>
      <c r="L55" s="807">
        <f t="shared" si="7"/>
        <v>0</v>
      </c>
      <c r="M55" s="820">
        <f t="shared" si="7"/>
        <v>0</v>
      </c>
      <c r="N55" s="817"/>
      <c r="O55" s="792"/>
      <c r="P55" s="1005" t="str">
        <f t="shared" si="8"/>
        <v/>
      </c>
    </row>
    <row r="56" spans="1:16">
      <c r="A56" s="793">
        <v>9</v>
      </c>
      <c r="B56" s="1092"/>
      <c r="C56" s="800"/>
      <c r="D56" s="804"/>
      <c r="E56" s="800"/>
      <c r="F56" s="804"/>
      <c r="G56" s="829"/>
      <c r="H56" s="813">
        <f t="shared" si="9"/>
        <v>0</v>
      </c>
      <c r="I56" s="1542"/>
      <c r="J56" s="800"/>
      <c r="K56" s="802"/>
      <c r="L56" s="807">
        <f t="shared" si="7"/>
        <v>0</v>
      </c>
      <c r="M56" s="820">
        <f t="shared" si="7"/>
        <v>0</v>
      </c>
      <c r="N56" s="817"/>
      <c r="O56" s="792"/>
      <c r="P56" s="1005" t="str">
        <f t="shared" si="8"/>
        <v/>
      </c>
    </row>
    <row r="57" spans="1:16">
      <c r="A57" s="797">
        <v>10</v>
      </c>
      <c r="B57" s="1095"/>
      <c r="C57" s="798"/>
      <c r="D57" s="831"/>
      <c r="E57" s="798"/>
      <c r="F57" s="805"/>
      <c r="G57" s="836"/>
      <c r="H57" s="837">
        <f t="shared" si="9"/>
        <v>0</v>
      </c>
      <c r="I57" s="1543"/>
      <c r="J57" s="798"/>
      <c r="K57" s="815"/>
      <c r="L57" s="808">
        <f>+C57+E57-J57</f>
        <v>0</v>
      </c>
      <c r="M57" s="821">
        <f t="shared" si="7"/>
        <v>0</v>
      </c>
      <c r="N57" s="818"/>
      <c r="O57" s="795"/>
      <c r="P57" s="1005" t="str">
        <f t="shared" si="8"/>
        <v/>
      </c>
    </row>
    <row r="58" spans="1:16">
      <c r="A58" s="1544" t="s">
        <v>831</v>
      </c>
      <c r="B58" s="1545"/>
      <c r="C58" s="851">
        <f>+SUM(C48:C57)</f>
        <v>0</v>
      </c>
      <c r="D58" s="852">
        <f>+SUM(D48:D57)</f>
        <v>0</v>
      </c>
      <c r="E58" s="849">
        <f>+SUM(E48:E57)</f>
        <v>0</v>
      </c>
      <c r="F58" s="850">
        <f>+SUM(F48:F57)</f>
        <v>0</v>
      </c>
      <c r="G58" s="856"/>
      <c r="H58" s="859">
        <f>SUM(H48:H57)</f>
        <v>0</v>
      </c>
      <c r="I58" s="1051" t="e">
        <f>+(E48*G48+E49*G49+E50*G50+E51*G51+E52*G52+E53*G53+E54*G54+E55*G55+E56*G56+E57*G57)/E58</f>
        <v>#DIV/0!</v>
      </c>
      <c r="J58" s="851">
        <f>+SUM(J48:J57)</f>
        <v>0</v>
      </c>
      <c r="K58" s="852">
        <f>+SUM(K48:K57)</f>
        <v>0</v>
      </c>
      <c r="L58" s="849">
        <f>+SUM(L48:L57)</f>
        <v>0</v>
      </c>
      <c r="M58" s="850">
        <f>+SUM(M48:M57)</f>
        <v>0</v>
      </c>
      <c r="N58" s="858">
        <f>+MAX(N48:N57)</f>
        <v>0</v>
      </c>
      <c r="O58" s="891">
        <f t="array" ref="O58">+MIN(IF(O48:O57&gt;0,O48:O57))</f>
        <v>0</v>
      </c>
      <c r="P58" s="970"/>
    </row>
    <row r="59" spans="1:16">
      <c r="A59" s="1549" t="s">
        <v>670</v>
      </c>
      <c r="B59" s="1550"/>
      <c r="C59" s="841">
        <f>+C46+C58</f>
        <v>0</v>
      </c>
      <c r="D59" s="840">
        <f>+D46+D58</f>
        <v>0</v>
      </c>
      <c r="E59" s="838">
        <f>+E46+E58</f>
        <v>0</v>
      </c>
      <c r="F59" s="839">
        <f>+F46+F58</f>
        <v>0</v>
      </c>
      <c r="G59" s="789"/>
      <c r="H59" s="788">
        <f>+H46+H58</f>
        <v>0</v>
      </c>
      <c r="I59" s="1052" t="e">
        <f>+(E36*G36+E37*G37+E38*G38+E39*G39+E40*G40+E41*G41+E42*G42+E43*G43+E44*G44+E45*G45+E48*G48+E49*G49+E50*G50+E51*G51+E52*G52+E53*G53+E54*G54+E55*G55+E56*G56+E57*G57)/E59</f>
        <v>#DIV/0!</v>
      </c>
      <c r="J59" s="838">
        <f>+J46+J58</f>
        <v>0</v>
      </c>
      <c r="K59" s="839">
        <f>+K46+K58</f>
        <v>0</v>
      </c>
      <c r="L59" s="838">
        <f>+L46+L58</f>
        <v>0</v>
      </c>
      <c r="M59" s="839">
        <f>+M46+M58</f>
        <v>0</v>
      </c>
      <c r="N59" s="790">
        <f>+MAX(N36:N45,N48:N57)</f>
        <v>0</v>
      </c>
      <c r="O59" s="791">
        <f>IF(O58=0,O46,MIN(O46,O58))</f>
        <v>0</v>
      </c>
      <c r="P59" s="970" t="str">
        <f>IF(L59=Balancesheet!G14,"","Балансын дүнтэй зөрүүтэй байна.")</f>
        <v/>
      </c>
    </row>
    <row r="60" spans="1:16">
      <c r="A60" s="1551" t="s">
        <v>840</v>
      </c>
      <c r="B60" s="1552"/>
      <c r="C60" s="1552"/>
      <c r="D60" s="1552"/>
      <c r="E60" s="1552"/>
      <c r="F60" s="1552"/>
      <c r="G60" s="1552"/>
      <c r="H60" s="1552"/>
      <c r="I60" s="1552"/>
      <c r="J60" s="1552"/>
      <c r="K60" s="1552"/>
      <c r="L60" s="1552"/>
      <c r="M60" s="1552"/>
      <c r="N60" s="1552"/>
      <c r="O60" s="1553"/>
      <c r="P60" s="970"/>
    </row>
    <row r="61" spans="1:16" ht="26.25" customHeight="1">
      <c r="A61" s="1560" t="s">
        <v>841</v>
      </c>
      <c r="B61" s="1561"/>
      <c r="C61" s="860">
        <v>0</v>
      </c>
      <c r="D61" s="861"/>
      <c r="E61" s="799"/>
      <c r="F61" s="832"/>
      <c r="G61" s="809"/>
      <c r="H61" s="812">
        <f t="shared" ref="H61:H67" si="10">+E61*G61</f>
        <v>0</v>
      </c>
      <c r="I61" s="1557" t="e">
        <f>+H68/E68</f>
        <v>#DIV/0!</v>
      </c>
      <c r="J61" s="799"/>
      <c r="K61" s="832"/>
      <c r="L61" s="806">
        <f t="shared" ref="L61" si="11">+C61+E61-J61</f>
        <v>0</v>
      </c>
      <c r="M61" s="819">
        <f t="shared" ref="M61" si="12">+D61+F61-K61</f>
        <v>0</v>
      </c>
      <c r="N61" s="816"/>
      <c r="O61" s="794"/>
      <c r="P61" s="970" t="str">
        <f>IF((L61=Balancesheet!G15),"","Балансын дүнгээс "&amp;L61-Balancesheet!G15&amp;"-ээр зөрүүтэй байна")</f>
        <v/>
      </c>
    </row>
    <row r="62" spans="1:16">
      <c r="A62" s="1535" t="s">
        <v>842</v>
      </c>
      <c r="B62" s="1536"/>
      <c r="C62" s="862">
        <v>0</v>
      </c>
      <c r="D62" s="863"/>
      <c r="E62" s="800"/>
      <c r="F62" s="833"/>
      <c r="G62" s="810"/>
      <c r="H62" s="813">
        <f t="shared" si="10"/>
        <v>0</v>
      </c>
      <c r="I62" s="1558"/>
      <c r="J62" s="800"/>
      <c r="K62" s="833"/>
      <c r="L62" s="807">
        <f t="shared" ref="L62" si="13">+C62+E62-J62</f>
        <v>0</v>
      </c>
      <c r="M62" s="820">
        <f t="shared" ref="M62" si="14">+D62+F62-K62</f>
        <v>0</v>
      </c>
      <c r="N62" s="817"/>
      <c r="O62" s="792"/>
      <c r="P62" s="970" t="str">
        <f>IF((L62=Balancesheet!G16),"","Балансын дүнгээс "&amp;L62-Balancesheet!G16&amp;"-ээр зөрүүтэй байна")</f>
        <v/>
      </c>
    </row>
    <row r="63" spans="1:16">
      <c r="A63" s="1535" t="s">
        <v>843</v>
      </c>
      <c r="B63" s="1536"/>
      <c r="C63" s="862">
        <v>0</v>
      </c>
      <c r="D63" s="863"/>
      <c r="E63" s="800"/>
      <c r="F63" s="833"/>
      <c r="G63" s="810"/>
      <c r="H63" s="813">
        <f t="shared" si="10"/>
        <v>0</v>
      </c>
      <c r="I63" s="1558"/>
      <c r="J63" s="800"/>
      <c r="K63" s="833"/>
      <c r="L63" s="807">
        <f t="shared" ref="L63:L66" si="15">+C63+E63-J63</f>
        <v>0</v>
      </c>
      <c r="M63" s="820">
        <f t="shared" ref="M63:M67" si="16">+D63+F63-K63</f>
        <v>0</v>
      </c>
      <c r="N63" s="817"/>
      <c r="O63" s="792"/>
      <c r="P63" s="970" t="str">
        <f>IF((L63=Balancesheet!G17),"","Балансын дүнгээс "&amp;L63-Balancesheet!G17&amp;"-ээр зөрүүтэй байна")</f>
        <v/>
      </c>
    </row>
    <row r="64" spans="1:16">
      <c r="A64" s="1535" t="s">
        <v>844</v>
      </c>
      <c r="B64" s="1536"/>
      <c r="C64" s="862">
        <v>0</v>
      </c>
      <c r="D64" s="863"/>
      <c r="E64" s="800"/>
      <c r="F64" s="833"/>
      <c r="G64" s="810"/>
      <c r="H64" s="813">
        <f t="shared" si="10"/>
        <v>0</v>
      </c>
      <c r="I64" s="1558"/>
      <c r="J64" s="800"/>
      <c r="K64" s="833"/>
      <c r="L64" s="807">
        <f t="shared" si="15"/>
        <v>0</v>
      </c>
      <c r="M64" s="820">
        <f t="shared" si="16"/>
        <v>0</v>
      </c>
      <c r="N64" s="817"/>
      <c r="O64" s="792"/>
      <c r="P64" s="970" t="str">
        <f>IF((L64=Balancesheet!G18),"","Балансын дүнгээс "&amp;L64-Balancesheet!G18&amp;"-ээр зөрүүтэй байна")</f>
        <v/>
      </c>
    </row>
    <row r="65" spans="1:16">
      <c r="A65" s="1535" t="s">
        <v>845</v>
      </c>
      <c r="B65" s="1536"/>
      <c r="C65" s="862">
        <v>0</v>
      </c>
      <c r="D65" s="863"/>
      <c r="E65" s="800"/>
      <c r="F65" s="833"/>
      <c r="G65" s="810"/>
      <c r="H65" s="813">
        <f t="shared" si="10"/>
        <v>0</v>
      </c>
      <c r="I65" s="1558"/>
      <c r="J65" s="800"/>
      <c r="K65" s="833"/>
      <c r="L65" s="807">
        <f t="shared" si="15"/>
        <v>0</v>
      </c>
      <c r="M65" s="820">
        <f t="shared" si="16"/>
        <v>0</v>
      </c>
      <c r="N65" s="817"/>
      <c r="O65" s="792"/>
      <c r="P65" s="970" t="str">
        <f>IF((L65=Balancesheet!G19),"","Балансын дүнгээс "&amp;L65-Balancesheet!G19&amp;"-ээр зөрүүтэй байна")</f>
        <v/>
      </c>
    </row>
    <row r="66" spans="1:16">
      <c r="A66" s="1535" t="s">
        <v>846</v>
      </c>
      <c r="B66" s="1536"/>
      <c r="C66" s="862">
        <v>0</v>
      </c>
      <c r="D66" s="863"/>
      <c r="E66" s="800"/>
      <c r="F66" s="833"/>
      <c r="G66" s="810"/>
      <c r="H66" s="813">
        <f t="shared" si="10"/>
        <v>0</v>
      </c>
      <c r="I66" s="1558"/>
      <c r="J66" s="800"/>
      <c r="K66" s="833"/>
      <c r="L66" s="807">
        <f t="shared" si="15"/>
        <v>0</v>
      </c>
      <c r="M66" s="820">
        <f t="shared" si="16"/>
        <v>0</v>
      </c>
      <c r="N66" s="817"/>
      <c r="O66" s="792"/>
      <c r="P66" s="970" t="str">
        <f>IF((L66=Balancesheet!G20),"","Балансын дүнгээс "&amp;L66-Balancesheet!G20&amp;"-ээр зөрүүтэй байна")</f>
        <v/>
      </c>
    </row>
    <row r="67" spans="1:16" ht="27" customHeight="1">
      <c r="A67" s="1537" t="s">
        <v>847</v>
      </c>
      <c r="B67" s="1538"/>
      <c r="C67" s="864">
        <v>0</v>
      </c>
      <c r="D67" s="865"/>
      <c r="E67" s="798"/>
      <c r="F67" s="834"/>
      <c r="G67" s="835"/>
      <c r="H67" s="814">
        <f t="shared" si="10"/>
        <v>0</v>
      </c>
      <c r="I67" s="1559"/>
      <c r="J67" s="798"/>
      <c r="K67" s="834"/>
      <c r="L67" s="808">
        <f>+C67+E67-J67</f>
        <v>0</v>
      </c>
      <c r="M67" s="821">
        <f t="shared" si="16"/>
        <v>0</v>
      </c>
      <c r="N67" s="818"/>
      <c r="O67" s="795"/>
      <c r="P67" s="970" t="str">
        <f>IF((L67=Balancesheet!G21),"","Балансын дүнгээс "&amp;L67-Balancesheet!G21&amp;"-ээр зөрүүтэй байна")</f>
        <v/>
      </c>
    </row>
    <row r="68" spans="1:16" ht="15.75" thickBot="1">
      <c r="A68" s="1555" t="s">
        <v>670</v>
      </c>
      <c r="B68" s="1556"/>
      <c r="C68" s="894">
        <f>+SUM(C61:C67)</f>
        <v>0</v>
      </c>
      <c r="D68" s="895">
        <f>+SUM(D61:D67)</f>
        <v>0</v>
      </c>
      <c r="E68" s="896">
        <f>+SUM(E61:E67)</f>
        <v>0</v>
      </c>
      <c r="F68" s="897">
        <f>+SUM(F61:F67)</f>
        <v>0</v>
      </c>
      <c r="G68" s="898"/>
      <c r="H68" s="899">
        <f>+SUM(H61:H67)</f>
        <v>0</v>
      </c>
      <c r="I68" s="999"/>
      <c r="J68" s="894">
        <f>+SUM(J61:J67)</f>
        <v>0</v>
      </c>
      <c r="K68" s="895">
        <f>+SUM(K61:K67)</f>
        <v>0</v>
      </c>
      <c r="L68" s="896">
        <f>+SUM(L61:L67)</f>
        <v>0</v>
      </c>
      <c r="M68" s="1037">
        <f>+SUM(M61:M67)</f>
        <v>0</v>
      </c>
      <c r="N68" s="900">
        <f>+MAX(N61:N67)</f>
        <v>0</v>
      </c>
      <c r="O68" s="901">
        <f t="array" ref="O68">+MIN(IF(O61:O67&gt;0,O61:O67))</f>
        <v>0</v>
      </c>
      <c r="P68" s="970"/>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35" t="s">
        <v>647</v>
      </c>
      <c r="B71" s="1435"/>
      <c r="C71" s="1435"/>
      <c r="D71" s="1435"/>
      <c r="E71" s="1435"/>
      <c r="F71" s="1435"/>
      <c r="G71" s="1435"/>
      <c r="H71" s="1435"/>
      <c r="I71" s="1435"/>
      <c r="J71" s="1435"/>
      <c r="K71" s="1435"/>
      <c r="L71" s="1435"/>
      <c r="M71" s="1435"/>
      <c r="N71" s="1435"/>
      <c r="O71" s="1435"/>
    </row>
    <row r="72" spans="1:16">
      <c r="A72" s="1554" t="s">
        <v>848</v>
      </c>
      <c r="B72" s="1424"/>
      <c r="C72" s="1424"/>
      <c r="D72" s="1424"/>
      <c r="E72" s="1424"/>
      <c r="F72" s="1424"/>
      <c r="G72" s="1424"/>
      <c r="H72" s="1424"/>
      <c r="I72" s="1424"/>
      <c r="J72" s="1424"/>
      <c r="K72" s="1424"/>
      <c r="L72" s="1424"/>
      <c r="M72" s="1424"/>
      <c r="N72" s="1424"/>
      <c r="O72" s="1424"/>
    </row>
    <row r="73" spans="1:16">
      <c r="A73" s="1554" t="s">
        <v>849</v>
      </c>
      <c r="B73" s="1424"/>
      <c r="C73" s="1424"/>
      <c r="D73" s="1424"/>
      <c r="E73" s="1424"/>
      <c r="F73" s="1424"/>
      <c r="G73" s="1424"/>
      <c r="H73" s="1424"/>
      <c r="I73" s="1424"/>
      <c r="J73" s="1424"/>
      <c r="K73" s="1424"/>
      <c r="L73" s="1424"/>
      <c r="M73" s="1424"/>
      <c r="N73" s="1424"/>
      <c r="O73" s="1424"/>
    </row>
    <row r="74" spans="1:16">
      <c r="A74" s="1539" t="s">
        <v>850</v>
      </c>
      <c r="B74" s="1424"/>
      <c r="C74" s="1424"/>
      <c r="D74" s="1424"/>
      <c r="E74" s="1424"/>
      <c r="F74" s="1424"/>
      <c r="G74" s="1424"/>
      <c r="H74" s="1424"/>
      <c r="I74" s="1424"/>
      <c r="J74" s="1424"/>
      <c r="K74" s="1424"/>
      <c r="L74" s="1424"/>
      <c r="M74" s="1424"/>
      <c r="N74" s="1424"/>
      <c r="O74" s="1424"/>
    </row>
    <row r="75" spans="1:16">
      <c r="A75" s="1539" t="s">
        <v>851</v>
      </c>
      <c r="B75" s="1424"/>
      <c r="C75" s="1424"/>
      <c r="D75" s="1424"/>
      <c r="E75" s="1424"/>
      <c r="F75" s="1424"/>
      <c r="G75" s="1424"/>
      <c r="H75" s="1424"/>
      <c r="I75" s="1424"/>
      <c r="J75" s="1424"/>
      <c r="K75" s="1424"/>
      <c r="L75" s="1424"/>
      <c r="M75" s="1424"/>
      <c r="N75" s="1424"/>
      <c r="O75" s="1424"/>
    </row>
    <row r="76" spans="1:16">
      <c r="A76" s="1539" t="s">
        <v>852</v>
      </c>
      <c r="B76" s="1424"/>
      <c r="C76" s="1424"/>
      <c r="D76" s="1424"/>
      <c r="E76" s="1424"/>
      <c r="F76" s="1424"/>
      <c r="G76" s="1424"/>
      <c r="H76" s="1424"/>
      <c r="I76" s="1424"/>
      <c r="J76" s="1424"/>
      <c r="K76" s="1424"/>
      <c r="L76" s="1424"/>
      <c r="M76" s="1424"/>
      <c r="N76" s="1424"/>
      <c r="O76" s="1424"/>
    </row>
    <row r="77" spans="1:16">
      <c r="A77" s="1540" t="s">
        <v>853</v>
      </c>
      <c r="B77" s="1540"/>
      <c r="C77" s="1540"/>
      <c r="D77" s="1540"/>
      <c r="E77" s="1540"/>
      <c r="F77" s="1540"/>
      <c r="G77" s="1540"/>
      <c r="H77" s="1540"/>
      <c r="I77" s="1540"/>
      <c r="J77" s="1540"/>
      <c r="K77" s="1540"/>
      <c r="L77" s="1540"/>
      <c r="M77" s="1540"/>
      <c r="N77" s="1540"/>
      <c r="O77" s="1540"/>
    </row>
    <row r="78" spans="1:16">
      <c r="A78" s="966" t="s">
        <v>854</v>
      </c>
      <c r="B78" s="966"/>
      <c r="C78" s="966"/>
      <c r="D78" s="966"/>
      <c r="E78" s="966"/>
      <c r="F78" s="966"/>
      <c r="G78" s="966"/>
      <c r="H78" s="966"/>
      <c r="I78" s="966"/>
      <c r="J78" s="966"/>
      <c r="K78" s="966"/>
      <c r="L78" s="966"/>
      <c r="M78" s="966"/>
      <c r="N78" s="966"/>
      <c r="O78" s="966"/>
    </row>
    <row r="79" spans="1:16">
      <c r="A79" s="180" t="s">
        <v>855</v>
      </c>
      <c r="B79" s="166"/>
    </row>
    <row r="80" spans="1:16">
      <c r="A80" s="180" t="s">
        <v>856</v>
      </c>
      <c r="B80" s="166"/>
    </row>
    <row r="81" spans="1:15">
      <c r="A81" s="180" t="s">
        <v>857</v>
      </c>
      <c r="B81" s="166"/>
    </row>
    <row r="82" spans="1:15">
      <c r="A82" s="1510" t="s">
        <v>111</v>
      </c>
      <c r="B82" s="1510"/>
      <c r="C82" s="1510"/>
      <c r="D82" s="1510"/>
      <c r="E82" s="1510"/>
      <c r="F82" s="1510"/>
      <c r="G82" s="1510"/>
      <c r="H82" s="1510"/>
      <c r="I82" s="1510"/>
      <c r="J82" s="1510"/>
      <c r="K82" s="1510"/>
      <c r="L82" s="1510"/>
      <c r="M82" s="1510"/>
      <c r="N82" s="1510"/>
      <c r="O82" s="1510"/>
    </row>
    <row r="83" spans="1:15">
      <c r="A83" s="1511" t="s">
        <v>112</v>
      </c>
      <c r="B83" s="1511"/>
      <c r="C83" s="1511"/>
      <c r="D83" s="1511"/>
      <c r="E83" s="1511"/>
      <c r="F83" s="1511"/>
      <c r="G83" s="1511"/>
      <c r="H83" s="1511"/>
      <c r="I83" s="1511"/>
      <c r="J83" s="1511"/>
      <c r="K83" s="1511"/>
      <c r="L83" s="1511"/>
      <c r="M83" s="1511"/>
      <c r="N83" s="1511"/>
      <c r="O83" s="1511"/>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x18vJ2xAqoSJuiKgV8iGJ1XjcHRzhuxsMbFA2Erbive2JLLcOj/hYrQK6r9ES3X0NVL/mQ6/Gwr1Hhj/7Smdaw==" saltValue="LP2B8FNixamftPu89IliEQ==" spinCount="100000" sheet="1" objects="1" scenarios="1"/>
  <mergeCells count="3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4:B64"/>
    <mergeCell ref="A65:B65"/>
    <mergeCell ref="A66:B66"/>
    <mergeCell ref="A67:B67"/>
    <mergeCell ref="A75:O75"/>
    <mergeCell ref="A71:O71"/>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topLeftCell="A46" zoomScale="77" zoomScaleNormal="77" workbookViewId="0">
      <selection activeCell="I9" sqref="I9:I10"/>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20" t="s">
        <v>859</v>
      </c>
      <c r="B4" s="1420"/>
      <c r="C4" s="1420"/>
      <c r="D4" s="1420"/>
      <c r="E4" s="1420"/>
      <c r="F4" s="1420"/>
      <c r="G4" s="1420"/>
      <c r="H4" s="1420"/>
      <c r="I4" s="1420"/>
      <c r="J4" s="1420"/>
      <c r="K4" s="1420"/>
      <c r="L4" s="1420"/>
      <c r="M4" s="1420"/>
      <c r="N4" s="1420"/>
      <c r="O4" s="1420"/>
      <c r="P4" s="1420"/>
      <c r="Q4" s="1420"/>
      <c r="R4" s="7"/>
      <c r="S4" s="7"/>
      <c r="T4" s="7"/>
      <c r="U4" s="7"/>
      <c r="V4" s="7"/>
      <c r="W4" s="7"/>
      <c r="X4" s="7"/>
      <c r="Y4" s="7"/>
      <c r="Z4" s="7"/>
      <c r="AA4" s="7"/>
      <c r="AB4" s="7"/>
      <c r="AC4" s="7"/>
    </row>
    <row r="5" spans="1:29">
      <c r="A5" s="1421" t="str">
        <f>+STATISTICS!A5</f>
        <v>ХАДГАЛАМЖ, ЗЭЭЛИЙН ХОРШООНЫ НЭР</v>
      </c>
      <c r="B5" s="1421"/>
      <c r="C5" s="1421"/>
      <c r="D5" s="1421"/>
      <c r="E5" s="1421"/>
      <c r="F5" s="1421"/>
      <c r="G5" s="1421"/>
      <c r="H5" s="1421"/>
      <c r="I5" s="1421"/>
      <c r="J5" s="1421"/>
      <c r="K5" s="1421"/>
      <c r="L5" s="1421"/>
      <c r="M5" s="1421"/>
      <c r="N5" s="1421"/>
      <c r="O5" s="1421"/>
      <c r="P5" s="1421"/>
      <c r="Q5" s="1421"/>
      <c r="R5" s="7"/>
      <c r="S5" s="7"/>
      <c r="T5" s="7"/>
      <c r="U5" s="7"/>
      <c r="V5" s="7"/>
      <c r="W5" s="7"/>
      <c r="X5" s="7"/>
      <c r="Y5" s="7"/>
      <c r="Z5" s="7"/>
      <c r="AA5" s="7"/>
      <c r="AB5" s="7"/>
      <c r="AC5" s="7"/>
    </row>
    <row r="6" spans="1:29">
      <c r="A6" s="1420" t="s">
        <v>38</v>
      </c>
      <c r="B6" s="1420"/>
      <c r="C6" s="1420"/>
      <c r="D6" s="1420"/>
      <c r="E6" s="1420"/>
      <c r="F6" s="1420"/>
      <c r="G6" s="1420"/>
      <c r="H6" s="1420"/>
      <c r="I6" s="1420"/>
      <c r="J6" s="1420"/>
      <c r="K6" s="1420"/>
      <c r="L6" s="1420"/>
      <c r="M6" s="1420"/>
      <c r="N6" s="1420"/>
      <c r="O6" s="1420"/>
      <c r="P6" s="1420"/>
      <c r="Q6" s="1420"/>
      <c r="R6" s="7"/>
      <c r="S6" s="7"/>
      <c r="T6" s="7"/>
      <c r="U6" s="7"/>
      <c r="V6" s="7"/>
      <c r="W6" s="7"/>
      <c r="X6" s="7"/>
      <c r="Y6" s="7"/>
      <c r="Z6" s="7"/>
      <c r="AA6" s="7"/>
      <c r="AB6" s="7"/>
      <c r="AC6" s="7"/>
    </row>
    <row r="8" spans="1:29" ht="13.5" thickBot="1">
      <c r="A8" s="1581"/>
      <c r="B8" s="1581"/>
      <c r="Q8" s="474" t="s">
        <v>117</v>
      </c>
    </row>
    <row r="9" spans="1:29">
      <c r="A9" s="1582" t="s">
        <v>39</v>
      </c>
      <c r="B9" s="1584" t="s">
        <v>860</v>
      </c>
      <c r="C9" s="1577"/>
      <c r="D9" s="1585"/>
      <c r="E9" s="1587" t="s">
        <v>861</v>
      </c>
      <c r="F9" s="1589" t="s">
        <v>862</v>
      </c>
      <c r="G9" s="1577" t="s">
        <v>863</v>
      </c>
      <c r="H9" s="1577" t="s">
        <v>864</v>
      </c>
      <c r="I9" s="1577" t="s">
        <v>865</v>
      </c>
      <c r="J9" s="1577" t="s">
        <v>866</v>
      </c>
      <c r="K9" s="1577" t="s">
        <v>867</v>
      </c>
      <c r="L9" s="1577" t="s">
        <v>868</v>
      </c>
      <c r="M9" s="1577" t="s">
        <v>869</v>
      </c>
      <c r="N9" s="1593" t="s">
        <v>870</v>
      </c>
      <c r="O9" s="1579" t="s">
        <v>871</v>
      </c>
      <c r="P9" s="1577" t="s">
        <v>872</v>
      </c>
      <c r="Q9" s="1579" t="s">
        <v>873</v>
      </c>
    </row>
    <row r="10" spans="1:29" ht="52.5" customHeight="1" thickBot="1">
      <c r="A10" s="1583"/>
      <c r="B10" s="475" t="s">
        <v>874</v>
      </c>
      <c r="C10" s="476" t="s">
        <v>875</v>
      </c>
      <c r="D10" s="917" t="s">
        <v>876</v>
      </c>
      <c r="E10" s="1588"/>
      <c r="F10" s="1590"/>
      <c r="G10" s="1586"/>
      <c r="H10" s="1578"/>
      <c r="I10" s="1578"/>
      <c r="J10" s="1578"/>
      <c r="K10" s="1586"/>
      <c r="L10" s="1578"/>
      <c r="M10" s="1578"/>
      <c r="N10" s="1594"/>
      <c r="O10" s="1580"/>
      <c r="P10" s="1578"/>
      <c r="Q10" s="1580"/>
    </row>
    <row r="11" spans="1:29">
      <c r="A11" s="477">
        <v>1</v>
      </c>
      <c r="B11" s="478"/>
      <c r="C11" s="908"/>
      <c r="D11" s="479"/>
      <c r="E11" s="480"/>
      <c r="F11" s="481"/>
      <c r="G11" s="1029"/>
      <c r="H11" s="482"/>
      <c r="I11" s="482"/>
      <c r="J11" s="482"/>
      <c r="K11" s="1030"/>
      <c r="L11" s="484"/>
      <c r="M11" s="484"/>
      <c r="N11" s="504"/>
      <c r="O11" s="926" t="e">
        <f>+M11/Balancesheet!$G$59</f>
        <v>#DIV/0!</v>
      </c>
      <c r="P11" s="909">
        <f>+SUMIF($C$11:$C$60,C11,$M$11:$M$60)</f>
        <v>0</v>
      </c>
      <c r="Q11" s="907" t="e">
        <f>+P11/Balancesheet!$G$59</f>
        <v>#DIV/0!</v>
      </c>
    </row>
    <row r="12" spans="1:29">
      <c r="A12" s="485">
        <v>2</v>
      </c>
      <c r="B12" s="486"/>
      <c r="C12" s="908"/>
      <c r="D12" s="479"/>
      <c r="E12" s="488"/>
      <c r="F12" s="489"/>
      <c r="G12" s="1029"/>
      <c r="H12" s="490"/>
      <c r="I12" s="490"/>
      <c r="J12" s="490"/>
      <c r="K12" s="1030"/>
      <c r="L12" s="492"/>
      <c r="M12" s="492"/>
      <c r="N12" s="504"/>
      <c r="O12" s="926" t="e">
        <f>+M12/Balancesheet!$G$59</f>
        <v>#DIV/0!</v>
      </c>
      <c r="P12" s="909">
        <f t="shared" ref="P12:P59" si="0">+SUMIF($C$11:$C$60,C12,$M$11:$M$60)</f>
        <v>0</v>
      </c>
      <c r="Q12" s="907" t="e">
        <f>+P12/Balancesheet!$G$59</f>
        <v>#DIV/0!</v>
      </c>
    </row>
    <row r="13" spans="1:29">
      <c r="A13" s="485">
        <v>3</v>
      </c>
      <c r="B13" s="478"/>
      <c r="C13" s="908"/>
      <c r="D13" s="479"/>
      <c r="E13" s="488"/>
      <c r="F13" s="489"/>
      <c r="G13" s="1029"/>
      <c r="H13" s="483"/>
      <c r="I13" s="490"/>
      <c r="J13" s="490"/>
      <c r="K13" s="1030"/>
      <c r="L13" s="492"/>
      <c r="M13" s="492"/>
      <c r="N13" s="504"/>
      <c r="O13" s="926" t="e">
        <f>+M13/Balancesheet!$G$59</f>
        <v>#DIV/0!</v>
      </c>
      <c r="P13" s="909">
        <f t="shared" si="0"/>
        <v>0</v>
      </c>
      <c r="Q13" s="907" t="e">
        <f>+P13/Balancesheet!$G$59</f>
        <v>#DIV/0!</v>
      </c>
    </row>
    <row r="14" spans="1:29">
      <c r="A14" s="485">
        <v>4</v>
      </c>
      <c r="B14" s="486"/>
      <c r="C14" s="908"/>
      <c r="D14" s="479"/>
      <c r="E14" s="488"/>
      <c r="F14" s="489"/>
      <c r="G14" s="1029"/>
      <c r="H14" s="490"/>
      <c r="I14" s="490"/>
      <c r="J14" s="490"/>
      <c r="K14" s="1030"/>
      <c r="L14" s="492"/>
      <c r="M14" s="492"/>
      <c r="N14" s="504"/>
      <c r="O14" s="926" t="e">
        <f>+M14/Balancesheet!$G$59</f>
        <v>#DIV/0!</v>
      </c>
      <c r="P14" s="909">
        <f t="shared" si="0"/>
        <v>0</v>
      </c>
      <c r="Q14" s="907" t="e">
        <f>+P14/Balancesheet!$G$59</f>
        <v>#DIV/0!</v>
      </c>
    </row>
    <row r="15" spans="1:29">
      <c r="A15" s="485">
        <v>5</v>
      </c>
      <c r="B15" s="486"/>
      <c r="C15" s="908"/>
      <c r="D15" s="479"/>
      <c r="E15" s="488"/>
      <c r="F15" s="489"/>
      <c r="G15" s="1029"/>
      <c r="H15" s="490"/>
      <c r="I15" s="490"/>
      <c r="J15" s="490"/>
      <c r="K15" s="1030"/>
      <c r="L15" s="492"/>
      <c r="M15" s="492"/>
      <c r="N15" s="504"/>
      <c r="O15" s="926" t="e">
        <f>+M15/Balancesheet!$G$59</f>
        <v>#DIV/0!</v>
      </c>
      <c r="P15" s="909">
        <f t="shared" si="0"/>
        <v>0</v>
      </c>
      <c r="Q15" s="907" t="e">
        <f>+P15/Balancesheet!$G$59</f>
        <v>#DIV/0!</v>
      </c>
    </row>
    <row r="16" spans="1:29">
      <c r="A16" s="485">
        <v>6</v>
      </c>
      <c r="B16" s="486"/>
      <c r="C16" s="908"/>
      <c r="D16" s="479"/>
      <c r="E16" s="488"/>
      <c r="F16" s="489"/>
      <c r="G16" s="1029"/>
      <c r="H16" s="490"/>
      <c r="I16" s="490"/>
      <c r="J16" s="490"/>
      <c r="K16" s="1030"/>
      <c r="L16" s="492"/>
      <c r="M16" s="492"/>
      <c r="N16" s="504"/>
      <c r="O16" s="926" t="e">
        <f>+M16/Balancesheet!$G$59</f>
        <v>#DIV/0!</v>
      </c>
      <c r="P16" s="909">
        <f t="shared" si="0"/>
        <v>0</v>
      </c>
      <c r="Q16" s="907" t="e">
        <f>+P16/Balancesheet!$G$59</f>
        <v>#DIV/0!</v>
      </c>
    </row>
    <row r="17" spans="1:17">
      <c r="A17" s="485">
        <v>7</v>
      </c>
      <c r="B17" s="486"/>
      <c r="C17" s="908"/>
      <c r="D17" s="479"/>
      <c r="E17" s="488"/>
      <c r="F17" s="489"/>
      <c r="G17" s="1029"/>
      <c r="H17" s="490"/>
      <c r="I17" s="490"/>
      <c r="J17" s="490"/>
      <c r="K17" s="1030"/>
      <c r="L17" s="492"/>
      <c r="M17" s="492"/>
      <c r="N17" s="504"/>
      <c r="O17" s="926" t="e">
        <f>+M17/Balancesheet!$G$59</f>
        <v>#DIV/0!</v>
      </c>
      <c r="P17" s="909">
        <f t="shared" si="0"/>
        <v>0</v>
      </c>
      <c r="Q17" s="907" t="e">
        <f>+P17/Balancesheet!$G$59</f>
        <v>#DIV/0!</v>
      </c>
    </row>
    <row r="18" spans="1:17">
      <c r="A18" s="485">
        <v>8</v>
      </c>
      <c r="B18" s="486"/>
      <c r="C18" s="908"/>
      <c r="D18" s="479"/>
      <c r="E18" s="488"/>
      <c r="F18" s="489"/>
      <c r="G18" s="1029"/>
      <c r="H18" s="490"/>
      <c r="I18" s="490"/>
      <c r="J18" s="490"/>
      <c r="K18" s="1030"/>
      <c r="L18" s="492"/>
      <c r="M18" s="492"/>
      <c r="N18" s="504"/>
      <c r="O18" s="926" t="e">
        <f>+M18/Balancesheet!$G$59</f>
        <v>#DIV/0!</v>
      </c>
      <c r="P18" s="909">
        <f t="shared" si="0"/>
        <v>0</v>
      </c>
      <c r="Q18" s="907" t="e">
        <f>+P18/Balancesheet!$G$59</f>
        <v>#DIV/0!</v>
      </c>
    </row>
    <row r="19" spans="1:17">
      <c r="A19" s="485">
        <v>9</v>
      </c>
      <c r="B19" s="486"/>
      <c r="C19" s="908"/>
      <c r="D19" s="479"/>
      <c r="E19" s="488"/>
      <c r="F19" s="489"/>
      <c r="G19" s="1029"/>
      <c r="H19" s="490"/>
      <c r="I19" s="490"/>
      <c r="J19" s="490"/>
      <c r="K19" s="1030"/>
      <c r="L19" s="492"/>
      <c r="M19" s="492"/>
      <c r="N19" s="504"/>
      <c r="O19" s="926" t="e">
        <f>+M19/Balancesheet!$G$59</f>
        <v>#DIV/0!</v>
      </c>
      <c r="P19" s="909">
        <f t="shared" si="0"/>
        <v>0</v>
      </c>
      <c r="Q19" s="907" t="e">
        <f>+P19/Balancesheet!$G$59</f>
        <v>#DIV/0!</v>
      </c>
    </row>
    <row r="20" spans="1:17">
      <c r="A20" s="485">
        <v>10</v>
      </c>
      <c r="B20" s="486"/>
      <c r="C20" s="908"/>
      <c r="D20" s="479"/>
      <c r="E20" s="488"/>
      <c r="F20" s="489"/>
      <c r="G20" s="1029"/>
      <c r="H20" s="490"/>
      <c r="I20" s="490"/>
      <c r="J20" s="490"/>
      <c r="K20" s="1030"/>
      <c r="L20" s="492"/>
      <c r="M20" s="492"/>
      <c r="N20" s="504"/>
      <c r="O20" s="926" t="e">
        <f>+M20/Balancesheet!$G$59</f>
        <v>#DIV/0!</v>
      </c>
      <c r="P20" s="909">
        <f t="shared" si="0"/>
        <v>0</v>
      </c>
      <c r="Q20" s="907" t="e">
        <f>+P20/Balancesheet!$G$59</f>
        <v>#DIV/0!</v>
      </c>
    </row>
    <row r="21" spans="1:17">
      <c r="A21" s="485">
        <v>11</v>
      </c>
      <c r="B21" s="486"/>
      <c r="C21" s="908"/>
      <c r="D21" s="479"/>
      <c r="E21" s="488"/>
      <c r="F21" s="489"/>
      <c r="G21" s="1029"/>
      <c r="H21" s="490"/>
      <c r="I21" s="490"/>
      <c r="J21" s="490"/>
      <c r="K21" s="1030"/>
      <c r="L21" s="492"/>
      <c r="M21" s="492"/>
      <c r="N21" s="504"/>
      <c r="O21" s="926" t="e">
        <f>+M21/Balancesheet!$G$59</f>
        <v>#DIV/0!</v>
      </c>
      <c r="P21" s="909">
        <f t="shared" si="0"/>
        <v>0</v>
      </c>
      <c r="Q21" s="907" t="e">
        <f>+P21/Balancesheet!$G$59</f>
        <v>#DIV/0!</v>
      </c>
    </row>
    <row r="22" spans="1:17">
      <c r="A22" s="485">
        <v>12</v>
      </c>
      <c r="B22" s="486"/>
      <c r="C22" s="908"/>
      <c r="D22" s="479"/>
      <c r="E22" s="488"/>
      <c r="F22" s="489"/>
      <c r="G22" s="1029"/>
      <c r="H22" s="490"/>
      <c r="I22" s="490"/>
      <c r="J22" s="490"/>
      <c r="K22" s="1030"/>
      <c r="L22" s="492"/>
      <c r="M22" s="492"/>
      <c r="N22" s="504"/>
      <c r="O22" s="926" t="e">
        <f>+M22/Balancesheet!$G$59</f>
        <v>#DIV/0!</v>
      </c>
      <c r="P22" s="909">
        <f t="shared" si="0"/>
        <v>0</v>
      </c>
      <c r="Q22" s="907" t="e">
        <f>+P22/Balancesheet!$G$59</f>
        <v>#DIV/0!</v>
      </c>
    </row>
    <row r="23" spans="1:17">
      <c r="A23" s="485">
        <v>13</v>
      </c>
      <c r="B23" s="486"/>
      <c r="C23" s="908"/>
      <c r="D23" s="479"/>
      <c r="E23" s="488"/>
      <c r="F23" s="489"/>
      <c r="G23" s="1029"/>
      <c r="H23" s="490"/>
      <c r="I23" s="490"/>
      <c r="J23" s="490"/>
      <c r="K23" s="1030"/>
      <c r="L23" s="492"/>
      <c r="M23" s="492"/>
      <c r="N23" s="504"/>
      <c r="O23" s="926" t="e">
        <f>+M23/Balancesheet!$G$59</f>
        <v>#DIV/0!</v>
      </c>
      <c r="P23" s="909">
        <f t="shared" si="0"/>
        <v>0</v>
      </c>
      <c r="Q23" s="907" t="e">
        <f>+P23/Balancesheet!$G$59</f>
        <v>#DIV/0!</v>
      </c>
    </row>
    <row r="24" spans="1:17">
      <c r="A24" s="485">
        <v>14</v>
      </c>
      <c r="B24" s="486"/>
      <c r="C24" s="908"/>
      <c r="D24" s="479"/>
      <c r="E24" s="488"/>
      <c r="F24" s="489"/>
      <c r="G24" s="1029"/>
      <c r="H24" s="490"/>
      <c r="I24" s="490"/>
      <c r="J24" s="490"/>
      <c r="K24" s="1030"/>
      <c r="L24" s="492"/>
      <c r="M24" s="492"/>
      <c r="N24" s="504"/>
      <c r="O24" s="926" t="e">
        <f>+M24/Balancesheet!$G$59</f>
        <v>#DIV/0!</v>
      </c>
      <c r="P24" s="909">
        <f t="shared" si="0"/>
        <v>0</v>
      </c>
      <c r="Q24" s="907" t="e">
        <f>+P24/Balancesheet!$G$59</f>
        <v>#DIV/0!</v>
      </c>
    </row>
    <row r="25" spans="1:17">
      <c r="A25" s="485">
        <v>15</v>
      </c>
      <c r="B25" s="486"/>
      <c r="C25" s="908"/>
      <c r="D25" s="479"/>
      <c r="E25" s="488"/>
      <c r="F25" s="489"/>
      <c r="G25" s="1029"/>
      <c r="H25" s="490"/>
      <c r="I25" s="490"/>
      <c r="J25" s="490"/>
      <c r="K25" s="1030"/>
      <c r="L25" s="492"/>
      <c r="M25" s="492"/>
      <c r="N25" s="504"/>
      <c r="O25" s="926" t="e">
        <f>+M25/Balancesheet!$G$59</f>
        <v>#DIV/0!</v>
      </c>
      <c r="P25" s="909">
        <f t="shared" si="0"/>
        <v>0</v>
      </c>
      <c r="Q25" s="907" t="e">
        <f>+P25/Balancesheet!$G$59</f>
        <v>#DIV/0!</v>
      </c>
    </row>
    <row r="26" spans="1:17">
      <c r="A26" s="485">
        <v>16</v>
      </c>
      <c r="B26" s="486"/>
      <c r="C26" s="908"/>
      <c r="D26" s="479"/>
      <c r="E26" s="488"/>
      <c r="F26" s="489"/>
      <c r="G26" s="1029"/>
      <c r="H26" s="490"/>
      <c r="I26" s="490"/>
      <c r="J26" s="490"/>
      <c r="K26" s="1030"/>
      <c r="L26" s="492"/>
      <c r="M26" s="492"/>
      <c r="N26" s="504"/>
      <c r="O26" s="926" t="e">
        <f>+M26/Balancesheet!$G$59</f>
        <v>#DIV/0!</v>
      </c>
      <c r="P26" s="909">
        <f t="shared" si="0"/>
        <v>0</v>
      </c>
      <c r="Q26" s="907" t="e">
        <f>+P26/Balancesheet!$G$59</f>
        <v>#DIV/0!</v>
      </c>
    </row>
    <row r="27" spans="1:17">
      <c r="A27" s="485">
        <v>17</v>
      </c>
      <c r="B27" s="486"/>
      <c r="C27" s="908"/>
      <c r="D27" s="479"/>
      <c r="E27" s="488"/>
      <c r="F27" s="489"/>
      <c r="G27" s="1029"/>
      <c r="H27" s="490"/>
      <c r="I27" s="490"/>
      <c r="J27" s="490"/>
      <c r="K27" s="1030"/>
      <c r="L27" s="492"/>
      <c r="M27" s="492"/>
      <c r="N27" s="504"/>
      <c r="O27" s="926" t="e">
        <f>+M27/Balancesheet!$G$59</f>
        <v>#DIV/0!</v>
      </c>
      <c r="P27" s="909">
        <f t="shared" si="0"/>
        <v>0</v>
      </c>
      <c r="Q27" s="907" t="e">
        <f>+P27/Balancesheet!$G$59</f>
        <v>#DIV/0!</v>
      </c>
    </row>
    <row r="28" spans="1:17">
      <c r="A28" s="485">
        <v>18</v>
      </c>
      <c r="B28" s="486"/>
      <c r="C28" s="908"/>
      <c r="D28" s="479"/>
      <c r="E28" s="488"/>
      <c r="F28" s="489"/>
      <c r="G28" s="1029"/>
      <c r="H28" s="490"/>
      <c r="I28" s="490"/>
      <c r="J28" s="490"/>
      <c r="K28" s="1030"/>
      <c r="L28" s="492"/>
      <c r="M28" s="492"/>
      <c r="N28" s="504"/>
      <c r="O28" s="926" t="e">
        <f>+M28/Balancesheet!$G$59</f>
        <v>#DIV/0!</v>
      </c>
      <c r="P28" s="909">
        <f t="shared" si="0"/>
        <v>0</v>
      </c>
      <c r="Q28" s="907" t="e">
        <f>+P28/Balancesheet!$G$59</f>
        <v>#DIV/0!</v>
      </c>
    </row>
    <row r="29" spans="1:17">
      <c r="A29" s="485">
        <v>19</v>
      </c>
      <c r="B29" s="486"/>
      <c r="C29" s="908"/>
      <c r="D29" s="479"/>
      <c r="E29" s="488"/>
      <c r="F29" s="489"/>
      <c r="G29" s="1029"/>
      <c r="H29" s="490"/>
      <c r="I29" s="490"/>
      <c r="J29" s="490"/>
      <c r="K29" s="1030"/>
      <c r="L29" s="492"/>
      <c r="M29" s="492"/>
      <c r="N29" s="504"/>
      <c r="O29" s="926" t="e">
        <f>+M29/Balancesheet!$G$59</f>
        <v>#DIV/0!</v>
      </c>
      <c r="P29" s="909">
        <f t="shared" si="0"/>
        <v>0</v>
      </c>
      <c r="Q29" s="907" t="e">
        <f>+P29/Balancesheet!$G$59</f>
        <v>#DIV/0!</v>
      </c>
    </row>
    <row r="30" spans="1:17">
      <c r="A30" s="485">
        <v>20</v>
      </c>
      <c r="B30" s="486"/>
      <c r="C30" s="908"/>
      <c r="D30" s="479"/>
      <c r="E30" s="488"/>
      <c r="F30" s="489"/>
      <c r="G30" s="1029"/>
      <c r="H30" s="490"/>
      <c r="I30" s="490"/>
      <c r="J30" s="490"/>
      <c r="K30" s="1030"/>
      <c r="L30" s="492"/>
      <c r="M30" s="492"/>
      <c r="N30" s="504"/>
      <c r="O30" s="926" t="e">
        <f>+M30/Balancesheet!$G$59</f>
        <v>#DIV/0!</v>
      </c>
      <c r="P30" s="909">
        <f t="shared" si="0"/>
        <v>0</v>
      </c>
      <c r="Q30" s="907" t="e">
        <f>+P30/Balancesheet!$G$59</f>
        <v>#DIV/0!</v>
      </c>
    </row>
    <row r="31" spans="1:17">
      <c r="A31" s="485">
        <v>21</v>
      </c>
      <c r="B31" s="486"/>
      <c r="C31" s="908"/>
      <c r="D31" s="479"/>
      <c r="E31" s="488"/>
      <c r="F31" s="489"/>
      <c r="G31" s="1029"/>
      <c r="H31" s="490"/>
      <c r="I31" s="490"/>
      <c r="J31" s="490"/>
      <c r="K31" s="1030"/>
      <c r="L31" s="492"/>
      <c r="M31" s="492"/>
      <c r="N31" s="504"/>
      <c r="O31" s="926" t="e">
        <f>+M31/Balancesheet!$G$59</f>
        <v>#DIV/0!</v>
      </c>
      <c r="P31" s="909">
        <f t="shared" si="0"/>
        <v>0</v>
      </c>
      <c r="Q31" s="907" t="e">
        <f>+P31/Balancesheet!$G$59</f>
        <v>#DIV/0!</v>
      </c>
    </row>
    <row r="32" spans="1:17">
      <c r="A32" s="485">
        <v>22</v>
      </c>
      <c r="B32" s="486"/>
      <c r="C32" s="908"/>
      <c r="D32" s="479"/>
      <c r="E32" s="488"/>
      <c r="F32" s="489"/>
      <c r="G32" s="1029"/>
      <c r="H32" s="490"/>
      <c r="I32" s="490"/>
      <c r="J32" s="490"/>
      <c r="K32" s="1030"/>
      <c r="L32" s="492"/>
      <c r="M32" s="492"/>
      <c r="N32" s="504"/>
      <c r="O32" s="926" t="e">
        <f>+M32/Balancesheet!$G$59</f>
        <v>#DIV/0!</v>
      </c>
      <c r="P32" s="909">
        <f t="shared" si="0"/>
        <v>0</v>
      </c>
      <c r="Q32" s="907" t="e">
        <f>+P32/Balancesheet!$G$59</f>
        <v>#DIV/0!</v>
      </c>
    </row>
    <row r="33" spans="1:17">
      <c r="A33" s="485">
        <v>23</v>
      </c>
      <c r="B33" s="486"/>
      <c r="C33" s="908"/>
      <c r="D33" s="479"/>
      <c r="E33" s="488"/>
      <c r="F33" s="489"/>
      <c r="G33" s="1029"/>
      <c r="H33" s="490"/>
      <c r="I33" s="490"/>
      <c r="J33" s="490"/>
      <c r="K33" s="1030"/>
      <c r="L33" s="492"/>
      <c r="M33" s="492"/>
      <c r="N33" s="504"/>
      <c r="O33" s="926" t="e">
        <f>+M33/Balancesheet!$G$59</f>
        <v>#DIV/0!</v>
      </c>
      <c r="P33" s="909">
        <f t="shared" si="0"/>
        <v>0</v>
      </c>
      <c r="Q33" s="907" t="e">
        <f>+P33/Balancesheet!$G$59</f>
        <v>#DIV/0!</v>
      </c>
    </row>
    <row r="34" spans="1:17">
      <c r="A34" s="485">
        <v>24</v>
      </c>
      <c r="B34" s="486"/>
      <c r="C34" s="908"/>
      <c r="D34" s="479"/>
      <c r="E34" s="488"/>
      <c r="F34" s="489"/>
      <c r="G34" s="1029"/>
      <c r="H34" s="490"/>
      <c r="I34" s="490"/>
      <c r="J34" s="490"/>
      <c r="K34" s="1030"/>
      <c r="L34" s="492"/>
      <c r="M34" s="492"/>
      <c r="N34" s="504"/>
      <c r="O34" s="926" t="e">
        <f>+M34/Balancesheet!$G$59</f>
        <v>#DIV/0!</v>
      </c>
      <c r="P34" s="909">
        <f t="shared" si="0"/>
        <v>0</v>
      </c>
      <c r="Q34" s="907" t="e">
        <f>+P34/Balancesheet!$G$59</f>
        <v>#DIV/0!</v>
      </c>
    </row>
    <row r="35" spans="1:17">
      <c r="A35" s="485">
        <v>25</v>
      </c>
      <c r="B35" s="486"/>
      <c r="C35" s="908"/>
      <c r="D35" s="479"/>
      <c r="E35" s="488"/>
      <c r="F35" s="489"/>
      <c r="G35" s="1029"/>
      <c r="H35" s="490"/>
      <c r="I35" s="490"/>
      <c r="J35" s="490"/>
      <c r="K35" s="1030"/>
      <c r="L35" s="492"/>
      <c r="M35" s="492"/>
      <c r="N35" s="504"/>
      <c r="O35" s="926" t="e">
        <f>+M35/Balancesheet!$G$59</f>
        <v>#DIV/0!</v>
      </c>
      <c r="P35" s="909">
        <f t="shared" si="0"/>
        <v>0</v>
      </c>
      <c r="Q35" s="907" t="e">
        <f>+P35/Balancesheet!$G$59</f>
        <v>#DIV/0!</v>
      </c>
    </row>
    <row r="36" spans="1:17">
      <c r="A36" s="485">
        <v>26</v>
      </c>
      <c r="B36" s="486"/>
      <c r="C36" s="908"/>
      <c r="D36" s="479"/>
      <c r="E36" s="488"/>
      <c r="F36" s="489"/>
      <c r="G36" s="1029"/>
      <c r="H36" s="490"/>
      <c r="I36" s="490"/>
      <c r="J36" s="490"/>
      <c r="K36" s="1030"/>
      <c r="L36" s="492"/>
      <c r="M36" s="492"/>
      <c r="N36" s="504"/>
      <c r="O36" s="926" t="e">
        <f>+M36/Balancesheet!$G$59</f>
        <v>#DIV/0!</v>
      </c>
      <c r="P36" s="909">
        <f t="shared" si="0"/>
        <v>0</v>
      </c>
      <c r="Q36" s="907" t="e">
        <f>+P36/Balancesheet!$G$59</f>
        <v>#DIV/0!</v>
      </c>
    </row>
    <row r="37" spans="1:17">
      <c r="A37" s="485">
        <v>27</v>
      </c>
      <c r="B37" s="486"/>
      <c r="C37" s="908"/>
      <c r="D37" s="479"/>
      <c r="E37" s="488"/>
      <c r="F37" s="489"/>
      <c r="G37" s="1029"/>
      <c r="H37" s="490"/>
      <c r="I37" s="490"/>
      <c r="J37" s="490"/>
      <c r="K37" s="1030"/>
      <c r="L37" s="492"/>
      <c r="M37" s="492"/>
      <c r="N37" s="504"/>
      <c r="O37" s="926" t="e">
        <f>+M37/Balancesheet!$G$59</f>
        <v>#DIV/0!</v>
      </c>
      <c r="P37" s="909">
        <f t="shared" si="0"/>
        <v>0</v>
      </c>
      <c r="Q37" s="907" t="e">
        <f>+P37/Balancesheet!$G$59</f>
        <v>#DIV/0!</v>
      </c>
    </row>
    <row r="38" spans="1:17">
      <c r="A38" s="485">
        <v>28</v>
      </c>
      <c r="B38" s="486"/>
      <c r="C38" s="908"/>
      <c r="D38" s="479"/>
      <c r="E38" s="488"/>
      <c r="F38" s="489"/>
      <c r="G38" s="1029"/>
      <c r="H38" s="490"/>
      <c r="I38" s="490"/>
      <c r="J38" s="490"/>
      <c r="K38" s="1030"/>
      <c r="L38" s="492"/>
      <c r="M38" s="492"/>
      <c r="N38" s="504"/>
      <c r="O38" s="926" t="e">
        <f>+M38/Balancesheet!$G$59</f>
        <v>#DIV/0!</v>
      </c>
      <c r="P38" s="909">
        <f t="shared" si="0"/>
        <v>0</v>
      </c>
      <c r="Q38" s="907" t="e">
        <f>+P38/Balancesheet!$G$59</f>
        <v>#DIV/0!</v>
      </c>
    </row>
    <row r="39" spans="1:17">
      <c r="A39" s="485">
        <v>29</v>
      </c>
      <c r="B39" s="486"/>
      <c r="C39" s="908"/>
      <c r="D39" s="479"/>
      <c r="E39" s="488"/>
      <c r="F39" s="489"/>
      <c r="G39" s="1029"/>
      <c r="H39" s="490"/>
      <c r="I39" s="490"/>
      <c r="J39" s="490"/>
      <c r="K39" s="1030"/>
      <c r="L39" s="492"/>
      <c r="M39" s="492"/>
      <c r="N39" s="504"/>
      <c r="O39" s="926" t="e">
        <f>+M39/Balancesheet!$G$59</f>
        <v>#DIV/0!</v>
      </c>
      <c r="P39" s="909">
        <f t="shared" si="0"/>
        <v>0</v>
      </c>
      <c r="Q39" s="907" t="e">
        <f>+P39/Balancesheet!$G$59</f>
        <v>#DIV/0!</v>
      </c>
    </row>
    <row r="40" spans="1:17">
      <c r="A40" s="485">
        <v>30</v>
      </c>
      <c r="B40" s="486"/>
      <c r="C40" s="908"/>
      <c r="D40" s="479"/>
      <c r="E40" s="488"/>
      <c r="F40" s="489"/>
      <c r="G40" s="1029"/>
      <c r="H40" s="490"/>
      <c r="I40" s="490"/>
      <c r="J40" s="490"/>
      <c r="K40" s="1030"/>
      <c r="L40" s="492"/>
      <c r="M40" s="492"/>
      <c r="N40" s="504"/>
      <c r="O40" s="926" t="e">
        <f>+M40/Balancesheet!$G$59</f>
        <v>#DIV/0!</v>
      </c>
      <c r="P40" s="909">
        <f t="shared" si="0"/>
        <v>0</v>
      </c>
      <c r="Q40" s="907" t="e">
        <f>+P40/Balancesheet!$G$59</f>
        <v>#DIV/0!</v>
      </c>
    </row>
    <row r="41" spans="1:17">
      <c r="A41" s="485">
        <v>31</v>
      </c>
      <c r="B41" s="486"/>
      <c r="C41" s="908"/>
      <c r="D41" s="479"/>
      <c r="E41" s="488"/>
      <c r="F41" s="489"/>
      <c r="G41" s="1029"/>
      <c r="H41" s="490"/>
      <c r="I41" s="490"/>
      <c r="J41" s="490"/>
      <c r="K41" s="1030"/>
      <c r="L41" s="492"/>
      <c r="M41" s="492"/>
      <c r="N41" s="504"/>
      <c r="O41" s="926" t="e">
        <f>+M41/Balancesheet!$G$59</f>
        <v>#DIV/0!</v>
      </c>
      <c r="P41" s="909">
        <f t="shared" si="0"/>
        <v>0</v>
      </c>
      <c r="Q41" s="907" t="e">
        <f>+P41/Balancesheet!$G$59</f>
        <v>#DIV/0!</v>
      </c>
    </row>
    <row r="42" spans="1:17">
      <c r="A42" s="485">
        <v>32</v>
      </c>
      <c r="B42" s="486"/>
      <c r="C42" s="908"/>
      <c r="D42" s="479"/>
      <c r="E42" s="488"/>
      <c r="F42" s="489"/>
      <c r="G42" s="1029"/>
      <c r="H42" s="490"/>
      <c r="I42" s="490"/>
      <c r="J42" s="490"/>
      <c r="K42" s="1030"/>
      <c r="L42" s="492"/>
      <c r="M42" s="492"/>
      <c r="N42" s="504"/>
      <c r="O42" s="926" t="e">
        <f>+M42/Balancesheet!$G$59</f>
        <v>#DIV/0!</v>
      </c>
      <c r="P42" s="909">
        <f t="shared" si="0"/>
        <v>0</v>
      </c>
      <c r="Q42" s="907" t="e">
        <f>+P42/Balancesheet!$G$59</f>
        <v>#DIV/0!</v>
      </c>
    </row>
    <row r="43" spans="1:17">
      <c r="A43" s="485">
        <v>33</v>
      </c>
      <c r="B43" s="486"/>
      <c r="C43" s="908"/>
      <c r="D43" s="479"/>
      <c r="E43" s="488"/>
      <c r="F43" s="489"/>
      <c r="G43" s="1029"/>
      <c r="H43" s="490"/>
      <c r="I43" s="490"/>
      <c r="J43" s="490"/>
      <c r="K43" s="1030"/>
      <c r="L43" s="492"/>
      <c r="M43" s="492"/>
      <c r="N43" s="504"/>
      <c r="O43" s="926" t="e">
        <f>+M43/Balancesheet!$G$59</f>
        <v>#DIV/0!</v>
      </c>
      <c r="P43" s="909">
        <f t="shared" si="0"/>
        <v>0</v>
      </c>
      <c r="Q43" s="907" t="e">
        <f>+P43/Balancesheet!$G$59</f>
        <v>#DIV/0!</v>
      </c>
    </row>
    <row r="44" spans="1:17">
      <c r="A44" s="485">
        <v>34</v>
      </c>
      <c r="B44" s="486"/>
      <c r="C44" s="908"/>
      <c r="D44" s="479"/>
      <c r="E44" s="488"/>
      <c r="F44" s="489"/>
      <c r="G44" s="1029"/>
      <c r="H44" s="490"/>
      <c r="I44" s="490"/>
      <c r="J44" s="490"/>
      <c r="K44" s="1030"/>
      <c r="L44" s="492"/>
      <c r="M44" s="492"/>
      <c r="N44" s="504"/>
      <c r="O44" s="926" t="e">
        <f>+M44/Balancesheet!$G$59</f>
        <v>#DIV/0!</v>
      </c>
      <c r="P44" s="909">
        <f t="shared" si="0"/>
        <v>0</v>
      </c>
      <c r="Q44" s="907" t="e">
        <f>+P44/Balancesheet!$G$59</f>
        <v>#DIV/0!</v>
      </c>
    </row>
    <row r="45" spans="1:17">
      <c r="A45" s="485">
        <v>35</v>
      </c>
      <c r="B45" s="486"/>
      <c r="C45" s="908"/>
      <c r="D45" s="479"/>
      <c r="E45" s="488"/>
      <c r="F45" s="489"/>
      <c r="G45" s="1029"/>
      <c r="H45" s="490"/>
      <c r="I45" s="490"/>
      <c r="J45" s="490"/>
      <c r="K45" s="1030"/>
      <c r="L45" s="492"/>
      <c r="M45" s="492"/>
      <c r="N45" s="504"/>
      <c r="O45" s="926" t="e">
        <f>+M45/Balancesheet!$G$59</f>
        <v>#DIV/0!</v>
      </c>
      <c r="P45" s="909">
        <f t="shared" si="0"/>
        <v>0</v>
      </c>
      <c r="Q45" s="907" t="e">
        <f>+P45/Balancesheet!$G$59</f>
        <v>#DIV/0!</v>
      </c>
    </row>
    <row r="46" spans="1:17">
      <c r="A46" s="485">
        <v>36</v>
      </c>
      <c r="B46" s="486"/>
      <c r="C46" s="908"/>
      <c r="D46" s="479"/>
      <c r="E46" s="488"/>
      <c r="F46" s="489"/>
      <c r="G46" s="1029"/>
      <c r="H46" s="490"/>
      <c r="I46" s="490"/>
      <c r="J46" s="490"/>
      <c r="K46" s="1030"/>
      <c r="L46" s="492"/>
      <c r="M46" s="492"/>
      <c r="N46" s="504"/>
      <c r="O46" s="926" t="e">
        <f>+M46/Balancesheet!$G$59</f>
        <v>#DIV/0!</v>
      </c>
      <c r="P46" s="909">
        <f t="shared" si="0"/>
        <v>0</v>
      </c>
      <c r="Q46" s="907" t="e">
        <f>+P46/Balancesheet!$G$59</f>
        <v>#DIV/0!</v>
      </c>
    </row>
    <row r="47" spans="1:17">
      <c r="A47" s="485">
        <v>37</v>
      </c>
      <c r="B47" s="486"/>
      <c r="C47" s="908"/>
      <c r="D47" s="479"/>
      <c r="E47" s="488"/>
      <c r="F47" s="489"/>
      <c r="G47" s="1029"/>
      <c r="H47" s="490"/>
      <c r="I47" s="490"/>
      <c r="J47" s="490"/>
      <c r="K47" s="1030"/>
      <c r="L47" s="492"/>
      <c r="M47" s="492"/>
      <c r="N47" s="504"/>
      <c r="O47" s="926" t="e">
        <f>+M47/Balancesheet!$G$59</f>
        <v>#DIV/0!</v>
      </c>
      <c r="P47" s="909">
        <f t="shared" si="0"/>
        <v>0</v>
      </c>
      <c r="Q47" s="907" t="e">
        <f>+P47/Balancesheet!$G$59</f>
        <v>#DIV/0!</v>
      </c>
    </row>
    <row r="48" spans="1:17">
      <c r="A48" s="485">
        <v>38</v>
      </c>
      <c r="B48" s="486"/>
      <c r="C48" s="908"/>
      <c r="D48" s="479"/>
      <c r="E48" s="488"/>
      <c r="F48" s="489"/>
      <c r="G48" s="1029"/>
      <c r="H48" s="490"/>
      <c r="I48" s="490"/>
      <c r="J48" s="490"/>
      <c r="K48" s="1030"/>
      <c r="L48" s="492"/>
      <c r="M48" s="492"/>
      <c r="N48" s="504"/>
      <c r="O48" s="926" t="e">
        <f>+M48/Balancesheet!$G$59</f>
        <v>#DIV/0!</v>
      </c>
      <c r="P48" s="909">
        <f t="shared" si="0"/>
        <v>0</v>
      </c>
      <c r="Q48" s="907" t="e">
        <f>+P48/Balancesheet!$G$59</f>
        <v>#DIV/0!</v>
      </c>
    </row>
    <row r="49" spans="1:17">
      <c r="A49" s="485">
        <v>39</v>
      </c>
      <c r="B49" s="486"/>
      <c r="C49" s="908"/>
      <c r="D49" s="479"/>
      <c r="E49" s="488"/>
      <c r="F49" s="489"/>
      <c r="G49" s="1029"/>
      <c r="H49" s="490"/>
      <c r="I49" s="490"/>
      <c r="J49" s="490"/>
      <c r="K49" s="1030"/>
      <c r="L49" s="492"/>
      <c r="M49" s="492"/>
      <c r="N49" s="504"/>
      <c r="O49" s="926" t="e">
        <f>+M49/Balancesheet!$G$59</f>
        <v>#DIV/0!</v>
      </c>
      <c r="P49" s="909">
        <f t="shared" si="0"/>
        <v>0</v>
      </c>
      <c r="Q49" s="907" t="e">
        <f>+P49/Balancesheet!$G$59</f>
        <v>#DIV/0!</v>
      </c>
    </row>
    <row r="50" spans="1:17">
      <c r="A50" s="493">
        <v>40</v>
      </c>
      <c r="B50" s="494"/>
      <c r="C50" s="908"/>
      <c r="D50" s="479"/>
      <c r="E50" s="495"/>
      <c r="F50" s="496"/>
      <c r="G50" s="1029"/>
      <c r="H50" s="497"/>
      <c r="I50" s="497"/>
      <c r="J50" s="497"/>
      <c r="K50" s="1030"/>
      <c r="L50" s="498"/>
      <c r="M50" s="498"/>
      <c r="N50" s="504"/>
      <c r="O50" s="926" t="e">
        <f>+M50/Balancesheet!$G$59</f>
        <v>#DIV/0!</v>
      </c>
      <c r="P50" s="909">
        <f t="shared" si="0"/>
        <v>0</v>
      </c>
      <c r="Q50" s="907" t="e">
        <f>+P50/Balancesheet!$G$59</f>
        <v>#DIV/0!</v>
      </c>
    </row>
    <row r="51" spans="1:17">
      <c r="A51" s="485">
        <v>41</v>
      </c>
      <c r="B51" s="486"/>
      <c r="C51" s="908"/>
      <c r="D51" s="479"/>
      <c r="E51" s="488"/>
      <c r="F51" s="489"/>
      <c r="G51" s="1029"/>
      <c r="H51" s="490"/>
      <c r="I51" s="490"/>
      <c r="J51" s="490"/>
      <c r="K51" s="1030"/>
      <c r="L51" s="492"/>
      <c r="M51" s="492"/>
      <c r="N51" s="504"/>
      <c r="O51" s="926" t="e">
        <f>+M51/Balancesheet!$G$59</f>
        <v>#DIV/0!</v>
      </c>
      <c r="P51" s="909">
        <f t="shared" si="0"/>
        <v>0</v>
      </c>
      <c r="Q51" s="907" t="e">
        <f>+P51/Balancesheet!$G$59</f>
        <v>#DIV/0!</v>
      </c>
    </row>
    <row r="52" spans="1:17">
      <c r="A52" s="493">
        <v>42</v>
      </c>
      <c r="B52" s="494"/>
      <c r="C52" s="908"/>
      <c r="D52" s="479"/>
      <c r="E52" s="495"/>
      <c r="F52" s="496"/>
      <c r="G52" s="1029"/>
      <c r="H52" s="497"/>
      <c r="I52" s="497"/>
      <c r="J52" s="497"/>
      <c r="K52" s="1030"/>
      <c r="L52" s="498"/>
      <c r="M52" s="498"/>
      <c r="N52" s="504"/>
      <c r="O52" s="926" t="e">
        <f>+M52/Balancesheet!$G$59</f>
        <v>#DIV/0!</v>
      </c>
      <c r="P52" s="909">
        <f t="shared" si="0"/>
        <v>0</v>
      </c>
      <c r="Q52" s="907" t="e">
        <f>+P52/Balancesheet!$G$59</f>
        <v>#DIV/0!</v>
      </c>
    </row>
    <row r="53" spans="1:17">
      <c r="A53" s="485">
        <v>43</v>
      </c>
      <c r="B53" s="486"/>
      <c r="C53" s="908"/>
      <c r="D53" s="479"/>
      <c r="E53" s="488"/>
      <c r="F53" s="489"/>
      <c r="G53" s="1029"/>
      <c r="H53" s="490"/>
      <c r="I53" s="490"/>
      <c r="J53" s="490"/>
      <c r="K53" s="1030"/>
      <c r="L53" s="492"/>
      <c r="M53" s="492"/>
      <c r="N53" s="504"/>
      <c r="O53" s="926" t="e">
        <f>+M53/Balancesheet!$G$59</f>
        <v>#DIV/0!</v>
      </c>
      <c r="P53" s="909">
        <f t="shared" si="0"/>
        <v>0</v>
      </c>
      <c r="Q53" s="907" t="e">
        <f>+P53/Balancesheet!$G$59</f>
        <v>#DIV/0!</v>
      </c>
    </row>
    <row r="54" spans="1:17">
      <c r="A54" s="493">
        <v>44</v>
      </c>
      <c r="B54" s="494"/>
      <c r="C54" s="908"/>
      <c r="D54" s="479"/>
      <c r="E54" s="495"/>
      <c r="F54" s="496"/>
      <c r="G54" s="1029"/>
      <c r="H54" s="497"/>
      <c r="I54" s="497"/>
      <c r="J54" s="497"/>
      <c r="K54" s="1030"/>
      <c r="L54" s="498"/>
      <c r="M54" s="498"/>
      <c r="N54" s="504"/>
      <c r="O54" s="926" t="e">
        <f>+M54/Balancesheet!$G$59</f>
        <v>#DIV/0!</v>
      </c>
      <c r="P54" s="909">
        <f t="shared" si="0"/>
        <v>0</v>
      </c>
      <c r="Q54" s="907" t="e">
        <f>+P54/Balancesheet!$G$59</f>
        <v>#DIV/0!</v>
      </c>
    </row>
    <row r="55" spans="1:17">
      <c r="A55" s="485">
        <v>45</v>
      </c>
      <c r="B55" s="486"/>
      <c r="C55" s="908"/>
      <c r="D55" s="479"/>
      <c r="E55" s="488"/>
      <c r="F55" s="489"/>
      <c r="G55" s="1029"/>
      <c r="H55" s="490"/>
      <c r="I55" s="490"/>
      <c r="J55" s="490"/>
      <c r="K55" s="1030"/>
      <c r="L55" s="492"/>
      <c r="M55" s="492"/>
      <c r="N55" s="504"/>
      <c r="O55" s="926" t="e">
        <f>+M55/Balancesheet!$G$59</f>
        <v>#DIV/0!</v>
      </c>
      <c r="P55" s="909">
        <f t="shared" si="0"/>
        <v>0</v>
      </c>
      <c r="Q55" s="907" t="e">
        <f>+P55/Balancesheet!$G$59</f>
        <v>#DIV/0!</v>
      </c>
    </row>
    <row r="56" spans="1:17">
      <c r="A56" s="493">
        <v>46</v>
      </c>
      <c r="B56" s="494"/>
      <c r="C56" s="908"/>
      <c r="D56" s="479"/>
      <c r="E56" s="495"/>
      <c r="F56" s="496"/>
      <c r="G56" s="1029"/>
      <c r="H56" s="497"/>
      <c r="I56" s="497"/>
      <c r="J56" s="497"/>
      <c r="K56" s="1030"/>
      <c r="L56" s="498"/>
      <c r="M56" s="498"/>
      <c r="N56" s="504"/>
      <c r="O56" s="926" t="e">
        <f>+M56/Balancesheet!$G$59</f>
        <v>#DIV/0!</v>
      </c>
      <c r="P56" s="909">
        <f t="shared" si="0"/>
        <v>0</v>
      </c>
      <c r="Q56" s="907" t="e">
        <f>+P56/Balancesheet!$G$59</f>
        <v>#DIV/0!</v>
      </c>
    </row>
    <row r="57" spans="1:17">
      <c r="A57" s="485">
        <v>47</v>
      </c>
      <c r="B57" s="486"/>
      <c r="C57" s="908"/>
      <c r="D57" s="479"/>
      <c r="E57" s="488"/>
      <c r="F57" s="489"/>
      <c r="G57" s="1029"/>
      <c r="H57" s="490"/>
      <c r="I57" s="490"/>
      <c r="J57" s="490"/>
      <c r="K57" s="1030"/>
      <c r="L57" s="492"/>
      <c r="M57" s="492"/>
      <c r="N57" s="504"/>
      <c r="O57" s="926" t="e">
        <f>+M57/Balancesheet!$G$59</f>
        <v>#DIV/0!</v>
      </c>
      <c r="P57" s="909">
        <f t="shared" si="0"/>
        <v>0</v>
      </c>
      <c r="Q57" s="907" t="e">
        <f>+P57/Balancesheet!$G$59</f>
        <v>#DIV/0!</v>
      </c>
    </row>
    <row r="58" spans="1:17">
      <c r="A58" s="493">
        <v>48</v>
      </c>
      <c r="B58" s="494"/>
      <c r="C58" s="908"/>
      <c r="D58" s="479"/>
      <c r="E58" s="495"/>
      <c r="F58" s="496"/>
      <c r="G58" s="1029"/>
      <c r="H58" s="497"/>
      <c r="I58" s="497"/>
      <c r="J58" s="497"/>
      <c r="K58" s="1030"/>
      <c r="L58" s="498"/>
      <c r="M58" s="498"/>
      <c r="N58" s="504"/>
      <c r="O58" s="926" t="e">
        <f>+M58/Balancesheet!$G$59</f>
        <v>#DIV/0!</v>
      </c>
      <c r="P58" s="909">
        <f t="shared" si="0"/>
        <v>0</v>
      </c>
      <c r="Q58" s="907" t="e">
        <f>+P58/Balancesheet!$G$59</f>
        <v>#DIV/0!</v>
      </c>
    </row>
    <row r="59" spans="1:17">
      <c r="A59" s="485">
        <v>49</v>
      </c>
      <c r="B59" s="486"/>
      <c r="C59" s="908"/>
      <c r="D59" s="479"/>
      <c r="E59" s="488"/>
      <c r="F59" s="489"/>
      <c r="G59" s="1029"/>
      <c r="H59" s="490"/>
      <c r="I59" s="490"/>
      <c r="J59" s="490"/>
      <c r="K59" s="1030"/>
      <c r="L59" s="492"/>
      <c r="M59" s="492"/>
      <c r="N59" s="504"/>
      <c r="O59" s="926" t="e">
        <f>+M59/Balancesheet!$G$59</f>
        <v>#DIV/0!</v>
      </c>
      <c r="P59" s="909">
        <f t="shared" si="0"/>
        <v>0</v>
      </c>
      <c r="Q59" s="907" t="e">
        <f>+P59/Balancesheet!$G$59</f>
        <v>#DIV/0!</v>
      </c>
    </row>
    <row r="60" spans="1:17" ht="13.5" thickBot="1">
      <c r="A60" s="493">
        <v>50</v>
      </c>
      <c r="B60" s="494"/>
      <c r="C60" s="908"/>
      <c r="D60" s="479"/>
      <c r="E60" s="495"/>
      <c r="F60" s="496"/>
      <c r="G60" s="1029"/>
      <c r="H60" s="497"/>
      <c r="I60" s="497"/>
      <c r="J60" s="497"/>
      <c r="K60" s="1030"/>
      <c r="L60" s="498"/>
      <c r="M60" s="498"/>
      <c r="N60" s="504"/>
      <c r="O60" s="926" t="e">
        <f>+M60/Balancesheet!$G$59</f>
        <v>#DIV/0!</v>
      </c>
      <c r="P60" s="909">
        <f>+SUMIF($C$11:$C$60,C60,$M$11:$M$60)</f>
        <v>0</v>
      </c>
      <c r="Q60" s="907" t="e">
        <f>+P60/Balancesheet!$G$59</f>
        <v>#DIV/0!</v>
      </c>
    </row>
    <row r="61" spans="1:17" ht="13.5" thickBot="1">
      <c r="A61" s="1573" t="s">
        <v>670</v>
      </c>
      <c r="B61" s="1574"/>
      <c r="C61" s="1574"/>
      <c r="D61" s="1575"/>
      <c r="E61" s="499">
        <f>SUM(E11:E50)</f>
        <v>0</v>
      </c>
      <c r="F61" s="1028"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905"/>
      <c r="H61" s="1574"/>
      <c r="I61" s="1574"/>
      <c r="J61" s="1574"/>
      <c r="K61" s="1576"/>
      <c r="L61" s="500">
        <f>SUM(L11:L50)</f>
        <v>0</v>
      </c>
      <c r="M61" s="500">
        <f>SUM(M11:M50)</f>
        <v>0</v>
      </c>
      <c r="N61" s="501"/>
      <c r="O61" s="927" t="e">
        <f>SUM(O11:O50)</f>
        <v>#DIV/0!</v>
      </c>
      <c r="P61" s="500"/>
      <c r="Q61" s="502"/>
    </row>
    <row r="62" spans="1:17">
      <c r="A62" s="7"/>
      <c r="B62" s="7"/>
      <c r="C62" s="7"/>
      <c r="D62" s="7"/>
      <c r="E62" s="503"/>
      <c r="F62" s="503"/>
      <c r="G62" s="925"/>
      <c r="H62" s="503"/>
      <c r="I62" s="503"/>
      <c r="J62" s="503"/>
      <c r="K62" s="925"/>
      <c r="L62" s="503"/>
      <c r="M62" s="1591" t="s">
        <v>877</v>
      </c>
      <c r="N62" s="1592"/>
      <c r="O62" s="928" t="e">
        <f>MAX(O11:O50)</f>
        <v>#DIV/0!</v>
      </c>
      <c r="P62" s="911" t="s">
        <v>878</v>
      </c>
      <c r="Q62" s="910" t="e">
        <f>MAX(Q11:Q50)</f>
        <v>#DIV/0!</v>
      </c>
    </row>
    <row r="63" spans="1:17">
      <c r="A63" s="7"/>
      <c r="B63" s="1032">
        <f>COUNTA(B11:B60)</f>
        <v>0</v>
      </c>
      <c r="C63" s="1032">
        <f>STATISTICS!C30</f>
        <v>0</v>
      </c>
      <c r="D63" s="7" t="str">
        <f>+IF(C63&lt;=40,IF(B63&gt;=C63,"","Зээлдэгчдийн тоо дутуу байх тул бүрэн шивж оруулна уу."),"")</f>
        <v/>
      </c>
      <c r="E63" s="503"/>
      <c r="F63" s="503"/>
      <c r="G63" s="925"/>
      <c r="H63" s="503"/>
      <c r="I63" s="503"/>
      <c r="J63" s="503"/>
      <c r="K63" s="925" t="str">
        <f>+IF(C63&lt;=40,IF(M61=Balancesheet!C19,"","Нийт зээлийн үлдэгдэл зөрүүтэй"),"")</f>
        <v/>
      </c>
      <c r="L63" s="503"/>
      <c r="M63" s="503"/>
      <c r="N63" s="1025"/>
      <c r="O63" s="1026"/>
      <c r="Q63" s="1027"/>
    </row>
    <row r="64" spans="1:17">
      <c r="A64" s="7"/>
      <c r="B64" s="7"/>
      <c r="C64" s="7"/>
      <c r="D64" s="7"/>
      <c r="E64" s="503"/>
      <c r="F64" s="503"/>
      <c r="G64" s="925"/>
      <c r="H64" s="503"/>
      <c r="I64" s="503"/>
      <c r="J64" s="503"/>
      <c r="K64" s="925"/>
      <c r="L64" s="503"/>
      <c r="M64" s="503"/>
      <c r="N64" s="1025"/>
      <c r="O64" s="1026"/>
      <c r="Q64" s="1027"/>
    </row>
    <row r="65" spans="1:17" ht="12.75" customHeight="1">
      <c r="A65" s="7"/>
      <c r="B65" s="1435" t="s">
        <v>647</v>
      </c>
      <c r="C65" s="1435"/>
      <c r="D65" s="1435"/>
      <c r="E65" s="1435"/>
      <c r="F65" s="1435"/>
      <c r="G65" s="1435"/>
      <c r="H65" s="1435"/>
      <c r="I65" s="1435"/>
      <c r="J65" s="1435"/>
      <c r="K65" s="1435"/>
      <c r="L65" s="1435"/>
      <c r="M65" s="1435"/>
      <c r="N65" s="1435"/>
      <c r="O65" s="1435"/>
      <c r="P65" s="1435"/>
      <c r="Q65" s="1435"/>
    </row>
    <row r="66" spans="1:17" ht="15">
      <c r="A66" s="7"/>
      <c r="B66" s="1554" t="s">
        <v>879</v>
      </c>
      <c r="C66" s="1424"/>
      <c r="D66" s="1424"/>
      <c r="E66" s="1424"/>
      <c r="F66" s="1424"/>
      <c r="G66" s="1424"/>
      <c r="H66" s="1424"/>
      <c r="I66" s="1424"/>
      <c r="J66" s="1424"/>
      <c r="K66" s="1424"/>
      <c r="L66" s="1424"/>
      <c r="M66" s="1424"/>
      <c r="N66" s="1424"/>
      <c r="O66" s="1424"/>
      <c r="P66" s="1424"/>
    </row>
    <row r="67" spans="1:17" ht="15">
      <c r="A67" s="7"/>
      <c r="B67" s="1554" t="s">
        <v>880</v>
      </c>
      <c r="C67" s="1424"/>
      <c r="D67" s="1424"/>
      <c r="E67" s="1424"/>
      <c r="F67" s="1424"/>
      <c r="G67" s="1424"/>
      <c r="H67" s="1424"/>
      <c r="I67" s="1424"/>
      <c r="J67" s="1424"/>
      <c r="K67" s="1424"/>
      <c r="L67" s="1424"/>
      <c r="M67" s="1424"/>
      <c r="N67" s="1424"/>
      <c r="O67" s="1424"/>
      <c r="P67" s="1424"/>
    </row>
    <row r="68" spans="1:17" ht="15">
      <c r="A68" s="7"/>
      <c r="B68" s="1539" t="s">
        <v>881</v>
      </c>
      <c r="C68" s="1424"/>
      <c r="D68" s="1424"/>
      <c r="E68" s="1424"/>
      <c r="F68" s="1424"/>
      <c r="G68" s="1424"/>
      <c r="H68" s="1424"/>
      <c r="I68" s="1424"/>
      <c r="J68" s="1424"/>
      <c r="K68" s="1424"/>
      <c r="L68" s="1424"/>
      <c r="M68" s="1424"/>
      <c r="N68" s="1424"/>
      <c r="O68" s="1424"/>
      <c r="P68" s="1424"/>
    </row>
    <row r="69" spans="1:17" ht="15">
      <c r="A69" s="7"/>
      <c r="B69" s="1539" t="s">
        <v>882</v>
      </c>
      <c r="C69" s="1424"/>
      <c r="D69" s="1424"/>
      <c r="E69" s="1424"/>
      <c r="F69" s="1424"/>
      <c r="G69" s="1424"/>
      <c r="H69" s="1424"/>
      <c r="I69" s="1424"/>
      <c r="J69" s="1424"/>
      <c r="K69" s="1424"/>
      <c r="L69" s="1424"/>
      <c r="M69" s="1424"/>
      <c r="N69" s="1424"/>
      <c r="O69" s="1424"/>
      <c r="P69" s="1424"/>
    </row>
    <row r="70" spans="1:17" ht="15">
      <c r="A70" s="7"/>
      <c r="B70" s="1539"/>
      <c r="C70" s="1424"/>
      <c r="D70" s="1424"/>
      <c r="E70" s="1424"/>
      <c r="F70" s="1424"/>
      <c r="G70" s="1424"/>
      <c r="H70" s="1424"/>
      <c r="I70" s="1424"/>
      <c r="J70" s="1424"/>
      <c r="K70" s="1424"/>
      <c r="L70" s="1424"/>
      <c r="M70" s="1424"/>
      <c r="N70" s="1424"/>
      <c r="O70" s="1424"/>
      <c r="P70" s="1424"/>
    </row>
    <row r="71" spans="1:17">
      <c r="A71" s="7"/>
      <c r="B71" s="966"/>
      <c r="C71" s="966"/>
      <c r="D71" s="966"/>
      <c r="E71" s="966"/>
      <c r="F71" s="966"/>
      <c r="G71" s="966"/>
      <c r="H71" s="966"/>
      <c r="I71" s="966"/>
      <c r="J71" s="966"/>
      <c r="K71" s="966"/>
      <c r="L71" s="966"/>
      <c r="M71" s="966"/>
      <c r="N71" s="966"/>
      <c r="O71" s="966"/>
      <c r="P71" s="966"/>
    </row>
    <row r="72" spans="1:17">
      <c r="A72" s="1420" t="s">
        <v>111</v>
      </c>
      <c r="B72" s="1420"/>
      <c r="C72" s="1420"/>
      <c r="D72" s="1420"/>
      <c r="E72" s="1420"/>
      <c r="F72" s="1420"/>
      <c r="G72" s="1420"/>
      <c r="H72" s="1420"/>
      <c r="I72" s="1420"/>
      <c r="J72" s="1420"/>
      <c r="K72" s="1420"/>
      <c r="L72" s="1420"/>
      <c r="M72" s="1420"/>
      <c r="N72" s="1420"/>
      <c r="O72" s="1420"/>
      <c r="P72" s="1420"/>
      <c r="Q72" s="1420"/>
    </row>
    <row r="73" spans="1:17">
      <c r="A73" s="1432" t="s">
        <v>112</v>
      </c>
      <c r="B73" s="1432"/>
      <c r="C73" s="1432"/>
      <c r="D73" s="1432"/>
      <c r="E73" s="1432"/>
      <c r="F73" s="1432"/>
      <c r="G73" s="1432"/>
      <c r="H73" s="1432"/>
      <c r="I73" s="1432"/>
      <c r="J73" s="1432"/>
      <c r="K73" s="1432"/>
      <c r="L73" s="1432"/>
      <c r="M73" s="1432"/>
      <c r="N73" s="1432"/>
      <c r="O73" s="1432"/>
      <c r="P73" s="1432"/>
      <c r="Q73" s="1432"/>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QpxTlJMQRaV3M3BY50kAdq9U222JOfxnfA69zia51nTCKqnsbLtGebqZ5FJp0qyNA9HGocF42tnky/7INQGANw==" saltValue="d46nC02qau1Y/hax7lYMpA==" spinCount="100000" sheet="1" objects="1" scenarios="1"/>
  <mergeCells count="30">
    <mergeCell ref="J9:J10"/>
    <mergeCell ref="B66:P66"/>
    <mergeCell ref="M62:N62"/>
    <mergeCell ref="K9:K10"/>
    <mergeCell ref="L9:L10"/>
    <mergeCell ref="M9:M10"/>
    <mergeCell ref="N9:N10"/>
    <mergeCell ref="B65:Q65"/>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A72:Q72"/>
    <mergeCell ref="A73:Q73"/>
    <mergeCell ref="B67:P67"/>
    <mergeCell ref="B68:P68"/>
    <mergeCell ref="B69:P69"/>
    <mergeCell ref="B70:P70"/>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2024-09-06T02:56:36Z</dcterms:modified>
  <cp:category/>
  <cp:contentStatus/>
</cp:coreProperties>
</file>